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Nash\Desktop\"/>
    </mc:Choice>
  </mc:AlternateContent>
  <bookViews>
    <workbookView xWindow="0" yWindow="0" windowWidth="15345" windowHeight="6705"/>
  </bookViews>
  <sheets>
    <sheet name="PROJECT SUMMARY" sheetId="19" r:id="rId1"/>
    <sheet name="DASHBOARD" sheetId="21" r:id="rId2"/>
    <sheet name="PRELIMINARIES" sheetId="1" r:id="rId3"/>
    <sheet name="BILL OF QUANTITIES" sheetId="16" r:id="rId4"/>
    <sheet name="PIVOT TABLES" sheetId="24" r:id="rId5"/>
    <sheet name="DATA" sheetId="20" r:id="rId6"/>
    <sheet name="MATERIAL BUILD-UP RATES" sheetId="18" r:id="rId7"/>
    <sheet name="MATERIAL SCHEDULE" sheetId="25" r:id="rId8"/>
    <sheet name=" LABOUR BUILD-UP RATES" sheetId="15" r:id="rId9"/>
    <sheet name="NEC RATES" sheetId="14" r:id="rId10"/>
  </sheets>
  <definedNames>
    <definedName name="_xlnm.Print_Area" localSheetId="3">'BILL OF QUANTITIES'!$A$2:$H$298</definedName>
    <definedName name="Slicer_DESCRIPTION">#N/A</definedName>
  </definedNames>
  <calcPr calcId="152511"/>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 i="21" l="1"/>
  <c r="V92" i="21"/>
  <c r="N91" i="21"/>
  <c r="O91" i="21" s="1"/>
  <c r="P91" i="21" s="1"/>
  <c r="Q91" i="21" s="1"/>
  <c r="R91" i="21" s="1"/>
  <c r="S91" i="21" s="1"/>
  <c r="T91" i="21" s="1"/>
  <c r="U91" i="21" s="1"/>
  <c r="V91" i="21" s="1"/>
  <c r="W91" i="21" s="1"/>
  <c r="O92" i="21"/>
  <c r="P92" i="21" s="1"/>
  <c r="Q92" i="21" s="1"/>
  <c r="R92" i="21" s="1"/>
  <c r="S92" i="21" s="1"/>
  <c r="T92" i="21" s="1"/>
  <c r="U92" i="21" s="1"/>
  <c r="F88" i="21"/>
  <c r="F87" i="21"/>
  <c r="K95" i="21"/>
  <c r="K96" i="21"/>
  <c r="K97" i="21"/>
  <c r="K98" i="21"/>
  <c r="K99" i="21"/>
  <c r="K100" i="21"/>
  <c r="K101" i="21"/>
  <c r="K102" i="21"/>
  <c r="K103" i="21"/>
  <c r="K104" i="21"/>
  <c r="K94" i="21"/>
  <c r="G64" i="25"/>
  <c r="F89" i="21" l="1"/>
  <c r="J9" i="19"/>
  <c r="I27" i="20" l="1"/>
  <c r="H27" i="20"/>
  <c r="G27" i="20"/>
  <c r="F27" i="20"/>
  <c r="E27" i="20"/>
  <c r="D27" i="20"/>
  <c r="D186" i="15"/>
  <c r="H12" i="20"/>
  <c r="F12" i="20"/>
  <c r="E12" i="20"/>
  <c r="D12" i="20"/>
  <c r="F11" i="20"/>
  <c r="G11" i="20" s="1"/>
  <c r="E11" i="20"/>
  <c r="D11" i="20"/>
  <c r="H11" i="20"/>
  <c r="H10" i="20"/>
  <c r="I10" i="20" s="1"/>
  <c r="F10" i="20"/>
  <c r="E10" i="20"/>
  <c r="D10" i="20"/>
  <c r="G10" i="20" s="1"/>
  <c r="H9" i="20"/>
  <c r="I9" i="20" s="1"/>
  <c r="F9" i="20"/>
  <c r="E9" i="20"/>
  <c r="D9" i="20"/>
  <c r="G9" i="20" s="1"/>
  <c r="E8" i="20"/>
  <c r="D8" i="20"/>
  <c r="H7" i="20"/>
  <c r="F7" i="20"/>
  <c r="E7" i="20"/>
  <c r="D7" i="20"/>
  <c r="F6" i="20"/>
  <c r="E6" i="20"/>
  <c r="E6" i="16"/>
  <c r="D6" i="20"/>
  <c r="H6" i="20"/>
  <c r="F4" i="20"/>
  <c r="E4" i="20"/>
  <c r="G5" i="20"/>
  <c r="F5" i="20"/>
  <c r="E5" i="20"/>
  <c r="D5" i="20"/>
  <c r="H5" i="20"/>
  <c r="I5" i="20" s="1"/>
  <c r="D4" i="20"/>
  <c r="H4" i="20"/>
  <c r="M47" i="16"/>
  <c r="I11" i="20" l="1"/>
  <c r="E13" i="20"/>
  <c r="G4" i="20"/>
  <c r="I4" i="20" s="1"/>
  <c r="G7" i="20"/>
  <c r="I7" i="20" s="1"/>
  <c r="D13" i="20"/>
  <c r="G6" i="20"/>
  <c r="I6" i="20" s="1"/>
  <c r="G12" i="20"/>
  <c r="I12" i="20" s="1"/>
  <c r="S67" i="16"/>
  <c r="Q67" i="16"/>
  <c r="O67" i="16"/>
  <c r="M67" i="16"/>
  <c r="K67" i="16"/>
  <c r="S91" i="16"/>
  <c r="Q91" i="16"/>
  <c r="O91" i="16"/>
  <c r="M91" i="16"/>
  <c r="K91" i="16"/>
  <c r="S133" i="16"/>
  <c r="Q133" i="16"/>
  <c r="O133" i="16"/>
  <c r="M133" i="16"/>
  <c r="K133" i="16"/>
  <c r="S145" i="16"/>
  <c r="Q145" i="16"/>
  <c r="O145" i="16"/>
  <c r="M145" i="16"/>
  <c r="K145" i="16"/>
  <c r="Q297" i="16"/>
  <c r="K297" i="16"/>
  <c r="S293" i="16"/>
  <c r="Q293" i="16"/>
  <c r="O293" i="16"/>
  <c r="M293" i="16"/>
  <c r="K293" i="16"/>
  <c r="S285" i="16"/>
  <c r="Q285" i="16"/>
  <c r="O285" i="16"/>
  <c r="M285" i="16"/>
  <c r="K285" i="16"/>
  <c r="S248" i="16"/>
  <c r="Q248" i="16"/>
  <c r="O248" i="16"/>
  <c r="M248" i="16"/>
  <c r="K248" i="16"/>
  <c r="S240" i="16"/>
  <c r="Q240" i="16"/>
  <c r="O240" i="16"/>
  <c r="M240" i="16"/>
  <c r="K240" i="16"/>
  <c r="Q172" i="16"/>
  <c r="M172" i="16"/>
  <c r="K172" i="16"/>
  <c r="D17" i="19"/>
  <c r="D15" i="19"/>
  <c r="J13" i="19"/>
  <c r="J11" i="19"/>
  <c r="H13" i="19"/>
  <c r="H11" i="19"/>
  <c r="F13" i="19"/>
  <c r="F11" i="19"/>
  <c r="D11" i="19"/>
  <c r="J7" i="19"/>
  <c r="H9" i="19"/>
  <c r="H7" i="19"/>
  <c r="F9" i="19"/>
  <c r="F7" i="19"/>
  <c r="D9" i="19"/>
  <c r="D7" i="19"/>
  <c r="G293" i="16"/>
  <c r="G285" i="16"/>
  <c r="G248" i="16"/>
  <c r="G240" i="16"/>
  <c r="G145" i="16"/>
  <c r="G133" i="16"/>
  <c r="G91" i="16"/>
  <c r="G67" i="16"/>
  <c r="M297" i="16" l="1"/>
  <c r="M283" i="16"/>
  <c r="M279" i="16"/>
  <c r="M274" i="16"/>
  <c r="M270" i="16"/>
  <c r="M265" i="16"/>
  <c r="M260" i="16"/>
  <c r="M256" i="16"/>
  <c r="M253" i="16"/>
  <c r="M246" i="16"/>
  <c r="N283" i="16"/>
  <c r="O283" i="16" s="1"/>
  <c r="N279" i="16"/>
  <c r="O279" i="16" s="1"/>
  <c r="N274" i="16"/>
  <c r="O274" i="16" s="1"/>
  <c r="N270" i="16"/>
  <c r="O270" i="16" s="1"/>
  <c r="N265" i="16"/>
  <c r="O265" i="16" s="1"/>
  <c r="N260" i="16"/>
  <c r="O260" i="16" s="1"/>
  <c r="N256" i="16"/>
  <c r="O256" i="16" s="1"/>
  <c r="N253" i="16"/>
  <c r="O253" i="16" s="1"/>
  <c r="J283" i="16"/>
  <c r="R283" i="16" s="1"/>
  <c r="J279" i="16"/>
  <c r="J274" i="16"/>
  <c r="J270" i="16"/>
  <c r="K270" i="16" s="1"/>
  <c r="J265" i="16"/>
  <c r="R265" i="16" s="1"/>
  <c r="J260" i="16"/>
  <c r="R260" i="16" s="1"/>
  <c r="J256" i="16"/>
  <c r="R256" i="16" s="1"/>
  <c r="J253" i="16"/>
  <c r="K253" i="16" s="1"/>
  <c r="D206" i="15"/>
  <c r="D214" i="15"/>
  <c r="D215" i="15" s="1"/>
  <c r="F215" i="15" s="1"/>
  <c r="F217" i="15" s="1"/>
  <c r="D207" i="15"/>
  <c r="F207" i="15" s="1"/>
  <c r="F209" i="15" s="1"/>
  <c r="F411" i="18"/>
  <c r="D401" i="18"/>
  <c r="D400" i="18"/>
  <c r="F410" i="18"/>
  <c r="F401" i="18"/>
  <c r="F400" i="18"/>
  <c r="C409" i="18" s="1"/>
  <c r="F409" i="18" s="1"/>
  <c r="D386" i="18"/>
  <c r="D385" i="18"/>
  <c r="C395" i="18"/>
  <c r="F395" i="18" s="1"/>
  <c r="F396" i="18"/>
  <c r="F397" i="18" s="1"/>
  <c r="F386" i="18"/>
  <c r="F385" i="18"/>
  <c r="C394" i="18" s="1"/>
  <c r="F394" i="18" s="1"/>
  <c r="D370" i="18"/>
  <c r="F370" i="18" s="1"/>
  <c r="D369" i="18"/>
  <c r="C379" i="18"/>
  <c r="F379" i="18" s="1"/>
  <c r="F377" i="18"/>
  <c r="F369" i="18"/>
  <c r="C378" i="18" s="1"/>
  <c r="F378" i="18" s="1"/>
  <c r="D354" i="18"/>
  <c r="D353" i="18"/>
  <c r="D326" i="18"/>
  <c r="F326" i="18" s="1"/>
  <c r="D325" i="18"/>
  <c r="F325" i="18" s="1"/>
  <c r="F353" i="18"/>
  <c r="C362" i="18" s="1"/>
  <c r="F361" i="18"/>
  <c r="F354" i="18"/>
  <c r="C363" i="18"/>
  <c r="F363" i="18" s="1"/>
  <c r="C347" i="18"/>
  <c r="F347" i="18" s="1"/>
  <c r="E340" i="18"/>
  <c r="F340" i="18" s="1"/>
  <c r="E339" i="18"/>
  <c r="C333" i="18"/>
  <c r="E326" i="18"/>
  <c r="E325" i="18"/>
  <c r="N246" i="16"/>
  <c r="O246" i="16" s="1"/>
  <c r="M244" i="16"/>
  <c r="K246" i="16"/>
  <c r="K244" i="16"/>
  <c r="E317" i="18"/>
  <c r="F317" i="18" s="1"/>
  <c r="F316" i="18"/>
  <c r="F309" i="18"/>
  <c r="C315" i="18" s="1"/>
  <c r="F315" i="18" s="1"/>
  <c r="M238" i="16"/>
  <c r="M236" i="16"/>
  <c r="M233" i="16"/>
  <c r="M231" i="16"/>
  <c r="M228" i="16"/>
  <c r="M225" i="16"/>
  <c r="M222" i="16"/>
  <c r="M219" i="16"/>
  <c r="M216" i="16"/>
  <c r="M213" i="16"/>
  <c r="M209" i="16"/>
  <c r="M206" i="16"/>
  <c r="M203" i="16"/>
  <c r="M199" i="16"/>
  <c r="M195" i="16"/>
  <c r="M191" i="16"/>
  <c r="M187" i="16"/>
  <c r="M183" i="16"/>
  <c r="M180" i="16"/>
  <c r="M177" i="16"/>
  <c r="K236" i="16"/>
  <c r="K233" i="16"/>
  <c r="K231" i="16"/>
  <c r="K228" i="16"/>
  <c r="K225" i="16"/>
  <c r="K222" i="16"/>
  <c r="K219" i="16"/>
  <c r="K216" i="16"/>
  <c r="K213" i="16"/>
  <c r="K209" i="16"/>
  <c r="K206" i="16"/>
  <c r="K203" i="16"/>
  <c r="K199" i="16"/>
  <c r="K195" i="16"/>
  <c r="K191" i="16"/>
  <c r="K187" i="16"/>
  <c r="K183" i="16"/>
  <c r="K180" i="16"/>
  <c r="K177" i="16"/>
  <c r="N233" i="16"/>
  <c r="R233" i="16" s="1"/>
  <c r="N222" i="16"/>
  <c r="R222" i="16" s="1"/>
  <c r="N209" i="16"/>
  <c r="R209" i="16" s="1"/>
  <c r="N195" i="16"/>
  <c r="R195" i="16" s="1"/>
  <c r="N180" i="16"/>
  <c r="R180" i="16" s="1"/>
  <c r="D195" i="15"/>
  <c r="D196" i="15" s="1"/>
  <c r="F196" i="15" s="1"/>
  <c r="F198" i="15" s="1"/>
  <c r="N244" i="16" s="1"/>
  <c r="R244" i="16" s="1"/>
  <c r="S244" i="16" s="1"/>
  <c r="R274" i="16" l="1"/>
  <c r="R279" i="16"/>
  <c r="R253" i="16"/>
  <c r="F253" i="16" s="1"/>
  <c r="G253" i="16" s="1"/>
  <c r="R270" i="16"/>
  <c r="F270" i="16" s="1"/>
  <c r="G270" i="16" s="1"/>
  <c r="F256" i="16"/>
  <c r="G256" i="16" s="1"/>
  <c r="S256" i="16"/>
  <c r="F274" i="16"/>
  <c r="G274" i="16" s="1"/>
  <c r="S274" i="16"/>
  <c r="S260" i="16"/>
  <c r="F260" i="16"/>
  <c r="G260" i="16" s="1"/>
  <c r="S279" i="16"/>
  <c r="F279" i="16"/>
  <c r="G279" i="16" s="1"/>
  <c r="S265" i="16"/>
  <c r="F265" i="16"/>
  <c r="G265" i="16" s="1"/>
  <c r="S283" i="16"/>
  <c r="F283" i="16"/>
  <c r="G283" i="16" s="1"/>
  <c r="K256" i="16"/>
  <c r="K274" i="16"/>
  <c r="S253" i="16"/>
  <c r="S270" i="16"/>
  <c r="F244" i="16"/>
  <c r="G244" i="16" s="1"/>
  <c r="K260" i="16"/>
  <c r="K279" i="16"/>
  <c r="K265" i="16"/>
  <c r="K283" i="16"/>
  <c r="N183" i="16"/>
  <c r="R183" i="16" s="1"/>
  <c r="F183" i="16" s="1"/>
  <c r="G183" i="16" s="1"/>
  <c r="N199" i="16"/>
  <c r="R199" i="16" s="1"/>
  <c r="F199" i="16" s="1"/>
  <c r="G199" i="16" s="1"/>
  <c r="N213" i="16"/>
  <c r="O213" i="16" s="1"/>
  <c r="N225" i="16"/>
  <c r="O225" i="16" s="1"/>
  <c r="N236" i="16"/>
  <c r="R236" i="16" s="1"/>
  <c r="F236" i="16" s="1"/>
  <c r="G236" i="16" s="1"/>
  <c r="N187" i="16"/>
  <c r="R187" i="16" s="1"/>
  <c r="S187" i="16" s="1"/>
  <c r="N203" i="16"/>
  <c r="R203" i="16" s="1"/>
  <c r="F203" i="16" s="1"/>
  <c r="G203" i="16" s="1"/>
  <c r="N216" i="16"/>
  <c r="R216" i="16" s="1"/>
  <c r="S216" i="16" s="1"/>
  <c r="N228" i="16"/>
  <c r="R228" i="16" s="1"/>
  <c r="S228" i="16" s="1"/>
  <c r="N238" i="16"/>
  <c r="O238" i="16" s="1"/>
  <c r="N177" i="16"/>
  <c r="R177" i="16" s="1"/>
  <c r="S177" i="16" s="1"/>
  <c r="N191" i="16"/>
  <c r="R191" i="16" s="1"/>
  <c r="F191" i="16" s="1"/>
  <c r="G191" i="16" s="1"/>
  <c r="N206" i="16"/>
  <c r="R206" i="16" s="1"/>
  <c r="S206" i="16" s="1"/>
  <c r="N219" i="16"/>
  <c r="R219" i="16" s="1"/>
  <c r="F219" i="16" s="1"/>
  <c r="G219" i="16" s="1"/>
  <c r="N231" i="16"/>
  <c r="R231" i="16" s="1"/>
  <c r="S231" i="16" s="1"/>
  <c r="F412" i="18"/>
  <c r="F413" i="18" s="1"/>
  <c r="F380" i="18"/>
  <c r="F381" i="18" s="1"/>
  <c r="C332" i="18"/>
  <c r="F332" i="18" s="1"/>
  <c r="F362" i="18"/>
  <c r="F364" i="18" s="1"/>
  <c r="F365" i="18" s="1"/>
  <c r="F318" i="18"/>
  <c r="F319" i="18" s="1"/>
  <c r="J238" i="16" s="1"/>
  <c r="K238" i="16" s="1"/>
  <c r="F339" i="18"/>
  <c r="C346" i="18" s="1"/>
  <c r="F346" i="18" s="1"/>
  <c r="F348" i="18" s="1"/>
  <c r="F349" i="18" s="1"/>
  <c r="F333" i="18"/>
  <c r="F334" i="18" s="1"/>
  <c r="F335" i="18" s="1"/>
  <c r="R246" i="16"/>
  <c r="O244" i="16"/>
  <c r="F206" i="16"/>
  <c r="G206" i="16" s="1"/>
  <c r="S180" i="16"/>
  <c r="F180" i="16"/>
  <c r="G180" i="16" s="1"/>
  <c r="S195" i="16"/>
  <c r="F195" i="16"/>
  <c r="G195" i="16" s="1"/>
  <c r="S209" i="16"/>
  <c r="F209" i="16"/>
  <c r="G209" i="16" s="1"/>
  <c r="S222" i="16"/>
  <c r="F222" i="16"/>
  <c r="G222" i="16" s="1"/>
  <c r="S233" i="16"/>
  <c r="F233" i="16"/>
  <c r="G233" i="16" s="1"/>
  <c r="O180" i="16"/>
  <c r="O195" i="16"/>
  <c r="O209" i="16"/>
  <c r="O222" i="16"/>
  <c r="O233" i="16"/>
  <c r="O206" i="16" l="1"/>
  <c r="S219" i="16"/>
  <c r="F228" i="16"/>
  <c r="G228" i="16" s="1"/>
  <c r="O183" i="16"/>
  <c r="O187" i="16"/>
  <c r="F177" i="16"/>
  <c r="G177" i="16" s="1"/>
  <c r="F187" i="16"/>
  <c r="G187" i="16" s="1"/>
  <c r="S199" i="16"/>
  <c r="F231" i="16"/>
  <c r="G231" i="16" s="1"/>
  <c r="O199" i="16"/>
  <c r="O228" i="16"/>
  <c r="S236" i="16"/>
  <c r="O236" i="16"/>
  <c r="S183" i="16"/>
  <c r="S246" i="16"/>
  <c r="F246" i="16"/>
  <c r="G246" i="16" s="1"/>
  <c r="O203" i="16"/>
  <c r="S203" i="16"/>
  <c r="O191" i="16"/>
  <c r="O231" i="16"/>
  <c r="O177" i="16"/>
  <c r="R213" i="16"/>
  <c r="F213" i="16" s="1"/>
  <c r="G213" i="16" s="1"/>
  <c r="O219" i="16"/>
  <c r="S191" i="16"/>
  <c r="F216" i="16"/>
  <c r="G216" i="16" s="1"/>
  <c r="O216" i="16"/>
  <c r="R225" i="16"/>
  <c r="F225" i="16" s="1"/>
  <c r="G225" i="16" s="1"/>
  <c r="R238" i="16"/>
  <c r="F238" i="16" s="1"/>
  <c r="G238" i="16" s="1"/>
  <c r="M170" i="16"/>
  <c r="M167" i="16"/>
  <c r="M164" i="16"/>
  <c r="M161" i="16"/>
  <c r="M158" i="16"/>
  <c r="M155" i="16"/>
  <c r="M152" i="16"/>
  <c r="M150" i="16"/>
  <c r="D187" i="15"/>
  <c r="F187" i="15" s="1"/>
  <c r="F189" i="15" s="1"/>
  <c r="S213" i="16" l="1"/>
  <c r="S225" i="16"/>
  <c r="S238" i="16"/>
  <c r="N170" i="16"/>
  <c r="O170" i="16" s="1"/>
  <c r="N158" i="16"/>
  <c r="O158" i="16" s="1"/>
  <c r="N164" i="16"/>
  <c r="O164" i="16" s="1"/>
  <c r="N152" i="16"/>
  <c r="O152" i="16" s="1"/>
  <c r="N161" i="16"/>
  <c r="O161" i="16" s="1"/>
  <c r="N150" i="16"/>
  <c r="O150" i="16" s="1"/>
  <c r="N167" i="16"/>
  <c r="O167" i="16" s="1"/>
  <c r="N155" i="16"/>
  <c r="O155" i="16" s="1"/>
  <c r="E301" i="18"/>
  <c r="F301" i="18" s="1"/>
  <c r="F300" i="18"/>
  <c r="F294" i="18"/>
  <c r="C299" i="18" s="1"/>
  <c r="F299" i="18" s="1"/>
  <c r="E289" i="18"/>
  <c r="F289" i="18" s="1"/>
  <c r="F288" i="18"/>
  <c r="C287" i="18"/>
  <c r="F287" i="18" s="1"/>
  <c r="F281" i="18"/>
  <c r="F273" i="18"/>
  <c r="E273" i="18"/>
  <c r="E272" i="18"/>
  <c r="F272" i="18" s="1"/>
  <c r="D157" i="15"/>
  <c r="D158" i="15" s="1"/>
  <c r="F158" i="15" s="1"/>
  <c r="D150" i="15"/>
  <c r="D151" i="15" s="1"/>
  <c r="F151" i="15" s="1"/>
  <c r="F153" i="15" s="1"/>
  <c r="N141" i="16" s="1"/>
  <c r="O141" i="16" s="1"/>
  <c r="D143" i="15"/>
  <c r="D144" i="15" s="1"/>
  <c r="F144" i="15" s="1"/>
  <c r="F146" i="15" s="1"/>
  <c r="N138" i="16" s="1"/>
  <c r="O138" i="16" s="1"/>
  <c r="M143" i="16"/>
  <c r="M141" i="16"/>
  <c r="M138" i="16"/>
  <c r="M131" i="16"/>
  <c r="F262" i="18"/>
  <c r="E421" i="18"/>
  <c r="F421" i="18" s="1"/>
  <c r="E420" i="18"/>
  <c r="F248" i="18"/>
  <c r="F263" i="18"/>
  <c r="F255" i="18"/>
  <c r="C261" i="18" s="1"/>
  <c r="F261" i="18" s="1"/>
  <c r="E249" i="18"/>
  <c r="F249" i="18" s="1"/>
  <c r="F242" i="18"/>
  <c r="C247" i="18" s="1"/>
  <c r="F247" i="18" s="1"/>
  <c r="F224" i="18"/>
  <c r="E224" i="18"/>
  <c r="E223" i="18"/>
  <c r="F223" i="18" s="1"/>
  <c r="E221" i="18"/>
  <c r="F221" i="18" s="1"/>
  <c r="C235" i="18" s="1"/>
  <c r="F235" i="18" s="1"/>
  <c r="E220" i="18"/>
  <c r="F220" i="18" s="1"/>
  <c r="C234" i="18" s="1"/>
  <c r="F234" i="18" s="1"/>
  <c r="F219" i="18"/>
  <c r="C233" i="18" s="1"/>
  <c r="F233" i="18" s="1"/>
  <c r="F218" i="18"/>
  <c r="C232" i="18" s="1"/>
  <c r="F232" i="18" s="1"/>
  <c r="E217" i="18"/>
  <c r="F217" i="18" s="1"/>
  <c r="C231" i="18" s="1"/>
  <c r="F231" i="18" s="1"/>
  <c r="D133" i="15"/>
  <c r="M128" i="16"/>
  <c r="M126" i="16"/>
  <c r="M123" i="16"/>
  <c r="M119" i="16"/>
  <c r="M117" i="16"/>
  <c r="M115" i="16"/>
  <c r="M113" i="16"/>
  <c r="M109" i="16"/>
  <c r="M107" i="16"/>
  <c r="M105" i="16"/>
  <c r="M102" i="16"/>
  <c r="M99" i="16"/>
  <c r="M96" i="16"/>
  <c r="K131" i="16"/>
  <c r="K115" i="16"/>
  <c r="J137" i="18"/>
  <c r="C209" i="18"/>
  <c r="F209" i="18" s="1"/>
  <c r="C208" i="18"/>
  <c r="F208" i="18" s="1"/>
  <c r="E202" i="18"/>
  <c r="F202" i="18" s="1"/>
  <c r="E203" i="18"/>
  <c r="F203" i="18" s="1"/>
  <c r="E201" i="18"/>
  <c r="F201" i="18" s="1"/>
  <c r="F194" i="18"/>
  <c r="F196" i="18" s="1"/>
  <c r="F197" i="18" s="1"/>
  <c r="J113" i="16" s="1"/>
  <c r="F191" i="18"/>
  <c r="D134" i="15"/>
  <c r="F134" i="15" s="1"/>
  <c r="F135" i="15" s="1"/>
  <c r="N131" i="16" s="1"/>
  <c r="O131" i="16" s="1"/>
  <c r="D98" i="15"/>
  <c r="D99" i="15" s="1"/>
  <c r="F99" i="15" s="1"/>
  <c r="F101" i="15" s="1"/>
  <c r="D107" i="15"/>
  <c r="D108" i="15" s="1"/>
  <c r="F108" i="15" s="1"/>
  <c r="F110" i="15" s="1"/>
  <c r="F185" i="18"/>
  <c r="F182" i="18"/>
  <c r="F160" i="18"/>
  <c r="F159" i="18"/>
  <c r="C164" i="18"/>
  <c r="F164" i="18" s="1"/>
  <c r="C163" i="18"/>
  <c r="C174" i="18"/>
  <c r="F174" i="18" s="1"/>
  <c r="F171" i="18"/>
  <c r="C175" i="18" s="1"/>
  <c r="F170" i="18"/>
  <c r="E129" i="18"/>
  <c r="F129" i="18" s="1"/>
  <c r="E130" i="18"/>
  <c r="F130" i="18" s="1"/>
  <c r="C135" i="18" s="1"/>
  <c r="C137" i="18" s="1"/>
  <c r="E131" i="18"/>
  <c r="F131" i="18" s="1"/>
  <c r="C138" i="18" s="1"/>
  <c r="F138" i="18" s="1"/>
  <c r="E152" i="18"/>
  <c r="E146" i="18"/>
  <c r="F146" i="18" s="1"/>
  <c r="C153" i="18" s="1"/>
  <c r="F153" i="18" s="1"/>
  <c r="E145" i="18"/>
  <c r="F145" i="18" s="1"/>
  <c r="C150" i="18" s="1"/>
  <c r="C152" i="18" s="1"/>
  <c r="E144" i="18"/>
  <c r="F144" i="18" s="1"/>
  <c r="C149" i="18" s="1"/>
  <c r="F149" i="18" s="1"/>
  <c r="M77" i="16"/>
  <c r="F118" i="18"/>
  <c r="C121" i="18" s="1"/>
  <c r="F121" i="18" s="1"/>
  <c r="F122" i="18" s="1"/>
  <c r="J77" i="16" s="1"/>
  <c r="K77" i="16" s="1"/>
  <c r="D87" i="15"/>
  <c r="D88" i="15" s="1"/>
  <c r="F88" i="15" s="1"/>
  <c r="F90" i="15" s="1"/>
  <c r="D78" i="15"/>
  <c r="D79" i="15" s="1"/>
  <c r="F79" i="15" s="1"/>
  <c r="F81" i="15" s="1"/>
  <c r="D69" i="15"/>
  <c r="D57" i="15"/>
  <c r="D37" i="15"/>
  <c r="D49" i="15"/>
  <c r="D224" i="15"/>
  <c r="D11" i="15"/>
  <c r="D24" i="15"/>
  <c r="D70" i="15"/>
  <c r="F70" i="15" s="1"/>
  <c r="F72" i="15" s="1"/>
  <c r="N80" i="16" s="1"/>
  <c r="O80" i="16" s="1"/>
  <c r="M87" i="16"/>
  <c r="M85" i="16"/>
  <c r="M83" i="16"/>
  <c r="M80" i="16"/>
  <c r="M75" i="16"/>
  <c r="M73" i="16"/>
  <c r="O172" i="16" l="1"/>
  <c r="F302" i="18"/>
  <c r="F303" i="18" s="1"/>
  <c r="J161" i="16" s="1"/>
  <c r="F290" i="18"/>
  <c r="F291" i="18" s="1"/>
  <c r="F274" i="18"/>
  <c r="C276" i="18" s="1"/>
  <c r="F276" i="18" s="1"/>
  <c r="N123" i="16"/>
  <c r="O123" i="16" s="1"/>
  <c r="N71" i="16"/>
  <c r="O71" i="16" s="1"/>
  <c r="N113" i="16"/>
  <c r="O113" i="16" s="1"/>
  <c r="N73" i="16"/>
  <c r="O73" i="16" s="1"/>
  <c r="N115" i="16"/>
  <c r="R115" i="16" s="1"/>
  <c r="F115" i="16" s="1"/>
  <c r="G115" i="16" s="1"/>
  <c r="N126" i="16"/>
  <c r="O126" i="16" s="1"/>
  <c r="N107" i="16"/>
  <c r="O107" i="16" s="1"/>
  <c r="N117" i="16"/>
  <c r="O117" i="16" s="1"/>
  <c r="N128" i="16"/>
  <c r="O128" i="16" s="1"/>
  <c r="F160" i="15"/>
  <c r="N143" i="16" s="1"/>
  <c r="O143" i="16" s="1"/>
  <c r="R113" i="16"/>
  <c r="S113" i="16" s="1"/>
  <c r="N109" i="16"/>
  <c r="O109" i="16" s="1"/>
  <c r="N119" i="16"/>
  <c r="O119" i="16" s="1"/>
  <c r="R131" i="16"/>
  <c r="S131" i="16" s="1"/>
  <c r="F264" i="18"/>
  <c r="F265" i="18" s="1"/>
  <c r="J141" i="16" s="1"/>
  <c r="R141" i="16" s="1"/>
  <c r="S141" i="16" s="1"/>
  <c r="F225" i="18"/>
  <c r="C236" i="18" s="1"/>
  <c r="F236" i="18" s="1"/>
  <c r="F250" i="18"/>
  <c r="F251" i="18" s="1"/>
  <c r="J143" i="16" s="1"/>
  <c r="K143" i="16" s="1"/>
  <c r="F237" i="18"/>
  <c r="F238" i="18" s="1"/>
  <c r="J138" i="16" s="1"/>
  <c r="R138" i="16" s="1"/>
  <c r="S138" i="16" s="1"/>
  <c r="C139" i="18"/>
  <c r="J126" i="16"/>
  <c r="K113" i="16"/>
  <c r="N83" i="16"/>
  <c r="O83" i="16" s="1"/>
  <c r="N85" i="16"/>
  <c r="O85" i="16" s="1"/>
  <c r="N105" i="16"/>
  <c r="O105" i="16" s="1"/>
  <c r="N99" i="16"/>
  <c r="O99" i="16" s="1"/>
  <c r="N96" i="16"/>
  <c r="O96" i="16" s="1"/>
  <c r="N102" i="16"/>
  <c r="O102" i="16" s="1"/>
  <c r="N87" i="16"/>
  <c r="O87" i="16" s="1"/>
  <c r="N75" i="16"/>
  <c r="O75" i="16" s="1"/>
  <c r="N77" i="16"/>
  <c r="O77" i="16" s="1"/>
  <c r="F210" i="18"/>
  <c r="F211" i="18" s="1"/>
  <c r="J123" i="16" s="1"/>
  <c r="F186" i="18"/>
  <c r="F187" i="18" s="1"/>
  <c r="J128" i="16" s="1"/>
  <c r="F176" i="18"/>
  <c r="F177" i="18" s="1"/>
  <c r="F163" i="18"/>
  <c r="F165" i="18" s="1"/>
  <c r="F166" i="18" s="1"/>
  <c r="F152" i="18"/>
  <c r="F154" i="18" s="1"/>
  <c r="F155" i="18" s="1"/>
  <c r="C134" i="18"/>
  <c r="F134" i="18" s="1"/>
  <c r="F139" i="18"/>
  <c r="F140" i="18" s="1"/>
  <c r="K65" i="16"/>
  <c r="K62" i="16"/>
  <c r="K59" i="16"/>
  <c r="K57" i="16"/>
  <c r="K53" i="16"/>
  <c r="K50" i="16"/>
  <c r="F8" i="20" l="1"/>
  <c r="O297" i="16"/>
  <c r="F277" i="18"/>
  <c r="F278" i="18" s="1"/>
  <c r="J150" i="16" s="1"/>
  <c r="R150" i="16"/>
  <c r="K150" i="16"/>
  <c r="J170" i="16"/>
  <c r="J158" i="16"/>
  <c r="J167" i="16"/>
  <c r="J155" i="16"/>
  <c r="J164" i="16"/>
  <c r="J152" i="16"/>
  <c r="R161" i="16"/>
  <c r="K161" i="16"/>
  <c r="R143" i="16"/>
  <c r="F143" i="16" s="1"/>
  <c r="G143" i="16" s="1"/>
  <c r="K138" i="16"/>
  <c r="F138" i="16"/>
  <c r="G138" i="16" s="1"/>
  <c r="F141" i="16"/>
  <c r="G141" i="16" s="1"/>
  <c r="K141" i="16"/>
  <c r="R77" i="16"/>
  <c r="F77" i="16" s="1"/>
  <c r="G77" i="16" s="1"/>
  <c r="F113" i="16"/>
  <c r="G113" i="16" s="1"/>
  <c r="S115" i="16"/>
  <c r="O115" i="16"/>
  <c r="F131" i="16"/>
  <c r="G131" i="16" s="1"/>
  <c r="R128" i="16"/>
  <c r="K128" i="16"/>
  <c r="R126" i="16"/>
  <c r="K126" i="16"/>
  <c r="K123" i="16"/>
  <c r="R123" i="16"/>
  <c r="J117" i="16"/>
  <c r="J119" i="16"/>
  <c r="J99" i="16"/>
  <c r="J105" i="16"/>
  <c r="J102" i="16"/>
  <c r="J96" i="16"/>
  <c r="J107" i="16"/>
  <c r="J109" i="16"/>
  <c r="M71" i="16"/>
  <c r="F113" i="18"/>
  <c r="F114" i="18" s="1"/>
  <c r="J87" i="16" s="1"/>
  <c r="K87" i="16" s="1"/>
  <c r="F104" i="18"/>
  <c r="F102" i="18"/>
  <c r="F420" i="18"/>
  <c r="F97" i="18"/>
  <c r="C95" i="18"/>
  <c r="F95" i="18" s="1"/>
  <c r="F87" i="18"/>
  <c r="J75" i="16" s="1"/>
  <c r="F83" i="18"/>
  <c r="E76" i="18"/>
  <c r="E60" i="18"/>
  <c r="E44" i="18"/>
  <c r="E51" i="18"/>
  <c r="F51" i="18" s="1"/>
  <c r="C57" i="18" s="1"/>
  <c r="F57" i="18" s="1"/>
  <c r="E52" i="18"/>
  <c r="F52" i="18" s="1"/>
  <c r="C58" i="18" s="1"/>
  <c r="C60" i="18" s="1"/>
  <c r="E69" i="18"/>
  <c r="F69" i="18" s="1"/>
  <c r="C77" i="18" s="1"/>
  <c r="F77" i="18" s="1"/>
  <c r="E68" i="18"/>
  <c r="F68" i="18" s="1"/>
  <c r="C74" i="18" s="1"/>
  <c r="C76" i="18" s="1"/>
  <c r="E67" i="18"/>
  <c r="F67" i="18" s="1"/>
  <c r="C73" i="18" s="1"/>
  <c r="F73" i="18" s="1"/>
  <c r="E53" i="18"/>
  <c r="F53" i="18" s="1"/>
  <c r="C61" i="18" s="1"/>
  <c r="F61" i="18" s="1"/>
  <c r="E37" i="18"/>
  <c r="F37" i="18" s="1"/>
  <c r="C45" i="18" s="1"/>
  <c r="F45" i="18" s="1"/>
  <c r="E36" i="18"/>
  <c r="F36" i="18" s="1"/>
  <c r="C42" i="18" s="1"/>
  <c r="E35" i="18"/>
  <c r="F35" i="18" s="1"/>
  <c r="C41" i="18" s="1"/>
  <c r="F41" i="18" s="1"/>
  <c r="F13" i="20" l="1"/>
  <c r="G8" i="20"/>
  <c r="G13" i="20" s="1"/>
  <c r="S143" i="16"/>
  <c r="R164" i="16"/>
  <c r="K164" i="16"/>
  <c r="R155" i="16"/>
  <c r="K155" i="16"/>
  <c r="K152" i="16"/>
  <c r="R152" i="16"/>
  <c r="R158" i="16"/>
  <c r="K158" i="16"/>
  <c r="R170" i="16"/>
  <c r="K170" i="16"/>
  <c r="F161" i="16"/>
  <c r="G161" i="16" s="1"/>
  <c r="S161" i="16"/>
  <c r="R167" i="16"/>
  <c r="K167" i="16"/>
  <c r="S150" i="16"/>
  <c r="F150" i="16"/>
  <c r="G150" i="16" s="1"/>
  <c r="S77" i="16"/>
  <c r="R96" i="16"/>
  <c r="K96" i="16"/>
  <c r="R119" i="16"/>
  <c r="K119" i="16"/>
  <c r="K102" i="16"/>
  <c r="R102" i="16"/>
  <c r="R117" i="16"/>
  <c r="K117" i="16"/>
  <c r="S126" i="16"/>
  <c r="F126" i="16"/>
  <c r="G126" i="16" s="1"/>
  <c r="K109" i="16"/>
  <c r="R109" i="16"/>
  <c r="R105" i="16"/>
  <c r="K105" i="16"/>
  <c r="F123" i="16"/>
  <c r="G123" i="16" s="1"/>
  <c r="S123" i="16"/>
  <c r="R107" i="16"/>
  <c r="K107" i="16"/>
  <c r="R99" i="16"/>
  <c r="K99" i="16"/>
  <c r="F128" i="16"/>
  <c r="G128" i="16" s="1"/>
  <c r="S128" i="16"/>
  <c r="R75" i="16"/>
  <c r="K75" i="16"/>
  <c r="R87" i="16"/>
  <c r="F76" i="18"/>
  <c r="F78" i="18" s="1"/>
  <c r="F79" i="18" s="1"/>
  <c r="J80" i="16" s="1"/>
  <c r="R80" i="16" s="1"/>
  <c r="F105" i="18"/>
  <c r="F106" i="18" s="1"/>
  <c r="J85" i="16" s="1"/>
  <c r="R85" i="16" s="1"/>
  <c r="F98" i="18"/>
  <c r="F99" i="18" s="1"/>
  <c r="J83" i="16" s="1"/>
  <c r="R83" i="16" s="1"/>
  <c r="F60" i="18"/>
  <c r="F62" i="18" s="1"/>
  <c r="F63" i="18" s="1"/>
  <c r="J73" i="16" s="1"/>
  <c r="R73" i="16" s="1"/>
  <c r="C44" i="18"/>
  <c r="F44" i="18" s="1"/>
  <c r="F46" i="18" s="1"/>
  <c r="F47" i="18" s="1"/>
  <c r="J71" i="16" s="1"/>
  <c r="K71" i="16" s="1"/>
  <c r="M65" i="16"/>
  <c r="D60" i="15"/>
  <c r="F60" i="15" s="1"/>
  <c r="F62" i="15" s="1"/>
  <c r="M62" i="16"/>
  <c r="M59" i="16"/>
  <c r="M57" i="16"/>
  <c r="F17" i="18"/>
  <c r="C27" i="18" s="1"/>
  <c r="F27" i="18" s="1"/>
  <c r="F28" i="18" s="1"/>
  <c r="S155" i="16" l="1"/>
  <c r="F155" i="16"/>
  <c r="G155" i="16" s="1"/>
  <c r="S152" i="16"/>
  <c r="S172" i="16" s="1"/>
  <c r="S297" i="16" s="1"/>
  <c r="H16" i="19" s="1"/>
  <c r="F152" i="16"/>
  <c r="G152" i="16" s="1"/>
  <c r="F158" i="16"/>
  <c r="G158" i="16" s="1"/>
  <c r="G172" i="16" s="1"/>
  <c r="S158" i="16"/>
  <c r="S167" i="16"/>
  <c r="F167" i="16"/>
  <c r="G167" i="16" s="1"/>
  <c r="S170" i="16"/>
  <c r="F170" i="16"/>
  <c r="G170" i="16" s="1"/>
  <c r="S164" i="16"/>
  <c r="F164" i="16"/>
  <c r="G164" i="16" s="1"/>
  <c r="F109" i="16"/>
  <c r="G109" i="16" s="1"/>
  <c r="S109" i="16"/>
  <c r="F99" i="16"/>
  <c r="G99" i="16" s="1"/>
  <c r="S99" i="16"/>
  <c r="S117" i="16"/>
  <c r="F117" i="16"/>
  <c r="G117" i="16" s="1"/>
  <c r="S119" i="16"/>
  <c r="F119" i="16"/>
  <c r="G119" i="16" s="1"/>
  <c r="S102" i="16"/>
  <c r="F102" i="16"/>
  <c r="G102" i="16" s="1"/>
  <c r="F107" i="16"/>
  <c r="G107" i="16" s="1"/>
  <c r="S107" i="16"/>
  <c r="S105" i="16"/>
  <c r="F105" i="16"/>
  <c r="G105" i="16" s="1"/>
  <c r="F96" i="16"/>
  <c r="G96" i="16" s="1"/>
  <c r="S96" i="16"/>
  <c r="K85" i="16"/>
  <c r="R71" i="16"/>
  <c r="S71" i="16" s="1"/>
  <c r="S80" i="16"/>
  <c r="F80" i="16"/>
  <c r="G80" i="16" s="1"/>
  <c r="S73" i="16"/>
  <c r="F73" i="16"/>
  <c r="G73" i="16" s="1"/>
  <c r="S83" i="16"/>
  <c r="F83" i="16"/>
  <c r="G83" i="16" s="1"/>
  <c r="S75" i="16"/>
  <c r="F75" i="16"/>
  <c r="G75" i="16" s="1"/>
  <c r="S85" i="16"/>
  <c r="F85" i="16"/>
  <c r="G85" i="16" s="1"/>
  <c r="S87" i="16"/>
  <c r="F87" i="16"/>
  <c r="G87" i="16" s="1"/>
  <c r="K73" i="16"/>
  <c r="K83" i="16"/>
  <c r="K80" i="16"/>
  <c r="N59" i="16"/>
  <c r="O59" i="16" s="1"/>
  <c r="N65" i="16"/>
  <c r="N57" i="16"/>
  <c r="O57" i="16" s="1"/>
  <c r="N62" i="16"/>
  <c r="R62" i="16" s="1"/>
  <c r="S62" i="16" s="1"/>
  <c r="F16" i="18"/>
  <c r="C24" i="18" s="1"/>
  <c r="F24" i="18" s="1"/>
  <c r="M53" i="16"/>
  <c r="M50" i="16"/>
  <c r="K39" i="16"/>
  <c r="K42" i="16"/>
  <c r="C11" i="18"/>
  <c r="F11" i="18" s="1"/>
  <c r="F12" i="18" s="1"/>
  <c r="F8" i="18"/>
  <c r="H8" i="20" l="1"/>
  <c r="I8" i="20" s="1"/>
  <c r="D13" i="19"/>
  <c r="G297" i="16"/>
  <c r="F16" i="19" s="1"/>
  <c r="J16" i="19" s="1"/>
  <c r="R59" i="16"/>
  <c r="S59" i="16" s="1"/>
  <c r="F71" i="16"/>
  <c r="G71" i="16" s="1"/>
  <c r="R57" i="16"/>
  <c r="S57" i="16" s="1"/>
  <c r="F62" i="16"/>
  <c r="G62" i="16" s="1"/>
  <c r="O62" i="16"/>
  <c r="O65" i="16"/>
  <c r="R65" i="16"/>
  <c r="F26" i="18"/>
  <c r="F25" i="18"/>
  <c r="J47" i="16"/>
  <c r="J44" i="16"/>
  <c r="K44" i="16" s="1"/>
  <c r="M44" i="16"/>
  <c r="M42" i="16"/>
  <c r="M39" i="16"/>
  <c r="D52" i="15"/>
  <c r="F52" i="15" s="1"/>
  <c r="F54" i="15" s="1"/>
  <c r="N44" i="16" s="1"/>
  <c r="O44" i="16" s="1"/>
  <c r="M31" i="16"/>
  <c r="M29" i="16"/>
  <c r="K31" i="16"/>
  <c r="K29" i="16"/>
  <c r="K27" i="16"/>
  <c r="K21" i="16"/>
  <c r="K18" i="16"/>
  <c r="K15" i="16"/>
  <c r="K10" i="16"/>
  <c r="D40" i="15"/>
  <c r="M27" i="16"/>
  <c r="C435" i="18"/>
  <c r="C434" i="18"/>
  <c r="F434" i="18" s="1"/>
  <c r="M21" i="16"/>
  <c r="M18" i="16"/>
  <c r="D30" i="15"/>
  <c r="F30" i="15" s="1"/>
  <c r="F32" i="15" s="1"/>
  <c r="N18" i="16" s="1"/>
  <c r="Q15" i="16"/>
  <c r="M15" i="16"/>
  <c r="Q10" i="16"/>
  <c r="M10" i="16"/>
  <c r="D17" i="15"/>
  <c r="F17" i="15" s="1"/>
  <c r="F19" i="15" s="1"/>
  <c r="N15" i="16" s="1"/>
  <c r="R15" i="16" s="1"/>
  <c r="M291" i="16"/>
  <c r="C436" i="18"/>
  <c r="F429" i="18"/>
  <c r="H13" i="20" l="1"/>
  <c r="I13" i="20" s="1"/>
  <c r="F57" i="16"/>
  <c r="G57" i="16" s="1"/>
  <c r="F59" i="16"/>
  <c r="G59" i="16" s="1"/>
  <c r="F65" i="16"/>
  <c r="G65" i="16" s="1"/>
  <c r="S65" i="16"/>
  <c r="N47" i="16"/>
  <c r="O47" i="16" s="1"/>
  <c r="N50" i="16"/>
  <c r="N39" i="16"/>
  <c r="R39" i="16" s="1"/>
  <c r="F39" i="16" s="1"/>
  <c r="G39" i="16" s="1"/>
  <c r="N42" i="16"/>
  <c r="R42" i="16" s="1"/>
  <c r="F42" i="16" s="1"/>
  <c r="G42" i="16" s="1"/>
  <c r="R44" i="16"/>
  <c r="S44" i="16" s="1"/>
  <c r="K47" i="16"/>
  <c r="C437" i="18"/>
  <c r="C424" i="18"/>
  <c r="F424" i="18" s="1"/>
  <c r="C425" i="18"/>
  <c r="C427" i="18" s="1"/>
  <c r="O18" i="16"/>
  <c r="R18" i="16"/>
  <c r="N21" i="16"/>
  <c r="N10" i="16"/>
  <c r="O10" i="16" s="1"/>
  <c r="O15" i="16"/>
  <c r="S15" i="16"/>
  <c r="F15" i="16"/>
  <c r="G15" i="16" s="1"/>
  <c r="S42" i="16" l="1"/>
  <c r="O42" i="16"/>
  <c r="R47" i="16"/>
  <c r="S47" i="16" s="1"/>
  <c r="S39" i="16"/>
  <c r="O39" i="16"/>
  <c r="R50" i="16"/>
  <c r="O50" i="16"/>
  <c r="F44" i="16"/>
  <c r="G44" i="16" s="1"/>
  <c r="R10" i="16"/>
  <c r="S10" i="16" s="1"/>
  <c r="O21" i="16"/>
  <c r="R21" i="16"/>
  <c r="F18" i="16"/>
  <c r="G18" i="16" s="1"/>
  <c r="S18" i="16"/>
  <c r="F10" i="16" l="1"/>
  <c r="G10" i="16" s="1"/>
  <c r="F47" i="16"/>
  <c r="G47" i="16" s="1"/>
  <c r="F50" i="16"/>
  <c r="G50" i="16" s="1"/>
  <c r="S50" i="16"/>
  <c r="S21" i="16"/>
  <c r="F21" i="16"/>
  <c r="G21" i="16" s="1"/>
  <c r="E437" i="18" l="1"/>
  <c r="E427" i="18"/>
  <c r="F427" i="18" s="1"/>
  <c r="F430" i="18" s="1"/>
  <c r="F431" i="18" s="1"/>
  <c r="J289" i="16" s="1"/>
  <c r="Q289" i="16"/>
  <c r="M289" i="16"/>
  <c r="D225" i="15"/>
  <c r="F225" i="15" s="1"/>
  <c r="F227" i="15" s="1"/>
  <c r="N291" i="16" s="1"/>
  <c r="E438" i="18" l="1"/>
  <c r="F437" i="18"/>
  <c r="F438" i="18" s="1"/>
  <c r="F439" i="18" s="1"/>
  <c r="J291" i="16" s="1"/>
  <c r="K291" i="16" s="1"/>
  <c r="O291" i="16"/>
  <c r="N289" i="16"/>
  <c r="O289" i="16" s="1"/>
  <c r="K289" i="16"/>
  <c r="R291" i="16" l="1"/>
  <c r="F291" i="16" s="1"/>
  <c r="G291" i="16" s="1"/>
  <c r="R289" i="16"/>
  <c r="F289" i="16" s="1"/>
  <c r="G289" i="16" s="1"/>
  <c r="S291" i="16" l="1"/>
  <c r="S289" i="16"/>
  <c r="F40" i="15" l="1"/>
  <c r="F42" i="15" s="1"/>
  <c r="N53" i="16" s="1"/>
  <c r="O53" i="16" l="1"/>
  <c r="R53" i="16"/>
  <c r="N27" i="16"/>
  <c r="R27" i="16" s="1"/>
  <c r="N31" i="16"/>
  <c r="N29" i="16"/>
  <c r="O27" i="16" l="1"/>
  <c r="S53" i="16"/>
  <c r="F53" i="16"/>
  <c r="G53" i="16" s="1"/>
  <c r="O31" i="16"/>
  <c r="R31" i="16"/>
  <c r="O29" i="16"/>
  <c r="R29" i="16"/>
  <c r="F27" i="16"/>
  <c r="G27" i="16" s="1"/>
  <c r="S27" i="16"/>
  <c r="S29" i="16" l="1"/>
  <c r="F29" i="16"/>
  <c r="G29" i="16" s="1"/>
  <c r="F31" i="16"/>
  <c r="G31" i="16" s="1"/>
  <c r="S31" i="16"/>
  <c r="C207" i="18" l="1"/>
  <c r="F207" i="18" s="1"/>
</calcChain>
</file>

<file path=xl/comments1.xml><?xml version="1.0" encoding="utf-8"?>
<comments xmlns="http://schemas.openxmlformats.org/spreadsheetml/2006/main">
  <authors>
    <author>Nash</author>
  </authors>
  <commentList>
    <comment ref="F87" authorId="0" shapeId="0">
      <text>
        <r>
          <rPr>
            <b/>
            <sz val="9"/>
            <color indexed="81"/>
            <rFont val="Tahoma"/>
            <family val="2"/>
          </rPr>
          <t>Nash:</t>
        </r>
        <r>
          <rPr>
            <sz val="9"/>
            <color indexed="81"/>
            <rFont val="Tahoma"/>
            <family val="2"/>
          </rPr>
          <t xml:space="preserve">
Insert Start Date</t>
        </r>
      </text>
    </comment>
  </commentList>
</comments>
</file>

<file path=xl/sharedStrings.xml><?xml version="1.0" encoding="utf-8"?>
<sst xmlns="http://schemas.openxmlformats.org/spreadsheetml/2006/main" count="1550" uniqueCount="535">
  <si>
    <t>BILL NO.1</t>
  </si>
  <si>
    <t>PRELIMINARIES &amp; GENERALS</t>
  </si>
  <si>
    <t>ITEM</t>
  </si>
  <si>
    <t>DESCRIPTION</t>
  </si>
  <si>
    <t>UNITY</t>
  </si>
  <si>
    <t>RATE</t>
  </si>
  <si>
    <t>AMOUNT</t>
  </si>
  <si>
    <t>$</t>
  </si>
  <si>
    <t>SITE CLEARANCE</t>
  </si>
  <si>
    <t>Cutting dow of trees of girth exc 500 but</t>
  </si>
  <si>
    <t xml:space="preserve">n.e 1000 incl grabbing up of roots and </t>
  </si>
  <si>
    <t>filling with suitable material</t>
  </si>
  <si>
    <t xml:space="preserve">less than 2000  but more thn 1000, incl </t>
  </si>
  <si>
    <t>grabbing up of roots and filling with</t>
  </si>
  <si>
    <t xml:space="preserve"> suitable material</t>
  </si>
  <si>
    <t>No</t>
  </si>
  <si>
    <t>A</t>
  </si>
  <si>
    <t>B</t>
  </si>
  <si>
    <t xml:space="preserve">Site clearance of all heges , vegetation, </t>
  </si>
  <si>
    <t>and shrubs of girth n.e 500 mm</t>
  </si>
  <si>
    <t>m²</t>
  </si>
  <si>
    <t>QUANTITY</t>
  </si>
  <si>
    <t xml:space="preserve">Top soil exc of depth 150 mm including </t>
  </si>
  <si>
    <t xml:space="preserve">disposal of material offsite. </t>
  </si>
  <si>
    <t xml:space="preserve">Anthill exc. Incl. removal of the queen </t>
  </si>
  <si>
    <t>and fillling holes with suitable materials</t>
  </si>
  <si>
    <t>Item</t>
  </si>
  <si>
    <t>EXCAVATIONS</t>
  </si>
  <si>
    <t>Trench excavations not excedding 2m deep</t>
  </si>
  <si>
    <t>Extra over exc on hard pickable grounds</t>
  </si>
  <si>
    <t>Ditto exc on on hard rock</t>
  </si>
  <si>
    <t>C</t>
  </si>
  <si>
    <t>SUNDRIES</t>
  </si>
  <si>
    <t>Pumping and bailing of ground water</t>
  </si>
  <si>
    <t>Keeping exc free from suface and water</t>
  </si>
  <si>
    <t>storms</t>
  </si>
  <si>
    <t>Scarifying and Compacting bottom of</t>
  </si>
  <si>
    <t xml:space="preserve">trenches to specified density </t>
  </si>
  <si>
    <t>Surface treatment with approved fumigent</t>
  </si>
  <si>
    <t>item</t>
  </si>
  <si>
    <t xml:space="preserve">Surface treatment to bottom of roomss with </t>
  </si>
  <si>
    <t>approved fumigent</t>
  </si>
  <si>
    <t xml:space="preserve">room surfaces to specified density </t>
  </si>
  <si>
    <t>DISPOSALS</t>
  </si>
  <si>
    <t>Soil treatment, backfilling around foundation</t>
  </si>
  <si>
    <t>m³</t>
  </si>
  <si>
    <t>Cartaway surplus excavated material to</t>
  </si>
  <si>
    <t>dumpsite found by contractor</t>
  </si>
  <si>
    <t>FORMATIONS</t>
  </si>
  <si>
    <t>stones, rubbles free from sulphates and oils</t>
  </si>
  <si>
    <t>Well graded compacted hardcore of bricks,</t>
  </si>
  <si>
    <t>50mm sand blinding</t>
  </si>
  <si>
    <t xml:space="preserve">Earthwork support to side of trenches </t>
  </si>
  <si>
    <t>n.e 2m deep</t>
  </si>
  <si>
    <t>Concrete grade 20 MPA to foundation footing</t>
  </si>
  <si>
    <t xml:space="preserve">Concrete slab grad 20 MPA </t>
  </si>
  <si>
    <t>Meshwire to Slab</t>
  </si>
  <si>
    <t xml:space="preserve">Extra over for facings including painting </t>
  </si>
  <si>
    <t>mortar in stretcher bond</t>
  </si>
  <si>
    <t>mortar in stretcher</t>
  </si>
  <si>
    <t>One brickwall in hard common brick 1:4</t>
  </si>
  <si>
    <t>c/sand motar laid in stretcher bond</t>
  </si>
  <si>
    <t>Sundries</t>
  </si>
  <si>
    <t>Brickforce to suit one brickwall</t>
  </si>
  <si>
    <t>m</t>
  </si>
  <si>
    <t>Brickforce to suit half brickwall</t>
  </si>
  <si>
    <t>Air vents</t>
  </si>
  <si>
    <t>One brickwall in bricks in 1:4 c/s</t>
  </si>
  <si>
    <t>Damp proof course to suit one brickwall</t>
  </si>
  <si>
    <t>Damp proof course to suit half brick wall</t>
  </si>
  <si>
    <t>Concrete roof tiles on timber trusses at pitch</t>
  </si>
  <si>
    <t>22.5 degrees approved by specialist</t>
  </si>
  <si>
    <t>Half rounded bedded endinite cement ridge</t>
  </si>
  <si>
    <t>capping</t>
  </si>
  <si>
    <t>300 x 300 pre-treated timber on fascia board</t>
  </si>
  <si>
    <t>114 X 38 wall plate timber tied to wall</t>
  </si>
  <si>
    <t>bytiers or string wire</t>
  </si>
  <si>
    <t>100 x 50 mm pre-treated timber for rafters</t>
  </si>
  <si>
    <t xml:space="preserve">100 x 50 mm thick pre-treated timber to </t>
  </si>
  <si>
    <t>ceiling joist</t>
  </si>
  <si>
    <t>collars</t>
  </si>
  <si>
    <t xml:space="preserve">225 x 38 mm pre-treated timber to </t>
  </si>
  <si>
    <t>Ridgeboard</t>
  </si>
  <si>
    <t>binders</t>
  </si>
  <si>
    <t>purlins</t>
  </si>
  <si>
    <t>hangers</t>
  </si>
  <si>
    <t xml:space="preserve">Internal quality 813 x 2032 x 44mm </t>
  </si>
  <si>
    <t xml:space="preserve">External quality 813 x 2032 x 44mm </t>
  </si>
  <si>
    <t>semi solid core flush panel door (D2)</t>
  </si>
  <si>
    <t>semi solid core flush panel door (DG3)</t>
  </si>
  <si>
    <t>semi solid core flush panel door (DG4)</t>
  </si>
  <si>
    <t xml:space="preserve">813 x 2032 x 230 mm standard pressed </t>
  </si>
  <si>
    <t>steel door frames including cast iron</t>
  </si>
  <si>
    <t>hinges (RHO)</t>
  </si>
  <si>
    <t xml:space="preserve">813 x 2400 x 230 mm standard pressed </t>
  </si>
  <si>
    <t>hinges (LHO)</t>
  </si>
  <si>
    <t>Chromium plated 3 lever lockset mortice</t>
  </si>
  <si>
    <t>including sinking, boring, and fixing to</t>
  </si>
  <si>
    <t>door</t>
  </si>
  <si>
    <t>Chromium plated 2 lever lockset mortice</t>
  </si>
  <si>
    <t xml:space="preserve">Chromium plated coat hook including </t>
  </si>
  <si>
    <t>screwing to door</t>
  </si>
  <si>
    <t xml:space="preserve">40 mm rubber door stop plugged to </t>
  </si>
  <si>
    <t>ground</t>
  </si>
  <si>
    <t>Size 2 door closer to regulate opening of</t>
  </si>
  <si>
    <t xml:space="preserve">timber doors fimly fixed to the wall and </t>
  </si>
  <si>
    <t>equally approved door</t>
  </si>
  <si>
    <t xml:space="preserve">Sundries </t>
  </si>
  <si>
    <t>Lintols to door frames</t>
  </si>
  <si>
    <t>Mornach or equally approved steel</t>
  </si>
  <si>
    <t>window frames with catalogue No WG2</t>
  </si>
  <si>
    <t xml:space="preserve">No </t>
  </si>
  <si>
    <t>window frames with catalogue No W3</t>
  </si>
  <si>
    <t>window frames with catalogue No W1</t>
  </si>
  <si>
    <t>window frames with catalogue No W4</t>
  </si>
  <si>
    <t>6.38 mm laminated glass with tints</t>
  </si>
  <si>
    <t>4 mm obscured glass</t>
  </si>
  <si>
    <t>BOE window  facebrick including</t>
  </si>
  <si>
    <t>painting all around edges</t>
  </si>
  <si>
    <t>DPC to window cills</t>
  </si>
  <si>
    <t>Pelmet to all windows</t>
  </si>
  <si>
    <t>Apply 2 coats external plaster finished</t>
  </si>
  <si>
    <t>smooth with a wooden float</t>
  </si>
  <si>
    <t>Apply 1 coat internal plaster finished</t>
  </si>
  <si>
    <t>Painting timber doors with knot primer</t>
  </si>
  <si>
    <t>stop and u/c anmd 2 finishing coats high</t>
  </si>
  <si>
    <t>gloss enamel paint</t>
  </si>
  <si>
    <t>Clean up and supply touch up oxide</t>
  </si>
  <si>
    <t xml:space="preserve">priming oxide and apply 1 coat and 2 </t>
  </si>
  <si>
    <t>finishing coats high gloss enamel paint</t>
  </si>
  <si>
    <t>to pressed steel door frame.</t>
  </si>
  <si>
    <t>to compressed steel</t>
  </si>
  <si>
    <t xml:space="preserve">Prepare and apply 1 u/c and 2 finishing </t>
  </si>
  <si>
    <t xml:space="preserve">coats ceiling paint to ceiling joists </t>
  </si>
  <si>
    <t>and boards</t>
  </si>
  <si>
    <t>38 x 38 mm brandering fixed underneath</t>
  </si>
  <si>
    <t>ceiling joists</t>
  </si>
  <si>
    <t>6 mm tap boards nailed to 38 x 38 brandering</t>
  </si>
  <si>
    <t>internal quality PVC paint to plaster</t>
  </si>
  <si>
    <t>internal walls</t>
  </si>
  <si>
    <t>i</t>
  </si>
  <si>
    <t>ii</t>
  </si>
  <si>
    <t>Supervision</t>
  </si>
  <si>
    <t>Inspection</t>
  </si>
  <si>
    <t>Service Costs</t>
  </si>
  <si>
    <t>Builder</t>
  </si>
  <si>
    <t>sum</t>
  </si>
  <si>
    <t xml:space="preserve">Half brickwall in hard common brick 1:5 </t>
  </si>
  <si>
    <t>c/sand mortar lad in stretcherr bond</t>
  </si>
  <si>
    <t>Site Foremen</t>
  </si>
  <si>
    <t>TOTAL PRELIMINARIES TO SUMMARY</t>
  </si>
  <si>
    <t>cast insitu reinirced concrete beam of size</t>
  </si>
  <si>
    <t>230 x 170 mm grade 25 Mpa</t>
  </si>
  <si>
    <t>Formwork to support sides of the concrete</t>
  </si>
  <si>
    <t>beam</t>
  </si>
  <si>
    <t>Reinforcement bars</t>
  </si>
  <si>
    <t>Kg</t>
  </si>
  <si>
    <t>Slump test</t>
  </si>
  <si>
    <t>LABOUR CATEGORY</t>
  </si>
  <si>
    <t>COST</t>
  </si>
  <si>
    <t>PRODUCTIVITY</t>
  </si>
  <si>
    <t>COST/UM</t>
  </si>
  <si>
    <t>40 mm granolith floor mixed with red oxide</t>
  </si>
  <si>
    <t>add: allow for shifting of tools</t>
  </si>
  <si>
    <t>MATERIALS</t>
  </si>
  <si>
    <t>EQUIPMENT</t>
  </si>
  <si>
    <t>LABOUR</t>
  </si>
  <si>
    <t>SUBCONTRACTOR</t>
  </si>
  <si>
    <t>TOTAL</t>
  </si>
  <si>
    <t>PROFIT MARGIN</t>
  </si>
  <si>
    <t>Item Description</t>
  </si>
  <si>
    <t>Unit</t>
  </si>
  <si>
    <t>Qty</t>
  </si>
  <si>
    <t>Rate</t>
  </si>
  <si>
    <t>Amount</t>
  </si>
  <si>
    <r>
      <t>m</t>
    </r>
    <r>
      <rPr>
        <vertAlign val="superscript"/>
        <sz val="11"/>
        <color theme="1"/>
        <rFont val="Calibri"/>
        <family val="2"/>
        <scheme val="minor"/>
      </rPr>
      <t>2</t>
    </r>
  </si>
  <si>
    <t>TOTAL AMOUNT</t>
  </si>
  <si>
    <t>WC</t>
  </si>
  <si>
    <t>PER</t>
  </si>
  <si>
    <t>PRICE</t>
  </si>
  <si>
    <t>Sand</t>
  </si>
  <si>
    <r>
      <t>m</t>
    </r>
    <r>
      <rPr>
        <vertAlign val="superscript"/>
        <sz val="11"/>
        <color theme="1"/>
        <rFont val="Calibri"/>
        <family val="2"/>
        <scheme val="minor"/>
      </rPr>
      <t>3</t>
    </r>
  </si>
  <si>
    <t>Cement</t>
  </si>
  <si>
    <t>add: shinkage factor 1.25%</t>
  </si>
  <si>
    <t>Bag</t>
  </si>
  <si>
    <t>Black oxide</t>
  </si>
  <si>
    <t>Add: oxide ratio of 2%</t>
  </si>
  <si>
    <t>A1</t>
  </si>
  <si>
    <t>Apply floor screed on top of concrete slab</t>
  </si>
  <si>
    <t xml:space="preserve"> DITTO</t>
  </si>
  <si>
    <t>REF</t>
  </si>
  <si>
    <t>BILL 2: FOUNDATION</t>
  </si>
  <si>
    <t>A2</t>
  </si>
  <si>
    <t>CUTTING DOWN TREES</t>
  </si>
  <si>
    <t>QUANTITIES</t>
  </si>
  <si>
    <t>SAND</t>
  </si>
  <si>
    <t>QTY</t>
  </si>
  <si>
    <t>Constants</t>
  </si>
  <si>
    <t>CEMENT</t>
  </si>
  <si>
    <t>Area (m2)</t>
  </si>
  <si>
    <t>MATERIAL : Grano floor</t>
  </si>
  <si>
    <t>MATERIAL : Screed</t>
  </si>
  <si>
    <t>BILL 2: FOUNDATIONS</t>
  </si>
  <si>
    <t xml:space="preserve">Surface treatment </t>
  </si>
  <si>
    <t>Approved Fumigent</t>
  </si>
  <si>
    <t xml:space="preserve">MATERIAL: </t>
  </si>
  <si>
    <r>
      <t>VOL (m</t>
    </r>
    <r>
      <rPr>
        <b/>
        <vertAlign val="superscript"/>
        <sz val="11"/>
        <color theme="1"/>
        <rFont val="Calibri"/>
        <family val="2"/>
        <scheme val="minor"/>
      </rPr>
      <t>3</t>
    </r>
    <r>
      <rPr>
        <b/>
        <sz val="11"/>
        <color theme="1"/>
        <rFont val="Calibri"/>
        <family val="2"/>
        <scheme val="minor"/>
      </rPr>
      <t>)</t>
    </r>
  </si>
  <si>
    <t>Hardcore</t>
  </si>
  <si>
    <t xml:space="preserve">stones, rubbles free from </t>
  </si>
  <si>
    <t>sulphates and oils</t>
  </si>
  <si>
    <t>Blinding</t>
  </si>
  <si>
    <t>Timbering</t>
  </si>
  <si>
    <r>
      <t>AREA (m</t>
    </r>
    <r>
      <rPr>
        <b/>
        <vertAlign val="superscript"/>
        <sz val="11"/>
        <color theme="1"/>
        <rFont val="Calibri"/>
        <family val="2"/>
        <scheme val="minor"/>
      </rPr>
      <t>2</t>
    </r>
    <r>
      <rPr>
        <b/>
        <sz val="11"/>
        <color theme="1"/>
        <rFont val="Calibri"/>
        <family val="2"/>
        <scheme val="minor"/>
      </rPr>
      <t>)</t>
    </r>
  </si>
  <si>
    <t>DISPOSAL</t>
  </si>
  <si>
    <t>Earthwork</t>
  </si>
  <si>
    <t xml:space="preserve">Hadcore, sand blinding , compacting, </t>
  </si>
  <si>
    <t>DISPOSAL &amp; FORMATIONS</t>
  </si>
  <si>
    <t>B1</t>
  </si>
  <si>
    <t>BILL 3: CONCRETE AND REINFORCEMENT</t>
  </si>
  <si>
    <t>Formwork to beam soffits incl. poppings</t>
  </si>
  <si>
    <t>250mm micron DPM incl. uptuned edges</t>
  </si>
  <si>
    <t>STONE</t>
  </si>
  <si>
    <t>20Mpa</t>
  </si>
  <si>
    <t>BILL 3: CONCRETE &amp; REINFORCEMENT</t>
  </si>
  <si>
    <t>FOUNDATION FOOTING</t>
  </si>
  <si>
    <t>SLAB</t>
  </si>
  <si>
    <t>GRANO &amp; SCREED</t>
  </si>
  <si>
    <t>BEAM</t>
  </si>
  <si>
    <t xml:space="preserve">Concrete grade 20 MPA  </t>
  </si>
  <si>
    <t>to foundation footing</t>
  </si>
  <si>
    <t xml:space="preserve">Stone </t>
  </si>
  <si>
    <t>MESHWIRE</t>
  </si>
  <si>
    <t>25Mpa</t>
  </si>
  <si>
    <t>SHEETS</t>
  </si>
  <si>
    <t>MATERIAL</t>
  </si>
  <si>
    <t>SHEET</t>
  </si>
  <si>
    <t>NO</t>
  </si>
  <si>
    <t>FORMWORK</t>
  </si>
  <si>
    <t>Plywood and timber</t>
  </si>
  <si>
    <t xml:space="preserve">Nails, binding wire, &amp; other </t>
  </si>
  <si>
    <t>fasteners</t>
  </si>
  <si>
    <t>kg</t>
  </si>
  <si>
    <t>REINFORCEMENT BARS</t>
  </si>
  <si>
    <t>MATERIAL : Side support</t>
  </si>
  <si>
    <t>MATERIAL : to soffits</t>
  </si>
  <si>
    <t>Sides</t>
  </si>
  <si>
    <t>Soffit</t>
  </si>
  <si>
    <t>Kgs</t>
  </si>
  <si>
    <t>MATERIAL : Reinforcement</t>
  </si>
  <si>
    <t>to concrete beam</t>
  </si>
  <si>
    <t>BILL 3: FOUNDATION</t>
  </si>
  <si>
    <t>AND</t>
  </si>
  <si>
    <r>
      <t>m</t>
    </r>
    <r>
      <rPr>
        <vertAlign val="superscript"/>
        <sz val="11"/>
        <color theme="1"/>
        <rFont val="Calibri"/>
        <family val="2"/>
        <scheme val="minor"/>
      </rPr>
      <t>3</t>
    </r>
    <r>
      <rPr>
        <sz val="11"/>
        <color theme="1"/>
        <rFont val="Calibri"/>
        <family val="2"/>
        <scheme val="minor"/>
      </rPr>
      <t>/hour</t>
    </r>
  </si>
  <si>
    <t>SW1</t>
  </si>
  <si>
    <t>SW4</t>
  </si>
  <si>
    <t>WG4</t>
  </si>
  <si>
    <t>SW2</t>
  </si>
  <si>
    <t>WG2</t>
  </si>
  <si>
    <t>WG4 X 6</t>
  </si>
  <si>
    <t>Trench excavations not exceEding 2m deep</t>
  </si>
  <si>
    <t>WG4 X 7</t>
  </si>
  <si>
    <t>WG4 X 3</t>
  </si>
  <si>
    <t>Cast insitu reinirced concrete beam of size</t>
  </si>
  <si>
    <t>CONCRETING</t>
  </si>
  <si>
    <t>REINFORCEMENT</t>
  </si>
  <si>
    <t>WG 1 X 5</t>
  </si>
  <si>
    <t>WG 1 X 2</t>
  </si>
  <si>
    <t>Meshwire to slab</t>
  </si>
  <si>
    <t>DPM</t>
  </si>
  <si>
    <r>
      <t>Area/m</t>
    </r>
    <r>
      <rPr>
        <b/>
        <vertAlign val="superscript"/>
        <sz val="11"/>
        <color theme="1"/>
        <rFont val="Calibri"/>
        <family val="2"/>
        <scheme val="minor"/>
      </rPr>
      <t>2</t>
    </r>
  </si>
  <si>
    <t>MATERIAL : DPM</t>
  </si>
  <si>
    <t xml:space="preserve">Beam filling between spaces with </t>
  </si>
  <si>
    <t xml:space="preserve"> specified material</t>
  </si>
  <si>
    <t>Internal 150 x 150 mm white tile window</t>
  </si>
  <si>
    <t xml:space="preserve"> cills in nw</t>
  </si>
  <si>
    <t xml:space="preserve">Precast lintols to suit engineers </t>
  </si>
  <si>
    <t>requirements to window openings</t>
  </si>
  <si>
    <t>B2</t>
  </si>
  <si>
    <t>BILL 4: BRICKWORK</t>
  </si>
  <si>
    <t>ONE BRICKWALL</t>
  </si>
  <si>
    <t>BRICK</t>
  </si>
  <si>
    <t>Brick -Commons</t>
  </si>
  <si>
    <t>Brick</t>
  </si>
  <si>
    <t>HALF BRICKWALL</t>
  </si>
  <si>
    <t>MATERIAL : 230 BWK</t>
  </si>
  <si>
    <t>MATERIAL : 115 BWK</t>
  </si>
  <si>
    <t>BRICKFORCE</t>
  </si>
  <si>
    <t>115 BF</t>
  </si>
  <si>
    <t>230 BF</t>
  </si>
  <si>
    <t>DPC</t>
  </si>
  <si>
    <r>
      <t>m</t>
    </r>
    <r>
      <rPr>
        <b/>
        <vertAlign val="superscript"/>
        <sz val="11"/>
        <color theme="1"/>
        <rFont val="Calibri"/>
        <family val="2"/>
        <scheme val="minor"/>
      </rPr>
      <t>2</t>
    </r>
  </si>
  <si>
    <t>Half brickwall in industrial bricks in 1:4 c/s</t>
  </si>
  <si>
    <t>Half brickwall in bricks in 1:4 c/s</t>
  </si>
  <si>
    <t>WG 1 X 4</t>
  </si>
  <si>
    <t>WG 1 X 6</t>
  </si>
  <si>
    <t>BEAM FILLNG</t>
  </si>
  <si>
    <t>FILLING</t>
  </si>
  <si>
    <t>BRICK ON EDGE</t>
  </si>
  <si>
    <t>MATERIAL : BOE</t>
  </si>
  <si>
    <t>Bags</t>
  </si>
  <si>
    <r>
      <t>m</t>
    </r>
    <r>
      <rPr>
        <b/>
        <vertAlign val="superscript"/>
        <sz val="11"/>
        <color theme="1"/>
        <rFont val="Calibri"/>
        <family val="2"/>
        <scheme val="minor"/>
      </rPr>
      <t>3</t>
    </r>
  </si>
  <si>
    <t>B3</t>
  </si>
  <si>
    <t>BILL 5: ROOF COVERING</t>
  </si>
  <si>
    <t>TILES</t>
  </si>
  <si>
    <t>Roof nails</t>
  </si>
  <si>
    <t>Pelmets</t>
  </si>
  <si>
    <t>Wall plate</t>
  </si>
  <si>
    <t>ROOF NAILS</t>
  </si>
  <si>
    <t>BATTENS</t>
  </si>
  <si>
    <t>SKIRTING</t>
  </si>
  <si>
    <t>PELMETS</t>
  </si>
  <si>
    <t>WALL PLATE</t>
  </si>
  <si>
    <t xml:space="preserve"> iron ties</t>
  </si>
  <si>
    <t>carbol</t>
  </si>
  <si>
    <t>MATERIAL : ROOFING</t>
  </si>
  <si>
    <t>Tiles</t>
  </si>
  <si>
    <t>Batterns</t>
  </si>
  <si>
    <t>Lts</t>
  </si>
  <si>
    <t>Skitting</t>
  </si>
  <si>
    <t>BILL 5: ROOFING</t>
  </si>
  <si>
    <t>FASCIA BOARD</t>
  </si>
  <si>
    <t>Fascia</t>
  </si>
  <si>
    <t>Board</t>
  </si>
  <si>
    <t>RIDGE CAPPING</t>
  </si>
  <si>
    <t>MATERIAL : RIDGE CAPPING</t>
  </si>
  <si>
    <t>MATERIAL : FASCIA BOARD</t>
  </si>
  <si>
    <t>Nails</t>
  </si>
  <si>
    <t>Box</t>
  </si>
  <si>
    <t>Paint</t>
  </si>
  <si>
    <t>Capping</t>
  </si>
  <si>
    <t>Fixings : Screw or Nails</t>
  </si>
  <si>
    <t>Sealant</t>
  </si>
  <si>
    <t>WG2 X 3</t>
  </si>
  <si>
    <r>
      <t>m</t>
    </r>
    <r>
      <rPr>
        <vertAlign val="superscript"/>
        <sz val="11"/>
        <color theme="1"/>
        <rFont val="Calibri"/>
        <family val="2"/>
        <scheme val="minor"/>
      </rPr>
      <t>2</t>
    </r>
    <r>
      <rPr>
        <sz val="11"/>
        <color theme="1"/>
        <rFont val="Calibri"/>
        <family val="2"/>
        <scheme val="minor"/>
      </rPr>
      <t>/hr</t>
    </r>
  </si>
  <si>
    <t>TRUSSES</t>
  </si>
  <si>
    <t>CAPPING</t>
  </si>
  <si>
    <t xml:space="preserve">FASCIA </t>
  </si>
  <si>
    <t>BILL 6: CAPENTRY</t>
  </si>
  <si>
    <t>B4</t>
  </si>
  <si>
    <t>TIMBER</t>
  </si>
  <si>
    <t>MATERIAL : TIMBER</t>
  </si>
  <si>
    <t xml:space="preserve">100 x 50 mm pre-treated timber </t>
  </si>
  <si>
    <t xml:space="preserve">Teated imber </t>
  </si>
  <si>
    <t>100x50</t>
  </si>
  <si>
    <t>255x38</t>
  </si>
  <si>
    <t xml:space="preserve">255x38 mm pre-treated timber </t>
  </si>
  <si>
    <t>WG2 X 2</t>
  </si>
  <si>
    <t>B5</t>
  </si>
  <si>
    <t>BILL 7: JOINEY ND IRONMONGERY</t>
  </si>
  <si>
    <t>BILL 7: JOINERY AND IRONMONGERY</t>
  </si>
  <si>
    <t>ALL SUNDRIES</t>
  </si>
  <si>
    <t>Sliding door of size 2100 x 4000 mm or</t>
  </si>
  <si>
    <t>TAP BOARD</t>
  </si>
  <si>
    <t xml:space="preserve">Board </t>
  </si>
  <si>
    <t>MATERIAL : TAP BOARD</t>
  </si>
  <si>
    <t>B6</t>
  </si>
  <si>
    <t>BILL 8: GLAZING</t>
  </si>
  <si>
    <t>B7</t>
  </si>
  <si>
    <t>B8</t>
  </si>
  <si>
    <t>BILL 10: FLOORING</t>
  </si>
  <si>
    <t>BILL 9: PLASTEING &amp; PAINTING</t>
  </si>
  <si>
    <t>MATERIAL : PLASTERING</t>
  </si>
  <si>
    <t>PLASTERING</t>
  </si>
  <si>
    <t>COATS</t>
  </si>
  <si>
    <t>MATERIAL : PAINTING</t>
  </si>
  <si>
    <t>U/C</t>
  </si>
  <si>
    <t>F/C</t>
  </si>
  <si>
    <t xml:space="preserve">Undercoat </t>
  </si>
  <si>
    <t>Finishing Coat</t>
  </si>
  <si>
    <t>Knot primer</t>
  </si>
  <si>
    <t xml:space="preserve">Lts </t>
  </si>
  <si>
    <t>PRIME Oxide 5%</t>
  </si>
  <si>
    <t>LABOUR RATES</t>
  </si>
  <si>
    <t>BILL 9: PLASTERING AND PAINTING</t>
  </si>
  <si>
    <t>BILL 9: PLASTERING &amp; PAINTING</t>
  </si>
  <si>
    <t>PAINTING</t>
  </si>
  <si>
    <t>DATA</t>
  </si>
  <si>
    <t>SKILLED WORKER ONE</t>
  </si>
  <si>
    <t>SKILLED WORKER TWO</t>
  </si>
  <si>
    <t>SKILLED WORKER THREE</t>
  </si>
  <si>
    <t>SKILLED WORKER  FOUR</t>
  </si>
  <si>
    <t>WORKER EXEMPTED</t>
  </si>
  <si>
    <t>WORKER GRADE FOUR</t>
  </si>
  <si>
    <t>WORKER GRADE THREE</t>
  </si>
  <si>
    <t>WORKER GRADE TWO</t>
  </si>
  <si>
    <t>WORKER GRADE ONE</t>
  </si>
  <si>
    <t>TOTAL TO SUMMARY : FOUNDATION</t>
  </si>
  <si>
    <t>TOTAL TO SUMMARY: CONCRETE &amp; REINFORCEMENT</t>
  </si>
  <si>
    <t>TOTAL TO SUMMARY: BRICKWORK</t>
  </si>
  <si>
    <t>TOTAL TO SUMMARY: CAPENTRY</t>
  </si>
  <si>
    <t>TOTAL TO SUMMARY: GLAZING</t>
  </si>
  <si>
    <t>TOTAL TO SUMMARY: PLASTERING &amp; PAINTING</t>
  </si>
  <si>
    <t>TOTAL TO SUMMARY: FLOORING</t>
  </si>
  <si>
    <t>SUB-TOTAL SUMMARY</t>
  </si>
  <si>
    <t>TOTAL TO SUMMARY: JOINEY AND IRONMONGERY</t>
  </si>
  <si>
    <t>BILL 7: JOINEY AND IRONMONGERY</t>
  </si>
  <si>
    <t>DASHBOARD</t>
  </si>
  <si>
    <t>PROJECT TOTAL</t>
  </si>
  <si>
    <t>RESIDENTIAL HOUSE</t>
  </si>
  <si>
    <t>PRROJECT NAME</t>
  </si>
  <si>
    <t>CLIENT</t>
  </si>
  <si>
    <t>DATE</t>
  </si>
  <si>
    <t>PROFIT</t>
  </si>
  <si>
    <t>PROJECT TOTAL + PROFIT MAGIN</t>
  </si>
  <si>
    <t>BILL</t>
  </si>
  <si>
    <t>CONCRETE AND REINFORCEMENT</t>
  </si>
  <si>
    <t>BRICKWORK</t>
  </si>
  <si>
    <t>ROOF COVERING</t>
  </si>
  <si>
    <t>CAPENTRY</t>
  </si>
  <si>
    <t>JOINERY &amp; IRONMONGERRY</t>
  </si>
  <si>
    <t>GLAZING</t>
  </si>
  <si>
    <t>PLASTERING &amp; PAINTING</t>
  </si>
  <si>
    <t>FLOORING</t>
  </si>
  <si>
    <t>FOUNDATION</t>
  </si>
  <si>
    <t>MATERIAL COST</t>
  </si>
  <si>
    <t>LABOUR COST</t>
  </si>
  <si>
    <t>EQUIPMENT COST</t>
  </si>
  <si>
    <t>CONTRACT TOTAL</t>
  </si>
  <si>
    <t>TOTAL TO SUMMARY: ROOF COVERING</t>
  </si>
  <si>
    <t>TOTAL COSTS</t>
  </si>
  <si>
    <t>WG4 X 4</t>
  </si>
  <si>
    <t>WG 1  X 2</t>
  </si>
  <si>
    <t>COST ANALYSIS</t>
  </si>
  <si>
    <t>LABOUR ANALYSIS</t>
  </si>
  <si>
    <t>WG1</t>
  </si>
  <si>
    <t>WG2 X 4</t>
  </si>
  <si>
    <t xml:space="preserve">TOTAL </t>
  </si>
  <si>
    <t>PROJECT TIMELINE</t>
  </si>
  <si>
    <t>DATES</t>
  </si>
  <si>
    <t>MONTH 1</t>
  </si>
  <si>
    <t>MONTH 2</t>
  </si>
  <si>
    <t>MONTH 3</t>
  </si>
  <si>
    <t>MONTH 4</t>
  </si>
  <si>
    <t>MONTH 5</t>
  </si>
  <si>
    <t>MONTH 6</t>
  </si>
  <si>
    <t>MONTH 7</t>
  </si>
  <si>
    <t>MONTH 8</t>
  </si>
  <si>
    <t>PLANNING</t>
  </si>
  <si>
    <t>MONTH 9</t>
  </si>
  <si>
    <t>MONTH 10</t>
  </si>
  <si>
    <t>INSPECTION AND APPROVAL</t>
  </si>
  <si>
    <t>PROJECT SUMMARY</t>
  </si>
  <si>
    <t>Row Labels</t>
  </si>
  <si>
    <t>Grand Total</t>
  </si>
  <si>
    <t>Sum of MATERIAL COST</t>
  </si>
  <si>
    <t>Sum of TOTAL</t>
  </si>
  <si>
    <t>Sum of EQUIPMENT COST</t>
  </si>
  <si>
    <t>Sum of LABOUR COST</t>
  </si>
  <si>
    <t>L</t>
  </si>
  <si>
    <t>Sum of PROFIT</t>
  </si>
  <si>
    <t>Profit Margin</t>
  </si>
  <si>
    <t>PROJECT:</t>
  </si>
  <si>
    <t>CLIENT   :</t>
  </si>
  <si>
    <t xml:space="preserve">DATE      : </t>
  </si>
  <si>
    <t xml:space="preserve">COMPANY: </t>
  </si>
  <si>
    <t>BILL ELEMENT</t>
  </si>
  <si>
    <t>Bill No</t>
  </si>
  <si>
    <t>Description</t>
  </si>
  <si>
    <t>Price/Unit</t>
  </si>
  <si>
    <t>Quantity</t>
  </si>
  <si>
    <t>Cost</t>
  </si>
  <si>
    <t>Bill 2: Foundations</t>
  </si>
  <si>
    <t>Well graded compacted hardcore</t>
  </si>
  <si>
    <t>Subtotal Foundations</t>
  </si>
  <si>
    <t>Bill 3: Concrete &amp; Reinforcement</t>
  </si>
  <si>
    <t>Sand for foundation footing</t>
  </si>
  <si>
    <t>Cement for foundation footing</t>
  </si>
  <si>
    <t>Stone for foundation footing</t>
  </si>
  <si>
    <t>Sand for slab</t>
  </si>
  <si>
    <t>Cement for slab</t>
  </si>
  <si>
    <t>Stone for slab</t>
  </si>
  <si>
    <t>Sand for beam</t>
  </si>
  <si>
    <t>Cement for beam</t>
  </si>
  <si>
    <t>Stone for beam</t>
  </si>
  <si>
    <t>Subtotal Concrete &amp; Reinforcement</t>
  </si>
  <si>
    <t>Bill 4: Brickwork</t>
  </si>
  <si>
    <t>Sand for one brick wall</t>
  </si>
  <si>
    <t>Cement for one brick wall</t>
  </si>
  <si>
    <t>Brick for one brick wall</t>
  </si>
  <si>
    <t>Sand for half brick wall</t>
  </si>
  <si>
    <t>Cement for half brick wall</t>
  </si>
  <si>
    <t>Brick for half brick wall</t>
  </si>
  <si>
    <t>Brickforce for one brick wall</t>
  </si>
  <si>
    <t>Brickforce for half brick wall</t>
  </si>
  <si>
    <t>Damp proof course for half brick wall</t>
  </si>
  <si>
    <t>Damp proof course for one brick wall</t>
  </si>
  <si>
    <t>Subtotal Brickwork</t>
  </si>
  <si>
    <t>Bill 5: Roofing</t>
  </si>
  <si>
    <t>Concrete roof tiles</t>
  </si>
  <si>
    <t>Battens</t>
  </si>
  <si>
    <t>Skirting</t>
  </si>
  <si>
    <t>Subtotal Roofing</t>
  </si>
  <si>
    <t>Bill 6: Carpentry</t>
  </si>
  <si>
    <t>Timber</t>
  </si>
  <si>
    <t>Subtotal Carpentry</t>
  </si>
  <si>
    <t>Bill 7: Joinery &amp; Ironmongery</t>
  </si>
  <si>
    <t>Tap board</t>
  </si>
  <si>
    <t>Subtotal Joinery &amp; Ironmongery</t>
  </si>
  <si>
    <t>Bill 9: Plastering &amp; Painting</t>
  </si>
  <si>
    <t>Cement for plastering</t>
  </si>
  <si>
    <t>Sand for plastering</t>
  </si>
  <si>
    <t>Undercoat</t>
  </si>
  <si>
    <t>Finishing coat</t>
  </si>
  <si>
    <t>Subtotal Plastering &amp; Painting</t>
  </si>
  <si>
    <t>Total Before Contingency</t>
  </si>
  <si>
    <t>MATERIAL SCHEDULE</t>
  </si>
  <si>
    <t>10% Contingency</t>
  </si>
  <si>
    <t>ELEMENT DESCRIPTION</t>
  </si>
  <si>
    <t>START</t>
  </si>
  <si>
    <t xml:space="preserve">END </t>
  </si>
  <si>
    <t>PLANNING AND DESIGNING</t>
  </si>
  <si>
    <t>Planning</t>
  </si>
  <si>
    <t>2 weeks</t>
  </si>
  <si>
    <t>Foundation</t>
  </si>
  <si>
    <t>Concrete and Reinforcement</t>
  </si>
  <si>
    <t>1.5 weeks</t>
  </si>
  <si>
    <t>Brickwork</t>
  </si>
  <si>
    <t>3 weeks</t>
  </si>
  <si>
    <t>Roof Covering</t>
  </si>
  <si>
    <t>Carpentry</t>
  </si>
  <si>
    <t>1 week</t>
  </si>
  <si>
    <t>Joinery &amp; Ironmongery</t>
  </si>
  <si>
    <t>Glazing</t>
  </si>
  <si>
    <t>0.5 weeks</t>
  </si>
  <si>
    <t>Plastering &amp; Painting</t>
  </si>
  <si>
    <t>Flooring</t>
  </si>
  <si>
    <t>Inspection and Approval</t>
  </si>
  <si>
    <t>PROGRESS</t>
  </si>
  <si>
    <t>DAYS</t>
  </si>
  <si>
    <t>Project Name</t>
  </si>
  <si>
    <t>Project Start</t>
  </si>
  <si>
    <t>Current Date</t>
  </si>
  <si>
    <t>Weeks in Progress</t>
  </si>
  <si>
    <t>Residential House</t>
  </si>
  <si>
    <t>PROGRAMME OF WORKS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</si>
</sst>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 formatCode="&quot;$&quot;#,##0.00_);[Red]\(&quot;$&quot;#,##0.00\)"/>
    <numFmt numFmtId="44" formatCode="_(&quot;$&quot;* #,##0.00_);_(&quot;$&quot;* \(#,##0.00\);_(&quot;$&quot;* &quot;-&quot;??_);_(@_)"/>
    <numFmt numFmtId="43" formatCode="_(* #,##0.00_);_(* \(#,##0.00\);_(* &quot;-&quot;??_);_(@_)"/>
    <numFmt numFmtId="164" formatCode="&quot;£&quot;#,##0;[Red]\-&quot;£&quot;#,##0"/>
    <numFmt numFmtId="165" formatCode="&quot;$&quot;#,##0.00"/>
    <numFmt numFmtId="166" formatCode="0.0"/>
    <numFmt numFmtId="167" formatCode="_-* #,##0.00_-;\-* #,##0.00_-;_-* &quot;-&quot;??_-;_-@_-"/>
    <numFmt numFmtId="174" formatCode="[$-409]mmm\-yy;@"/>
    <numFmt numFmtId="176" formatCode="m/d/yy;@"/>
    <numFmt numFmtId="177" formatCode="\W\k\ #"/>
    <numFmt numFmtId="178" formatCode="[$-409]d\-mmm;@"/>
  </numFmts>
  <fonts count="40" x14ac:knownFonts="1">
    <font>
      <sz val="11"/>
      <color theme="1"/>
      <name val="Calibri"/>
      <family val="2"/>
      <scheme val="minor"/>
    </font>
    <font>
      <sz val="11"/>
      <color theme="1"/>
      <name val="Calibri"/>
      <family val="2"/>
      <scheme val="minor"/>
    </font>
    <font>
      <sz val="10"/>
      <name val="Courier"/>
      <family val="3"/>
    </font>
    <font>
      <sz val="10"/>
      <name val="Arial"/>
      <family val="2"/>
    </font>
    <font>
      <b/>
      <sz val="12"/>
      <name val="Calibri"/>
      <family val="2"/>
      <scheme val="minor"/>
    </font>
    <font>
      <sz val="12"/>
      <name val="Times New Roman"/>
      <family val="1"/>
    </font>
    <font>
      <sz val="12"/>
      <color theme="1"/>
      <name val="Arial"/>
      <family val="2"/>
    </font>
    <font>
      <b/>
      <sz val="12"/>
      <color theme="1"/>
      <name val="Arial"/>
      <family val="2"/>
    </font>
    <font>
      <b/>
      <sz val="12"/>
      <name val="Arial"/>
      <family val="2"/>
    </font>
    <font>
      <sz val="12"/>
      <name val="Arial"/>
      <family val="2"/>
    </font>
    <font>
      <sz val="12"/>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2"/>
      <color theme="1"/>
      <name val="Calibri"/>
      <family val="2"/>
      <scheme val="minor"/>
    </font>
    <font>
      <b/>
      <sz val="12"/>
      <color theme="0"/>
      <name val="Calibri"/>
      <family val="2"/>
      <scheme val="minor"/>
    </font>
    <font>
      <b/>
      <sz val="16"/>
      <color theme="0"/>
      <name val="Calibri"/>
      <family val="2"/>
      <scheme val="minor"/>
    </font>
    <font>
      <b/>
      <sz val="18"/>
      <color theme="0"/>
      <name val="Calibri"/>
      <family val="2"/>
      <scheme val="minor"/>
    </font>
    <font>
      <b/>
      <vertAlign val="superscript"/>
      <sz val="11"/>
      <color theme="1"/>
      <name val="Calibri"/>
      <family val="2"/>
      <scheme val="minor"/>
    </font>
    <font>
      <b/>
      <sz val="20"/>
      <color theme="0"/>
      <name val="Calibri"/>
      <family val="2"/>
      <scheme val="minor"/>
    </font>
    <font>
      <b/>
      <sz val="10"/>
      <name val="Arial"/>
      <family val="2"/>
    </font>
    <font>
      <sz val="12"/>
      <name val="Bodoni MT"/>
      <family val="1"/>
    </font>
    <font>
      <sz val="12"/>
      <color indexed="10"/>
      <name val="Bodoni MT"/>
      <family val="1"/>
    </font>
    <font>
      <b/>
      <sz val="14"/>
      <color theme="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4"/>
      <color theme="0"/>
      <name val="Calibri"/>
      <family val="2"/>
      <scheme val="minor"/>
    </font>
    <font>
      <b/>
      <sz val="36"/>
      <color theme="1"/>
      <name val="Calibri"/>
      <family val="2"/>
      <scheme val="minor"/>
    </font>
    <font>
      <b/>
      <sz val="36"/>
      <color theme="0"/>
      <name val="Calibri"/>
      <family val="2"/>
      <scheme val="minor"/>
    </font>
    <font>
      <b/>
      <sz val="28"/>
      <color theme="0"/>
      <name val="Calibri"/>
      <family val="2"/>
      <scheme val="minor"/>
    </font>
    <font>
      <sz val="14"/>
      <color theme="0"/>
      <name val="Calibri"/>
      <family val="2"/>
      <scheme val="minor"/>
    </font>
    <font>
      <b/>
      <sz val="9"/>
      <color theme="1"/>
      <name val="Calibri"/>
      <family val="2"/>
      <scheme val="minor"/>
    </font>
    <font>
      <b/>
      <sz val="10"/>
      <color theme="1"/>
      <name val="Calibri"/>
      <family val="2"/>
      <scheme val="minor"/>
    </font>
    <font>
      <b/>
      <sz val="10"/>
      <color theme="0"/>
      <name val="Calibri"/>
      <family val="2"/>
      <scheme val="minor"/>
    </font>
    <font>
      <sz val="9"/>
      <color indexed="81"/>
      <name val="Tahoma"/>
      <family val="2"/>
    </font>
    <font>
      <b/>
      <sz val="9"/>
      <color indexed="81"/>
      <name val="Tahoma"/>
      <family val="2"/>
    </font>
    <font>
      <b/>
      <sz val="24"/>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7"/>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rgb="FF9933FF"/>
        <bgColor indexed="64"/>
      </patternFill>
    </fill>
    <fill>
      <patternFill patternType="solid">
        <fgColor theme="8" tint="-0.499984740745262"/>
        <bgColor indexed="64"/>
      </patternFill>
    </fill>
    <fill>
      <patternFill patternType="solid">
        <fgColor rgb="FF0070C0"/>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theme="1"/>
        <bgColor indexed="64"/>
      </patternFill>
    </fill>
    <fill>
      <patternFill patternType="solid">
        <fgColor rgb="FFFFFFFF"/>
      </patternFill>
    </fill>
    <fill>
      <patternFill patternType="solid">
        <fgColor rgb="FFFFFF00"/>
        <bgColor indexed="64"/>
      </patternFill>
    </fill>
    <fill>
      <patternFill patternType="solid">
        <fgColor theme="3" tint="-0.499984740745262"/>
        <bgColor indexed="64"/>
      </patternFill>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bgColor indexed="64"/>
      </patternFill>
    </fill>
    <fill>
      <patternFill patternType="solid">
        <fgColor theme="3" tint="0.59999389629810485"/>
        <bgColor indexed="64"/>
      </patternFill>
    </fill>
    <fill>
      <patternFill patternType="solid">
        <fgColor rgb="FF002060"/>
        <bgColor indexed="64"/>
      </patternFill>
    </fill>
    <fill>
      <patternFill patternType="solid">
        <fgColor theme="3" tint="0.39997558519241921"/>
        <bgColor indexed="64"/>
      </patternFill>
    </fill>
  </fills>
  <borders count="97">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style="thin">
        <color auto="1"/>
      </left>
      <right style="medium">
        <color auto="1"/>
      </right>
      <top style="medium">
        <color auto="1"/>
      </top>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thin">
        <color theme="4" tint="0.59996337778862885"/>
      </right>
      <top/>
      <bottom style="thin">
        <color theme="4" tint="0.59996337778862885"/>
      </bottom>
      <diagonal/>
    </border>
    <border>
      <left style="thin">
        <color theme="4" tint="0.59996337778862885"/>
      </left>
      <right style="thin">
        <color theme="4" tint="0.59996337778862885"/>
      </right>
      <top style="thin">
        <color theme="4" tint="0.59996337778862885"/>
      </top>
      <bottom/>
      <diagonal/>
    </border>
    <border>
      <left style="thin">
        <color theme="4" tint="0.59996337778862885"/>
      </left>
      <right/>
      <top style="thin">
        <color theme="4" tint="0.59996337778862885"/>
      </top>
      <bottom style="thin">
        <color theme="4" tint="0.59996337778862885"/>
      </bottom>
      <diagonal/>
    </border>
    <border>
      <left style="thin">
        <color theme="4" tint="0.59996337778862885"/>
      </left>
      <right style="thin">
        <color theme="4" tint="0.59996337778862885"/>
      </right>
      <top/>
      <bottom/>
      <diagonal/>
    </border>
    <border>
      <left/>
      <right/>
      <top style="medium">
        <color indexed="64"/>
      </top>
      <bottom style="medium">
        <color indexed="64"/>
      </bottom>
      <diagonal/>
    </border>
    <border>
      <left style="thin">
        <color auto="1"/>
      </left>
      <right/>
      <top style="medium">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right/>
      <top style="thick">
        <color auto="1"/>
      </top>
      <bottom/>
      <diagonal/>
    </border>
    <border>
      <left style="thick">
        <color auto="1"/>
      </left>
      <right style="medium">
        <color indexed="64"/>
      </right>
      <top style="medium">
        <color indexed="64"/>
      </top>
      <bottom style="medium">
        <color indexed="64"/>
      </bottom>
      <diagonal/>
    </border>
    <border>
      <left style="medium">
        <color indexed="64"/>
      </left>
      <right style="thick">
        <color auto="1"/>
      </right>
      <top style="medium">
        <color indexed="64"/>
      </top>
      <bottom/>
      <diagonal/>
    </border>
    <border>
      <left style="thick">
        <color auto="1"/>
      </left>
      <right style="medium">
        <color indexed="64"/>
      </right>
      <top style="medium">
        <color indexed="64"/>
      </top>
      <bottom/>
      <diagonal/>
    </border>
    <border>
      <left style="thick">
        <color auto="1"/>
      </left>
      <right style="medium">
        <color indexed="64"/>
      </right>
      <top/>
      <bottom style="medium">
        <color indexed="64"/>
      </bottom>
      <diagonal/>
    </border>
    <border>
      <left style="medium">
        <color indexed="64"/>
      </left>
      <right style="thick">
        <color auto="1"/>
      </right>
      <top/>
      <bottom style="medium">
        <color indexed="64"/>
      </bottom>
      <diagonal/>
    </border>
    <border>
      <left style="thick">
        <color auto="1"/>
      </left>
      <right/>
      <top/>
      <bottom/>
      <diagonal/>
    </border>
    <border>
      <left/>
      <right style="thick">
        <color auto="1"/>
      </right>
      <top/>
      <bottom/>
      <diagonal/>
    </border>
    <border>
      <left style="thick">
        <color auto="1"/>
      </left>
      <right style="medium">
        <color indexed="64"/>
      </right>
      <top/>
      <bottom style="thick">
        <color auto="1"/>
      </bottom>
      <diagonal/>
    </border>
    <border>
      <left/>
      <right/>
      <top/>
      <bottom style="thick">
        <color auto="1"/>
      </bottom>
      <diagonal/>
    </border>
    <border>
      <left/>
      <right style="thick">
        <color auto="1"/>
      </right>
      <top/>
      <bottom style="thick">
        <color auto="1"/>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ck">
        <color theme="0"/>
      </left>
      <right/>
      <top/>
      <bottom/>
      <diagonal/>
    </border>
    <border>
      <left/>
      <right style="thick">
        <color theme="0"/>
      </right>
      <top/>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ck">
        <color theme="0"/>
      </left>
      <right style="thick">
        <color theme="0"/>
      </right>
      <top style="thick">
        <color theme="0"/>
      </top>
      <bottom style="thick">
        <color theme="0"/>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medium">
        <color indexed="64"/>
      </left>
      <right/>
      <top style="medium">
        <color indexed="64"/>
      </top>
      <bottom style="thin">
        <color auto="1"/>
      </bottom>
      <diagonal/>
    </border>
    <border>
      <left style="thin">
        <color theme="4" tint="0.39994506668294322"/>
      </left>
      <right style="thin">
        <color theme="4" tint="0.39994506668294322"/>
      </right>
      <top style="medium">
        <color indexed="64"/>
      </top>
      <bottom style="thin">
        <color theme="4" tint="0.39994506668294322"/>
      </bottom>
      <diagonal/>
    </border>
    <border>
      <left style="thin">
        <color theme="4" tint="0.39994506668294322"/>
      </left>
      <right style="medium">
        <color indexed="64"/>
      </right>
      <top style="medium">
        <color indexed="64"/>
      </top>
      <bottom style="thin">
        <color theme="4" tint="0.39994506668294322"/>
      </bottom>
      <diagonal/>
    </border>
    <border>
      <left style="medium">
        <color indexed="64"/>
      </left>
      <right/>
      <top style="thin">
        <color auto="1"/>
      </top>
      <bottom style="thin">
        <color auto="1"/>
      </bottom>
      <diagonal/>
    </border>
    <border>
      <left style="thin">
        <color theme="4" tint="0.39994506668294322"/>
      </left>
      <right style="medium">
        <color indexed="64"/>
      </right>
      <top style="thin">
        <color theme="4" tint="0.39994506668294322"/>
      </top>
      <bottom style="thin">
        <color theme="4" tint="0.39994506668294322"/>
      </bottom>
      <diagonal/>
    </border>
    <border>
      <left style="medium">
        <color indexed="64"/>
      </left>
      <right/>
      <top style="thin">
        <color auto="1"/>
      </top>
      <bottom style="medium">
        <color indexed="64"/>
      </bottom>
      <diagonal/>
    </border>
    <border>
      <left style="thin">
        <color theme="4" tint="0.39994506668294322"/>
      </left>
      <right style="thin">
        <color theme="4" tint="0.39994506668294322"/>
      </right>
      <top style="thin">
        <color theme="4" tint="0.39994506668294322"/>
      </top>
      <bottom style="medium">
        <color indexed="64"/>
      </bottom>
      <diagonal/>
    </border>
    <border>
      <left style="thin">
        <color theme="4" tint="0.39994506668294322"/>
      </left>
      <right style="medium">
        <color indexed="64"/>
      </right>
      <top style="thin">
        <color theme="4" tint="0.39994506668294322"/>
      </top>
      <bottom style="medium">
        <color indexed="64"/>
      </bottom>
      <diagonal/>
    </border>
    <border>
      <left/>
      <right/>
      <top style="thin">
        <color auto="1"/>
      </top>
      <bottom style="thin">
        <color auto="1"/>
      </bottom>
      <diagonal/>
    </border>
  </borders>
  <cellStyleXfs count="7">
    <xf numFmtId="0" fontId="0" fillId="0" borderId="0"/>
    <xf numFmtId="43" fontId="1" fillId="0" borderId="0" applyFont="0" applyFill="0" applyBorder="0" applyAlignment="0" applyProtection="0"/>
    <xf numFmtId="0" fontId="2" fillId="0" borderId="0"/>
    <xf numFmtId="43" fontId="3" fillId="0" borderId="0" applyFont="0" applyFill="0" applyBorder="0" applyAlignment="0" applyProtection="0"/>
    <xf numFmtId="164" fontId="3" fillId="0" borderId="0" applyFont="0" applyFill="0" applyBorder="0" applyAlignment="0" applyProtection="0"/>
    <xf numFmtId="0" fontId="2" fillId="0" borderId="0"/>
    <xf numFmtId="167" fontId="3" fillId="0" borderId="0" applyFont="0" applyFill="0" applyBorder="0" applyAlignment="0" applyProtection="0"/>
  </cellStyleXfs>
  <cellXfs count="527">
    <xf numFmtId="0" fontId="0" fillId="0" borderId="0" xfId="0"/>
    <xf numFmtId="0" fontId="0" fillId="0" borderId="0" xfId="0" applyBorder="1"/>
    <xf numFmtId="0" fontId="4" fillId="3" borderId="0" xfId="2" applyFont="1" applyFill="1" applyBorder="1" applyAlignment="1" applyProtection="1">
      <alignment horizontal="left"/>
      <protection locked="0"/>
    </xf>
    <xf numFmtId="0" fontId="4" fillId="2" borderId="1" xfId="2" applyFont="1" applyFill="1" applyBorder="1" applyAlignment="1" applyProtection="1">
      <alignment horizontal="left"/>
      <protection locked="0"/>
    </xf>
    <xf numFmtId="0" fontId="4" fillId="2" borderId="4" xfId="2" applyNumberFormat="1" applyFont="1" applyFill="1" applyBorder="1" applyAlignment="1" applyProtection="1">
      <alignment horizontal="center"/>
      <protection locked="0"/>
    </xf>
    <xf numFmtId="0" fontId="4" fillId="3" borderId="7" xfId="2" applyFont="1" applyFill="1" applyBorder="1" applyAlignment="1" applyProtection="1">
      <alignment horizontal="left"/>
      <protection locked="0"/>
    </xf>
    <xf numFmtId="0" fontId="4" fillId="3" borderId="7" xfId="2" applyNumberFormat="1" applyFont="1" applyFill="1" applyBorder="1" applyAlignment="1" applyProtection="1">
      <alignment horizontal="center"/>
      <protection locked="0"/>
    </xf>
    <xf numFmtId="43" fontId="4" fillId="3" borderId="7" xfId="1" applyFont="1" applyFill="1" applyBorder="1"/>
    <xf numFmtId="0" fontId="4" fillId="3" borderId="3" xfId="2" applyFont="1" applyFill="1" applyBorder="1"/>
    <xf numFmtId="0" fontId="4" fillId="3" borderId="0" xfId="2" applyNumberFormat="1" applyFont="1" applyFill="1" applyBorder="1" applyAlignment="1" applyProtection="1">
      <alignment horizontal="center"/>
      <protection locked="0"/>
    </xf>
    <xf numFmtId="43" fontId="4" fillId="3" borderId="0" xfId="1" applyFont="1" applyFill="1" applyBorder="1"/>
    <xf numFmtId="0" fontId="4" fillId="3" borderId="4" xfId="2" applyFont="1" applyFill="1" applyBorder="1"/>
    <xf numFmtId="0" fontId="4" fillId="3" borderId="10" xfId="2" applyFont="1" applyFill="1" applyBorder="1" applyAlignment="1" applyProtection="1">
      <alignment horizontal="left"/>
      <protection locked="0"/>
    </xf>
    <xf numFmtId="0" fontId="4" fillId="3" borderId="10" xfId="2" applyNumberFormat="1" applyFont="1" applyFill="1" applyBorder="1" applyAlignment="1" applyProtection="1">
      <alignment horizontal="center"/>
      <protection locked="0"/>
    </xf>
    <xf numFmtId="43" fontId="4" fillId="3" borderId="10" xfId="1" applyFont="1" applyFill="1" applyBorder="1"/>
    <xf numFmtId="0" fontId="4" fillId="3" borderId="6" xfId="2" applyFont="1" applyFill="1" applyBorder="1"/>
    <xf numFmtId="0" fontId="4" fillId="2" borderId="2" xfId="2" applyFont="1" applyFill="1" applyBorder="1" applyProtection="1">
      <protection locked="0"/>
    </xf>
    <xf numFmtId="0" fontId="4" fillId="2" borderId="3" xfId="2" applyNumberFormat="1" applyFont="1" applyFill="1" applyBorder="1" applyAlignment="1" applyProtection="1">
      <alignment horizontal="center"/>
      <protection locked="0"/>
    </xf>
    <xf numFmtId="43" fontId="4" fillId="2" borderId="2" xfId="1" applyFont="1" applyFill="1" applyBorder="1"/>
    <xf numFmtId="0" fontId="4" fillId="2" borderId="2" xfId="2" applyFont="1" applyFill="1" applyBorder="1"/>
    <xf numFmtId="43" fontId="4" fillId="2" borderId="1" xfId="1" applyFont="1" applyFill="1" applyBorder="1"/>
    <xf numFmtId="0" fontId="4" fillId="2" borderId="1" xfId="2" applyFont="1" applyFill="1" applyBorder="1"/>
    <xf numFmtId="0" fontId="4" fillId="2" borderId="5" xfId="2" applyFont="1" applyFill="1" applyBorder="1" applyAlignment="1" applyProtection="1">
      <alignment horizontal="left"/>
      <protection locked="0"/>
    </xf>
    <xf numFmtId="0" fontId="4" fillId="2" borderId="6" xfId="2" applyNumberFormat="1" applyFont="1" applyFill="1" applyBorder="1" applyAlignment="1" applyProtection="1">
      <alignment horizontal="center"/>
      <protection locked="0"/>
    </xf>
    <xf numFmtId="43" fontId="4" fillId="2" borderId="5" xfId="1" applyFont="1" applyFill="1" applyBorder="1"/>
    <xf numFmtId="0" fontId="4" fillId="2" borderId="5" xfId="2" applyFont="1" applyFill="1" applyBorder="1" applyAlignment="1">
      <alignment horizontal="center"/>
    </xf>
    <xf numFmtId="0" fontId="0" fillId="0" borderId="16" xfId="0" applyBorder="1"/>
    <xf numFmtId="0" fontId="0" fillId="0" borderId="23" xfId="0" applyBorder="1"/>
    <xf numFmtId="0" fontId="0" fillId="0" borderId="24" xfId="0" applyBorder="1"/>
    <xf numFmtId="0" fontId="8" fillId="3" borderId="0" xfId="2" applyFont="1" applyFill="1" applyBorder="1" applyAlignment="1" applyProtection="1">
      <alignment horizontal="left"/>
      <protection locked="0"/>
    </xf>
    <xf numFmtId="0" fontId="8" fillId="3" borderId="10" xfId="2" applyFont="1" applyFill="1" applyBorder="1" applyAlignment="1" applyProtection="1">
      <alignment horizontal="left"/>
      <protection locked="0"/>
    </xf>
    <xf numFmtId="0" fontId="6" fillId="0" borderId="16" xfId="0" applyFont="1" applyBorder="1"/>
    <xf numFmtId="0" fontId="6" fillId="0" borderId="24" xfId="0" applyFont="1" applyBorder="1"/>
    <xf numFmtId="0" fontId="6" fillId="0" borderId="29" xfId="0" applyFont="1" applyBorder="1"/>
    <xf numFmtId="0" fontId="6" fillId="0" borderId="13" xfId="0" applyFont="1" applyBorder="1"/>
    <xf numFmtId="0" fontId="6" fillId="0" borderId="30" xfId="0" applyFont="1" applyBorder="1"/>
    <xf numFmtId="0" fontId="0" fillId="0" borderId="14" xfId="0" applyBorder="1"/>
    <xf numFmtId="0" fontId="6" fillId="0" borderId="16" xfId="0" applyFont="1" applyBorder="1" applyAlignment="1">
      <alignment horizontal="center"/>
    </xf>
    <xf numFmtId="0" fontId="8" fillId="0" borderId="16" xfId="2" applyFont="1" applyFill="1" applyBorder="1" applyAlignment="1" applyProtection="1">
      <alignment horizontal="left"/>
      <protection locked="0"/>
    </xf>
    <xf numFmtId="0" fontId="7" fillId="0" borderId="16" xfId="0" applyFont="1" applyBorder="1"/>
    <xf numFmtId="0" fontId="0" fillId="0" borderId="30" xfId="0" applyBorder="1"/>
    <xf numFmtId="0" fontId="6" fillId="0" borderId="32" xfId="0" applyFont="1" applyBorder="1"/>
    <xf numFmtId="0" fontId="6" fillId="0" borderId="32" xfId="0" applyFont="1" applyBorder="1" applyAlignment="1">
      <alignment horizontal="center"/>
    </xf>
    <xf numFmtId="0" fontId="5" fillId="0" borderId="14" xfId="2" applyFont="1" applyBorder="1" applyAlignment="1" applyProtection="1">
      <alignment horizontal="left"/>
      <protection locked="0"/>
    </xf>
    <xf numFmtId="0" fontId="8" fillId="0" borderId="16" xfId="2" applyFont="1" applyBorder="1" applyAlignment="1" applyProtection="1">
      <alignment horizontal="left"/>
      <protection locked="0"/>
    </xf>
    <xf numFmtId="0" fontId="9" fillId="0" borderId="16" xfId="2" applyFont="1" applyBorder="1" applyAlignment="1" applyProtection="1">
      <alignment horizontal="left"/>
      <protection locked="0"/>
    </xf>
    <xf numFmtId="0" fontId="0" fillId="0" borderId="32" xfId="0" applyBorder="1"/>
    <xf numFmtId="0" fontId="0" fillId="0" borderId="33" xfId="0" applyBorder="1"/>
    <xf numFmtId="0" fontId="0" fillId="0" borderId="29" xfId="0" applyBorder="1"/>
    <xf numFmtId="0" fontId="8" fillId="2" borderId="31" xfId="2" applyFont="1" applyFill="1" applyBorder="1" applyAlignment="1" applyProtection="1">
      <alignment horizontal="center"/>
      <protection locked="0"/>
    </xf>
    <xf numFmtId="0" fontId="7" fillId="2" borderId="28" xfId="0" applyFont="1" applyFill="1" applyBorder="1" applyAlignment="1">
      <alignment horizontal="center"/>
    </xf>
    <xf numFmtId="0" fontId="7" fillId="2" borderId="28" xfId="0" applyFont="1" applyFill="1" applyBorder="1"/>
    <xf numFmtId="0" fontId="7" fillId="2" borderId="31" xfId="0" applyFont="1" applyFill="1" applyBorder="1"/>
    <xf numFmtId="0" fontId="7" fillId="0" borderId="29" xfId="0" applyFont="1" applyBorder="1"/>
    <xf numFmtId="0" fontId="8" fillId="3" borderId="8" xfId="2" applyFont="1" applyFill="1" applyBorder="1" applyProtection="1">
      <protection locked="0"/>
    </xf>
    <xf numFmtId="0" fontId="8" fillId="3" borderId="7" xfId="2" applyFont="1" applyFill="1" applyBorder="1" applyAlignment="1" applyProtection="1">
      <alignment horizontal="left"/>
      <protection locked="0"/>
    </xf>
    <xf numFmtId="0" fontId="8" fillId="3" borderId="11" xfId="2" applyFont="1" applyFill="1" applyBorder="1" applyProtection="1">
      <protection locked="0"/>
    </xf>
    <xf numFmtId="0" fontId="8" fillId="3" borderId="9" xfId="2" applyFont="1" applyFill="1" applyBorder="1" applyProtection="1">
      <protection locked="0"/>
    </xf>
    <xf numFmtId="0" fontId="11" fillId="5" borderId="34" xfId="0" applyFont="1" applyFill="1" applyBorder="1" applyAlignment="1">
      <alignment horizontal="center"/>
    </xf>
    <xf numFmtId="0" fontId="0" fillId="0" borderId="34" xfId="0" applyBorder="1" applyAlignment="1">
      <alignment wrapText="1"/>
    </xf>
    <xf numFmtId="0" fontId="0" fillId="0" borderId="34" xfId="0" applyBorder="1"/>
    <xf numFmtId="0" fontId="0" fillId="0" borderId="34" xfId="0" applyBorder="1" applyAlignment="1">
      <alignment horizontal="center"/>
    </xf>
    <xf numFmtId="0" fontId="11" fillId="5" borderId="34" xfId="0" applyFont="1" applyFill="1" applyBorder="1"/>
    <xf numFmtId="0" fontId="13" fillId="5" borderId="34" xfId="0" applyFont="1" applyFill="1" applyBorder="1"/>
    <xf numFmtId="0" fontId="12" fillId="6" borderId="34" xfId="0" applyFont="1" applyFill="1" applyBorder="1" applyAlignment="1">
      <alignment horizontal="center"/>
    </xf>
    <xf numFmtId="0" fontId="12" fillId="0" borderId="34" xfId="0" applyFont="1" applyBorder="1"/>
    <xf numFmtId="165" fontId="0" fillId="0" borderId="34" xfId="0" applyNumberFormat="1" applyBorder="1"/>
    <xf numFmtId="165" fontId="0" fillId="0" borderId="34" xfId="0" applyNumberFormat="1" applyBorder="1" applyAlignment="1">
      <alignment horizontal="center"/>
    </xf>
    <xf numFmtId="0" fontId="0" fillId="0" borderId="5" xfId="0" applyBorder="1"/>
    <xf numFmtId="0" fontId="0" fillId="0" borderId="34" xfId="0" applyFont="1" applyBorder="1" applyAlignment="1">
      <alignment horizontal="center"/>
    </xf>
    <xf numFmtId="0" fontId="12" fillId="0" borderId="34" xfId="0" applyFont="1" applyBorder="1" applyAlignment="1">
      <alignment horizontal="center"/>
    </xf>
    <xf numFmtId="0" fontId="15" fillId="0" borderId="0" xfId="0" applyFont="1" applyAlignment="1">
      <alignment horizontal="center"/>
    </xf>
    <xf numFmtId="0" fontId="12" fillId="0" borderId="0" xfId="0" applyFont="1" applyAlignment="1">
      <alignment horizontal="center"/>
    </xf>
    <xf numFmtId="0" fontId="0" fillId="0" borderId="4" xfId="0" applyFont="1" applyBorder="1"/>
    <xf numFmtId="0" fontId="0" fillId="0" borderId="1" xfId="0" applyFont="1" applyBorder="1" applyAlignment="1">
      <alignment horizontal="center"/>
    </xf>
    <xf numFmtId="0" fontId="0" fillId="0" borderId="34" xfId="0" applyFont="1" applyBorder="1"/>
    <xf numFmtId="2" fontId="0" fillId="0" borderId="34" xfId="0" applyNumberFormat="1" applyBorder="1" applyAlignment="1">
      <alignment horizontal="center"/>
    </xf>
    <xf numFmtId="0" fontId="0" fillId="0" borderId="34" xfId="0" applyNumberFormat="1" applyBorder="1" applyAlignment="1">
      <alignment horizontal="center"/>
    </xf>
    <xf numFmtId="165" fontId="0" fillId="0" borderId="35" xfId="0" applyNumberFormat="1" applyBorder="1" applyAlignment="1">
      <alignment horizontal="center"/>
    </xf>
    <xf numFmtId="0" fontId="12" fillId="0" borderId="2" xfId="0" applyFont="1" applyBorder="1" applyAlignment="1">
      <alignment horizontal="center"/>
    </xf>
    <xf numFmtId="0" fontId="0" fillId="0" borderId="2" xfId="0" applyBorder="1" applyAlignment="1">
      <alignment horizontal="center"/>
    </xf>
    <xf numFmtId="165" fontId="0" fillId="0" borderId="8" xfId="0" applyNumberFormat="1" applyBorder="1" applyAlignment="1">
      <alignment horizontal="center"/>
    </xf>
    <xf numFmtId="0" fontId="11" fillId="10" borderId="28" xfId="0" applyFont="1" applyFill="1" applyBorder="1" applyAlignment="1">
      <alignment horizontal="center"/>
    </xf>
    <xf numFmtId="0" fontId="11" fillId="10" borderId="28" xfId="0" applyFont="1" applyFill="1" applyBorder="1"/>
    <xf numFmtId="165" fontId="11" fillId="10" borderId="28" xfId="0" applyNumberFormat="1" applyFont="1" applyFill="1" applyBorder="1" applyAlignment="1">
      <alignment horizontal="center"/>
    </xf>
    <xf numFmtId="2" fontId="0" fillId="0" borderId="2" xfId="0" applyNumberFormat="1" applyBorder="1" applyAlignment="1">
      <alignment horizontal="center"/>
    </xf>
    <xf numFmtId="165" fontId="0" fillId="0" borderId="2" xfId="0" applyNumberFormat="1" applyBorder="1" applyAlignment="1">
      <alignment horizontal="center"/>
    </xf>
    <xf numFmtId="0" fontId="11" fillId="9" borderId="28" xfId="0" applyFont="1" applyFill="1" applyBorder="1" applyAlignment="1">
      <alignment horizontal="center"/>
    </xf>
    <xf numFmtId="0" fontId="11" fillId="9" borderId="28" xfId="0" applyFont="1" applyFill="1" applyBorder="1"/>
    <xf numFmtId="165" fontId="11" fillId="9" borderId="28" xfId="0" applyNumberFormat="1" applyFont="1" applyFill="1" applyBorder="1" applyAlignment="1">
      <alignment horizontal="center"/>
    </xf>
    <xf numFmtId="165" fontId="11" fillId="9" borderId="28" xfId="0" applyNumberFormat="1" applyFont="1" applyFill="1" applyBorder="1"/>
    <xf numFmtId="0" fontId="0" fillId="9" borderId="28" xfId="0" applyFill="1" applyBorder="1"/>
    <xf numFmtId="0" fontId="15" fillId="13" borderId="28" xfId="0" applyFont="1" applyFill="1" applyBorder="1"/>
    <xf numFmtId="0" fontId="15" fillId="13" borderId="28" xfId="0" applyFont="1" applyFill="1" applyBorder="1" applyAlignment="1">
      <alignment horizontal="center"/>
    </xf>
    <xf numFmtId="0" fontId="11" fillId="5" borderId="5" xfId="0" applyFont="1" applyFill="1" applyBorder="1" applyAlignment="1">
      <alignment horizontal="center"/>
    </xf>
    <xf numFmtId="0" fontId="0" fillId="0" borderId="34" xfId="0" applyFont="1" applyBorder="1" applyAlignment="1">
      <alignment wrapText="1" shrinkToFit="1"/>
    </xf>
    <xf numFmtId="0" fontId="0" fillId="14" borderId="34" xfId="0" applyFill="1" applyBorder="1"/>
    <xf numFmtId="0" fontId="0" fillId="5" borderId="34" xfId="0" applyFill="1" applyBorder="1"/>
    <xf numFmtId="0" fontId="11" fillId="4" borderId="34" xfId="0" applyFont="1" applyFill="1" applyBorder="1" applyAlignment="1">
      <alignment horizontal="center"/>
    </xf>
    <xf numFmtId="0" fontId="11" fillId="15" borderId="5" xfId="0" applyFont="1" applyFill="1" applyBorder="1" applyAlignment="1">
      <alignment horizontal="left"/>
    </xf>
    <xf numFmtId="0" fontId="0" fillId="0" borderId="4" xfId="0" applyFont="1" applyBorder="1" applyAlignment="1">
      <alignment horizontal="center"/>
    </xf>
    <xf numFmtId="0" fontId="15" fillId="4" borderId="0" xfId="0" applyFont="1" applyFill="1" applyBorder="1" applyAlignment="1">
      <alignment horizontal="center"/>
    </xf>
    <xf numFmtId="0" fontId="15" fillId="4" borderId="0" xfId="0" applyFont="1" applyFill="1" applyBorder="1"/>
    <xf numFmtId="0" fontId="0" fillId="0" borderId="39" xfId="0" applyBorder="1"/>
    <xf numFmtId="0" fontId="12" fillId="0" borderId="39" xfId="0" applyFont="1" applyBorder="1" applyAlignment="1">
      <alignment horizontal="center"/>
    </xf>
    <xf numFmtId="1" fontId="0" fillId="0" borderId="40" xfId="0" applyNumberFormat="1" applyBorder="1" applyAlignment="1">
      <alignment horizontal="center"/>
    </xf>
    <xf numFmtId="1" fontId="0" fillId="0" borderId="34" xfId="0" applyNumberFormat="1" applyBorder="1" applyAlignment="1">
      <alignment horizontal="center"/>
    </xf>
    <xf numFmtId="165" fontId="16" fillId="12" borderId="28" xfId="0" applyNumberFormat="1" applyFont="1" applyFill="1" applyBorder="1" applyAlignment="1">
      <alignment horizontal="center"/>
    </xf>
    <xf numFmtId="0" fontId="0" fillId="0" borderId="35" xfId="0" applyBorder="1"/>
    <xf numFmtId="0" fontId="0" fillId="0" borderId="41" xfId="0" applyBorder="1"/>
    <xf numFmtId="0" fontId="0" fillId="14" borderId="0" xfId="0" applyFill="1"/>
    <xf numFmtId="0" fontId="11" fillId="15" borderId="0" xfId="0" applyFont="1" applyFill="1"/>
    <xf numFmtId="165" fontId="0" fillId="0" borderId="34" xfId="0" applyNumberFormat="1" applyFont="1" applyBorder="1" applyAlignment="1">
      <alignment horizontal="center"/>
    </xf>
    <xf numFmtId="0" fontId="12" fillId="14" borderId="34" xfId="0" applyFont="1" applyFill="1" applyBorder="1" applyAlignment="1">
      <alignment horizontal="center"/>
    </xf>
    <xf numFmtId="0" fontId="11" fillId="0" borderId="34" xfId="0" applyFont="1" applyFill="1" applyBorder="1" applyAlignment="1">
      <alignment horizontal="center"/>
    </xf>
    <xf numFmtId="0" fontId="12" fillId="0" borderId="35" xfId="0" applyFont="1" applyBorder="1" applyAlignment="1">
      <alignment horizontal="center"/>
    </xf>
    <xf numFmtId="0" fontId="0" fillId="5" borderId="41" xfId="0" applyFill="1" applyBorder="1"/>
    <xf numFmtId="0" fontId="0" fillId="17" borderId="34" xfId="0" applyFill="1" applyBorder="1"/>
    <xf numFmtId="0" fontId="0" fillId="17" borderId="34" xfId="0" applyFont="1" applyFill="1" applyBorder="1" applyAlignment="1">
      <alignment horizontal="center"/>
    </xf>
    <xf numFmtId="165" fontId="16" fillId="12" borderId="34" xfId="0" applyNumberFormat="1" applyFont="1" applyFill="1" applyBorder="1" applyAlignment="1">
      <alignment horizontal="center"/>
    </xf>
    <xf numFmtId="0" fontId="12" fillId="0" borderId="0" xfId="0" applyFont="1"/>
    <xf numFmtId="0" fontId="0" fillId="0" borderId="0" xfId="0" applyFont="1" applyBorder="1"/>
    <xf numFmtId="0" fontId="0" fillId="0" borderId="39" xfId="0" applyBorder="1" applyAlignment="1">
      <alignment horizontal="center"/>
    </xf>
    <xf numFmtId="0" fontId="0" fillId="0" borderId="45" xfId="0" applyBorder="1"/>
    <xf numFmtId="0" fontId="0" fillId="0" borderId="0" xfId="0" applyBorder="1" applyAlignment="1">
      <alignment horizontal="center"/>
    </xf>
    <xf numFmtId="0" fontId="12" fillId="0" borderId="42" xfId="0" applyFont="1" applyBorder="1"/>
    <xf numFmtId="0" fontId="0" fillId="0" borderId="48" xfId="0" applyBorder="1"/>
    <xf numFmtId="165" fontId="0" fillId="0" borderId="38" xfId="0" applyNumberFormat="1" applyBorder="1"/>
    <xf numFmtId="0" fontId="0" fillId="0" borderId="43" xfId="0" applyBorder="1" applyAlignment="1">
      <alignment horizontal="center"/>
    </xf>
    <xf numFmtId="0" fontId="11" fillId="18" borderId="27" xfId="0" applyFont="1" applyFill="1" applyBorder="1" applyAlignment="1">
      <alignment horizontal="center" wrapText="1"/>
    </xf>
    <xf numFmtId="0" fontId="11" fillId="8" borderId="49" xfId="0" applyFont="1" applyFill="1" applyBorder="1" applyAlignment="1">
      <alignment horizontal="center" wrapText="1"/>
    </xf>
    <xf numFmtId="0" fontId="11" fillId="8" borderId="49" xfId="0" applyFont="1" applyFill="1" applyBorder="1" applyAlignment="1">
      <alignment horizontal="center"/>
    </xf>
    <xf numFmtId="0" fontId="0" fillId="0" borderId="48" xfId="0" applyBorder="1" applyAlignment="1">
      <alignment horizontal="left"/>
    </xf>
    <xf numFmtId="0" fontId="0" fillId="0" borderId="38" xfId="0" applyBorder="1" applyAlignment="1">
      <alignment horizontal="center"/>
    </xf>
    <xf numFmtId="0" fontId="0" fillId="0" borderId="48" xfId="0" applyBorder="1" applyAlignment="1">
      <alignment horizontal="center"/>
    </xf>
    <xf numFmtId="165" fontId="0" fillId="0" borderId="38" xfId="0" applyNumberFormat="1" applyBorder="1" applyAlignment="1">
      <alignment horizontal="center"/>
    </xf>
    <xf numFmtId="0" fontId="0" fillId="0" borderId="17" xfId="0" applyFont="1" applyBorder="1" applyAlignment="1">
      <alignment horizontal="center"/>
    </xf>
    <xf numFmtId="165" fontId="0" fillId="0" borderId="18" xfId="0" applyNumberFormat="1" applyBorder="1" applyAlignment="1">
      <alignment horizontal="center"/>
    </xf>
    <xf numFmtId="0" fontId="11" fillId="11" borderId="27" xfId="0" applyFont="1" applyFill="1" applyBorder="1" applyAlignment="1">
      <alignment horizontal="center" wrapText="1"/>
    </xf>
    <xf numFmtId="0" fontId="11" fillId="8" borderId="50" xfId="0" applyFont="1" applyFill="1" applyBorder="1" applyAlignment="1">
      <alignment horizontal="center"/>
    </xf>
    <xf numFmtId="0" fontId="11" fillId="8" borderId="37" xfId="0" applyFont="1" applyFill="1" applyBorder="1"/>
    <xf numFmtId="0" fontId="0" fillId="0" borderId="38" xfId="0" applyBorder="1"/>
    <xf numFmtId="0" fontId="0" fillId="0" borderId="17" xfId="0" applyBorder="1" applyAlignment="1">
      <alignment horizontal="center"/>
    </xf>
    <xf numFmtId="165" fontId="0" fillId="0" borderId="18" xfId="0" applyNumberFormat="1" applyBorder="1"/>
    <xf numFmtId="0" fontId="11" fillId="8" borderId="14" xfId="0" applyFont="1" applyFill="1" applyBorder="1"/>
    <xf numFmtId="0" fontId="11" fillId="20" borderId="36" xfId="0" applyFont="1" applyFill="1" applyBorder="1" applyAlignment="1">
      <alignment horizontal="center" wrapText="1"/>
    </xf>
    <xf numFmtId="0" fontId="11" fillId="20" borderId="36" xfId="0" applyFont="1" applyFill="1" applyBorder="1" applyAlignment="1">
      <alignment horizontal="center"/>
    </xf>
    <xf numFmtId="0" fontId="11" fillId="20" borderId="37" xfId="0" applyFont="1" applyFill="1" applyBorder="1"/>
    <xf numFmtId="165" fontId="16" fillId="12" borderId="40" xfId="0" applyNumberFormat="1" applyFont="1" applyFill="1" applyBorder="1" applyAlignment="1">
      <alignment horizontal="center"/>
    </xf>
    <xf numFmtId="0" fontId="11" fillId="15" borderId="34" xfId="0" applyFont="1" applyFill="1" applyBorder="1" applyAlignment="1">
      <alignment horizontal="center"/>
    </xf>
    <xf numFmtId="0" fontId="11" fillId="15" borderId="34" xfId="0" applyFont="1" applyFill="1" applyBorder="1"/>
    <xf numFmtId="0" fontId="13" fillId="15" borderId="34" xfId="0" applyFont="1" applyFill="1" applyBorder="1"/>
    <xf numFmtId="165" fontId="16" fillId="4" borderId="0" xfId="0" applyNumberFormat="1" applyFont="1" applyFill="1" applyBorder="1" applyAlignment="1">
      <alignment horizontal="center"/>
    </xf>
    <xf numFmtId="0" fontId="0" fillId="0" borderId="34" xfId="0" applyFont="1" applyBorder="1" applyAlignment="1">
      <alignment wrapText="1"/>
    </xf>
    <xf numFmtId="165" fontId="16" fillId="4" borderId="34" xfId="0" applyNumberFormat="1" applyFont="1" applyFill="1" applyBorder="1" applyAlignment="1">
      <alignment horizontal="center"/>
    </xf>
    <xf numFmtId="0" fontId="0" fillId="0" borderId="5" xfId="0" applyBorder="1" applyAlignment="1">
      <alignment horizontal="center"/>
    </xf>
    <xf numFmtId="0" fontId="0" fillId="0" borderId="35" xfId="0" applyFont="1" applyBorder="1" applyAlignment="1">
      <alignment horizontal="center"/>
    </xf>
    <xf numFmtId="0" fontId="11" fillId="20" borderId="49" xfId="0" applyFont="1" applyFill="1" applyBorder="1" applyAlignment="1">
      <alignment horizontal="center"/>
    </xf>
    <xf numFmtId="0" fontId="11" fillId="20" borderId="52" xfId="0" applyFont="1" applyFill="1" applyBorder="1"/>
    <xf numFmtId="165" fontId="16" fillId="0" borderId="0" xfId="0" applyNumberFormat="1" applyFont="1" applyFill="1" applyBorder="1" applyAlignment="1">
      <alignment horizontal="center"/>
    </xf>
    <xf numFmtId="4" fontId="0" fillId="0" borderId="35" xfId="0" applyNumberFormat="1" applyBorder="1" applyAlignment="1">
      <alignment horizontal="center"/>
    </xf>
    <xf numFmtId="166" fontId="0" fillId="0" borderId="0" xfId="0" applyNumberFormat="1" applyAlignment="1">
      <alignment horizontal="center"/>
    </xf>
    <xf numFmtId="166" fontId="0" fillId="0" borderId="38" xfId="0" applyNumberFormat="1" applyBorder="1" applyAlignment="1">
      <alignment horizontal="center"/>
    </xf>
    <xf numFmtId="166" fontId="0" fillId="0" borderId="34" xfId="0" applyNumberFormat="1" applyBorder="1" applyAlignment="1">
      <alignment horizontal="center"/>
    </xf>
    <xf numFmtId="0" fontId="0" fillId="0" borderId="43" xfId="0" applyBorder="1"/>
    <xf numFmtId="165" fontId="16" fillId="4" borderId="40" xfId="0" applyNumberFormat="1" applyFont="1" applyFill="1" applyBorder="1" applyAlignment="1">
      <alignment horizontal="center"/>
    </xf>
    <xf numFmtId="0" fontId="0" fillId="0" borderId="20" xfId="0" applyBorder="1"/>
    <xf numFmtId="166" fontId="0" fillId="0" borderId="21" xfId="0" applyNumberFormat="1" applyBorder="1" applyAlignment="1">
      <alignment horizontal="center"/>
    </xf>
    <xf numFmtId="0" fontId="0" fillId="19" borderId="44" xfId="0" applyFill="1" applyBorder="1"/>
    <xf numFmtId="0" fontId="12" fillId="19" borderId="36" xfId="0" applyFont="1" applyFill="1" applyBorder="1" applyAlignment="1">
      <alignment horizontal="center"/>
    </xf>
    <xf numFmtId="0" fontId="12" fillId="19" borderId="36" xfId="0" applyFont="1" applyFill="1" applyBorder="1"/>
    <xf numFmtId="0" fontId="12" fillId="19" borderId="37" xfId="0" applyFont="1" applyFill="1" applyBorder="1" applyAlignment="1">
      <alignment horizontal="center"/>
    </xf>
    <xf numFmtId="0" fontId="0" fillId="19" borderId="51" xfId="0" applyFill="1" applyBorder="1"/>
    <xf numFmtId="0" fontId="12" fillId="19" borderId="28" xfId="0" applyFont="1" applyFill="1" applyBorder="1" applyAlignment="1">
      <alignment horizontal="center"/>
    </xf>
    <xf numFmtId="0" fontId="12" fillId="19" borderId="28" xfId="0" applyFont="1" applyFill="1" applyBorder="1"/>
    <xf numFmtId="0" fontId="12" fillId="19" borderId="31" xfId="0" applyFont="1" applyFill="1" applyBorder="1" applyAlignment="1">
      <alignment horizontal="center"/>
    </xf>
    <xf numFmtId="0" fontId="0" fillId="19" borderId="48" xfId="0" applyFill="1" applyBorder="1"/>
    <xf numFmtId="0" fontId="12" fillId="19" borderId="34" xfId="0" applyFont="1" applyFill="1" applyBorder="1" applyAlignment="1">
      <alignment horizontal="center"/>
    </xf>
    <xf numFmtId="0" fontId="12" fillId="19" borderId="34" xfId="0" applyFont="1" applyFill="1" applyBorder="1"/>
    <xf numFmtId="0" fontId="12" fillId="19" borderId="38" xfId="0" applyFont="1" applyFill="1" applyBorder="1" applyAlignment="1">
      <alignment horizontal="center"/>
    </xf>
    <xf numFmtId="0" fontId="12" fillId="0" borderId="0" xfId="0" applyFont="1" applyBorder="1" applyAlignment="1">
      <alignment horizontal="left"/>
    </xf>
    <xf numFmtId="0" fontId="0" fillId="0" borderId="0" xfId="0" applyFont="1" applyBorder="1" applyAlignment="1">
      <alignment horizontal="center"/>
    </xf>
    <xf numFmtId="166" fontId="0" fillId="0" borderId="34" xfId="0" applyNumberFormat="1" applyFont="1" applyBorder="1" applyAlignment="1">
      <alignment horizontal="center"/>
    </xf>
    <xf numFmtId="0" fontId="0" fillId="0" borderId="38" xfId="0" applyNumberFormat="1" applyBorder="1" applyAlignment="1">
      <alignment horizontal="center"/>
    </xf>
    <xf numFmtId="0" fontId="0" fillId="19" borderId="34" xfId="0" applyFont="1" applyFill="1" applyBorder="1"/>
    <xf numFmtId="0" fontId="0" fillId="19" borderId="34" xfId="0" applyFill="1" applyBorder="1"/>
    <xf numFmtId="0" fontId="0" fillId="10" borderId="34" xfId="0" applyFont="1" applyFill="1" applyBorder="1"/>
    <xf numFmtId="0" fontId="0" fillId="10" borderId="35" xfId="0" applyFont="1" applyFill="1" applyBorder="1" applyAlignment="1">
      <alignment horizontal="center"/>
    </xf>
    <xf numFmtId="0" fontId="0" fillId="10" borderId="34" xfId="0" applyFill="1" applyBorder="1"/>
    <xf numFmtId="0" fontId="0" fillId="10" borderId="35" xfId="0" applyFont="1" applyFill="1" applyBorder="1"/>
    <xf numFmtId="0" fontId="0" fillId="16" borderId="30" xfId="0" applyFill="1" applyBorder="1" applyAlignment="1">
      <alignment horizontal="center"/>
    </xf>
    <xf numFmtId="0" fontId="0" fillId="16" borderId="32" xfId="0" applyFill="1" applyBorder="1"/>
    <xf numFmtId="0" fontId="18" fillId="16" borderId="32" xfId="0" applyFont="1" applyFill="1" applyBorder="1" applyAlignment="1">
      <alignment horizontal="center"/>
    </xf>
    <xf numFmtId="0" fontId="0" fillId="16" borderId="32" xfId="0" applyFill="1" applyBorder="1" applyAlignment="1">
      <alignment horizontal="center"/>
    </xf>
    <xf numFmtId="0" fontId="0" fillId="16" borderId="29" xfId="0" applyFill="1" applyBorder="1" applyAlignment="1">
      <alignment horizontal="center"/>
    </xf>
    <xf numFmtId="0" fontId="12" fillId="19" borderId="2" xfId="0" applyFont="1" applyFill="1" applyBorder="1"/>
    <xf numFmtId="0" fontId="0" fillId="19" borderId="2" xfId="0" applyFill="1" applyBorder="1"/>
    <xf numFmtId="0" fontId="0" fillId="19" borderId="34" xfId="0" applyFont="1" applyFill="1" applyBorder="1" applyAlignment="1">
      <alignment horizontal="center"/>
    </xf>
    <xf numFmtId="0" fontId="15" fillId="4" borderId="53" xfId="0" applyFont="1" applyFill="1" applyBorder="1"/>
    <xf numFmtId="0" fontId="0" fillId="0" borderId="53" xfId="0" applyBorder="1"/>
    <xf numFmtId="0" fontId="15" fillId="4" borderId="54" xfId="0" applyFont="1" applyFill="1" applyBorder="1"/>
    <xf numFmtId="0" fontId="15" fillId="4" borderId="55" xfId="0" applyFont="1" applyFill="1" applyBorder="1"/>
    <xf numFmtId="0" fontId="0" fillId="0" borderId="55" xfId="0" applyBorder="1"/>
    <xf numFmtId="0" fontId="15" fillId="4" borderId="56" xfId="0" applyFont="1" applyFill="1" applyBorder="1"/>
    <xf numFmtId="0" fontId="15" fillId="4" borderId="57" xfId="0" applyFont="1" applyFill="1" applyBorder="1"/>
    <xf numFmtId="0" fontId="0" fillId="0" borderId="54" xfId="0" applyBorder="1"/>
    <xf numFmtId="0" fontId="0" fillId="0" borderId="57" xfId="0" applyBorder="1"/>
    <xf numFmtId="0" fontId="0" fillId="13" borderId="58" xfId="0" applyFill="1" applyBorder="1"/>
    <xf numFmtId="0" fontId="0" fillId="13" borderId="31" xfId="0" applyFill="1" applyBorder="1"/>
    <xf numFmtId="0" fontId="17" fillId="16" borderId="15" xfId="0" applyFont="1" applyFill="1" applyBorder="1" applyAlignment="1">
      <alignment horizontal="center" vertical="center"/>
    </xf>
    <xf numFmtId="0" fontId="15" fillId="16" borderId="22" xfId="0" applyFont="1" applyFill="1" applyBorder="1"/>
    <xf numFmtId="0" fontId="0" fillId="0" borderId="23" xfId="0" applyBorder="1" applyAlignment="1">
      <alignment horizontal="center"/>
    </xf>
    <xf numFmtId="0" fontId="12" fillId="19" borderId="42" xfId="0" applyFont="1" applyFill="1" applyBorder="1" applyAlignment="1">
      <alignment horizontal="center"/>
    </xf>
    <xf numFmtId="2" fontId="0" fillId="0" borderId="39" xfId="0" applyNumberFormat="1" applyBorder="1"/>
    <xf numFmtId="0" fontId="0" fillId="4" borderId="0" xfId="0" applyFill="1" applyBorder="1"/>
    <xf numFmtId="0" fontId="0" fillId="4" borderId="0" xfId="0" applyFill="1" applyBorder="1" applyAlignment="1">
      <alignment horizontal="center"/>
    </xf>
    <xf numFmtId="2" fontId="0" fillId="4" borderId="0" xfId="0" applyNumberFormat="1" applyFill="1" applyBorder="1"/>
    <xf numFmtId="1" fontId="0" fillId="4" borderId="0" xfId="0" applyNumberFormat="1" applyFill="1" applyBorder="1" applyAlignment="1">
      <alignment horizontal="center"/>
    </xf>
    <xf numFmtId="0" fontId="0" fillId="4" borderId="0" xfId="0" applyFill="1"/>
    <xf numFmtId="2" fontId="0" fillId="0" borderId="40" xfId="0" applyNumberFormat="1" applyBorder="1" applyAlignment="1">
      <alignment horizontal="center"/>
    </xf>
    <xf numFmtId="2" fontId="0" fillId="0" borderId="38" xfId="0" applyNumberFormat="1" applyBorder="1" applyAlignment="1">
      <alignment horizontal="center"/>
    </xf>
    <xf numFmtId="0" fontId="10" fillId="4" borderId="0" xfId="0" applyFont="1" applyFill="1" applyBorder="1"/>
    <xf numFmtId="0" fontId="11" fillId="8" borderId="1" xfId="0" applyFont="1" applyFill="1" applyBorder="1" applyAlignment="1">
      <alignment horizontal="center" wrapText="1"/>
    </xf>
    <xf numFmtId="0" fontId="11" fillId="8" borderId="1" xfId="0" applyFont="1" applyFill="1" applyBorder="1" applyAlignment="1">
      <alignment horizontal="center"/>
    </xf>
    <xf numFmtId="0" fontId="11" fillId="8" borderId="11" xfId="0" applyFont="1" applyFill="1" applyBorder="1" applyAlignment="1">
      <alignment horizontal="center"/>
    </xf>
    <xf numFmtId="0" fontId="11" fillId="8" borderId="16" xfId="0" applyFont="1" applyFill="1" applyBorder="1"/>
    <xf numFmtId="0" fontId="16" fillId="18" borderId="0" xfId="0" applyFont="1" applyFill="1" applyBorder="1"/>
    <xf numFmtId="0" fontId="16" fillId="18" borderId="34" xfId="0" applyFont="1" applyFill="1" applyBorder="1"/>
    <xf numFmtId="0" fontId="11" fillId="4" borderId="0" xfId="0" applyFont="1" applyFill="1" applyBorder="1" applyAlignment="1">
      <alignment horizontal="center"/>
    </xf>
    <xf numFmtId="0" fontId="11" fillId="4" borderId="0" xfId="0" applyFont="1" applyFill="1" applyBorder="1"/>
    <xf numFmtId="165" fontId="11" fillId="4" borderId="0" xfId="0" applyNumberFormat="1" applyFont="1" applyFill="1" applyBorder="1" applyAlignment="1">
      <alignment horizontal="center"/>
    </xf>
    <xf numFmtId="0" fontId="16" fillId="18" borderId="12" xfId="0" applyFont="1" applyFill="1" applyBorder="1"/>
    <xf numFmtId="0" fontId="13" fillId="18" borderId="48" xfId="0" applyFont="1" applyFill="1" applyBorder="1"/>
    <xf numFmtId="0" fontId="15" fillId="4" borderId="43" xfId="0" applyFont="1" applyFill="1" applyBorder="1"/>
    <xf numFmtId="0" fontId="0" fillId="0" borderId="25" xfId="0" applyBorder="1" applyAlignment="1">
      <alignment horizontal="center"/>
    </xf>
    <xf numFmtId="0" fontId="12" fillId="0" borderId="25" xfId="0" applyFont="1" applyBorder="1" applyAlignment="1">
      <alignment horizontal="center"/>
    </xf>
    <xf numFmtId="165" fontId="0" fillId="0" borderId="0" xfId="0" applyNumberFormat="1" applyBorder="1" applyAlignment="1">
      <alignment horizontal="center"/>
    </xf>
    <xf numFmtId="0" fontId="0" fillId="0" borderId="40" xfId="0" applyBorder="1"/>
    <xf numFmtId="0" fontId="11" fillId="4" borderId="1" xfId="0" applyFont="1" applyFill="1" applyBorder="1"/>
    <xf numFmtId="0" fontId="13" fillId="4" borderId="0" xfId="0" applyFont="1" applyFill="1" applyBorder="1"/>
    <xf numFmtId="0" fontId="11" fillId="15" borderId="1" xfId="0" applyFont="1" applyFill="1" applyBorder="1"/>
    <xf numFmtId="0" fontId="0" fillId="17" borderId="0" xfId="0" applyFill="1"/>
    <xf numFmtId="0" fontId="11" fillId="17" borderId="1" xfId="0" applyFont="1" applyFill="1" applyBorder="1"/>
    <xf numFmtId="0" fontId="10" fillId="0" borderId="4" xfId="0" applyFont="1" applyBorder="1"/>
    <xf numFmtId="0" fontId="10" fillId="0" borderId="34" xfId="0" applyFont="1" applyBorder="1"/>
    <xf numFmtId="0" fontId="10" fillId="0" borderId="34" xfId="0" applyFont="1" applyBorder="1" applyAlignment="1">
      <alignment horizontal="center"/>
    </xf>
    <xf numFmtId="0" fontId="10" fillId="0" borderId="34" xfId="0" applyFont="1" applyFill="1" applyBorder="1"/>
    <xf numFmtId="0" fontId="0" fillId="19" borderId="42" xfId="0" applyFill="1" applyBorder="1"/>
    <xf numFmtId="1" fontId="0" fillId="0" borderId="38" xfId="0" applyNumberFormat="1" applyBorder="1" applyAlignment="1">
      <alignment horizontal="center"/>
    </xf>
    <xf numFmtId="0" fontId="11" fillId="18" borderId="19" xfId="0" applyFont="1" applyFill="1" applyBorder="1" applyAlignment="1">
      <alignment horizontal="center" wrapText="1"/>
    </xf>
    <xf numFmtId="0" fontId="11" fillId="0" borderId="1" xfId="0" applyFont="1" applyFill="1" applyBorder="1" applyAlignment="1">
      <alignment horizontal="center"/>
    </xf>
    <xf numFmtId="0" fontId="11" fillId="0" borderId="11" xfId="0" applyFont="1" applyFill="1" applyBorder="1" applyAlignment="1">
      <alignment horizontal="center"/>
    </xf>
    <xf numFmtId="0" fontId="0" fillId="0" borderId="19" xfId="0" applyFont="1" applyFill="1" applyBorder="1" applyAlignment="1">
      <alignment horizontal="left" wrapText="1"/>
    </xf>
    <xf numFmtId="166" fontId="12" fillId="0" borderId="1" xfId="0" applyNumberFormat="1" applyFont="1" applyFill="1" applyBorder="1" applyAlignment="1">
      <alignment horizontal="center" wrapText="1"/>
    </xf>
    <xf numFmtId="165" fontId="12" fillId="0" borderId="11" xfId="0" applyNumberFormat="1" applyFont="1" applyFill="1" applyBorder="1" applyAlignment="1">
      <alignment horizontal="center"/>
    </xf>
    <xf numFmtId="165" fontId="16" fillId="12" borderId="28" xfId="0" applyNumberFormat="1" applyFont="1" applyFill="1" applyBorder="1"/>
    <xf numFmtId="0" fontId="16" fillId="9" borderId="22" xfId="0" applyFont="1" applyFill="1" applyBorder="1" applyAlignment="1">
      <alignment horizontal="center"/>
    </xf>
    <xf numFmtId="0" fontId="0" fillId="9" borderId="23" xfId="0" applyFill="1" applyBorder="1"/>
    <xf numFmtId="0" fontId="0" fillId="9" borderId="24" xfId="0" applyFill="1" applyBorder="1"/>
    <xf numFmtId="0" fontId="0" fillId="0" borderId="4" xfId="0" applyBorder="1"/>
    <xf numFmtId="0" fontId="0" fillId="0" borderId="11" xfId="0" applyBorder="1"/>
    <xf numFmtId="0" fontId="0" fillId="0" borderId="9" xfId="0" applyBorder="1"/>
    <xf numFmtId="0" fontId="0" fillId="17" borderId="10" xfId="0" applyFill="1" applyBorder="1"/>
    <xf numFmtId="0" fontId="11" fillId="18" borderId="4" xfId="0" applyFont="1" applyFill="1" applyBorder="1" applyAlignment="1">
      <alignment horizontal="center" wrapText="1"/>
    </xf>
    <xf numFmtId="0" fontId="0" fillId="0" borderId="48" xfId="0" applyFill="1" applyBorder="1"/>
    <xf numFmtId="166" fontId="11" fillId="21" borderId="1" xfId="0" applyNumberFormat="1" applyFont="1" applyFill="1" applyBorder="1" applyAlignment="1">
      <alignment horizontal="center" wrapText="1"/>
    </xf>
    <xf numFmtId="0" fontId="11" fillId="21" borderId="1" xfId="0" applyFont="1" applyFill="1" applyBorder="1" applyAlignment="1">
      <alignment horizontal="center"/>
    </xf>
    <xf numFmtId="0" fontId="11" fillId="21" borderId="11" xfId="0" applyFont="1" applyFill="1" applyBorder="1" applyAlignment="1">
      <alignment horizontal="center"/>
    </xf>
    <xf numFmtId="0" fontId="0" fillId="19" borderId="36" xfId="0" applyFill="1" applyBorder="1"/>
    <xf numFmtId="166" fontId="0" fillId="0" borderId="40" xfId="0" applyNumberFormat="1" applyBorder="1" applyAlignment="1">
      <alignment horizontal="center"/>
    </xf>
    <xf numFmtId="0" fontId="0" fillId="16" borderId="12" xfId="0" applyFill="1" applyBorder="1"/>
    <xf numFmtId="0" fontId="0" fillId="16" borderId="15" xfId="0" applyFill="1" applyBorder="1"/>
    <xf numFmtId="0" fontId="20" fillId="16" borderId="15" xfId="0" applyFont="1" applyFill="1" applyBorder="1" applyAlignment="1">
      <alignment horizontal="center"/>
    </xf>
    <xf numFmtId="0" fontId="12" fillId="0" borderId="36" xfId="0" applyFont="1" applyFill="1" applyBorder="1" applyAlignment="1">
      <alignment horizontal="center"/>
    </xf>
    <xf numFmtId="1" fontId="11" fillId="10" borderId="28" xfId="0" applyNumberFormat="1" applyFont="1" applyFill="1" applyBorder="1" applyAlignment="1">
      <alignment horizontal="center"/>
    </xf>
    <xf numFmtId="0" fontId="3" fillId="22" borderId="0" xfId="0" applyNumberFormat="1" applyFont="1" applyFill="1" applyBorder="1" applyAlignment="1">
      <alignment horizontal="center"/>
    </xf>
    <xf numFmtId="0" fontId="3" fillId="22" borderId="34" xfId="0" applyNumberFormat="1" applyFont="1" applyFill="1" applyBorder="1" applyAlignment="1">
      <alignment horizontal="center"/>
    </xf>
    <xf numFmtId="2" fontId="0" fillId="0" borderId="34" xfId="0" applyNumberFormat="1" applyBorder="1"/>
    <xf numFmtId="166" fontId="0" fillId="0" borderId="38" xfId="0" applyNumberFormat="1" applyFill="1" applyBorder="1" applyAlignment="1">
      <alignment horizontal="center"/>
    </xf>
    <xf numFmtId="0" fontId="3" fillId="22" borderId="39" xfId="0" applyNumberFormat="1" applyFont="1" applyFill="1" applyBorder="1" applyAlignment="1">
      <alignment horizontal="center"/>
    </xf>
    <xf numFmtId="166" fontId="0" fillId="0" borderId="40" xfId="0" applyNumberFormat="1" applyFill="1" applyBorder="1" applyAlignment="1">
      <alignment horizontal="center"/>
    </xf>
    <xf numFmtId="0" fontId="0" fillId="16" borderId="30" xfId="0" applyFill="1" applyBorder="1"/>
    <xf numFmtId="0" fontId="0" fillId="16" borderId="29" xfId="0" applyFill="1" applyBorder="1"/>
    <xf numFmtId="0" fontId="21" fillId="22" borderId="34" xfId="0" applyNumberFormat="1" applyFont="1" applyFill="1" applyBorder="1" applyAlignment="1">
      <alignment horizontal="left"/>
    </xf>
    <xf numFmtId="166" fontId="11" fillId="0" borderId="1" xfId="0" applyNumberFormat="1" applyFont="1" applyFill="1" applyBorder="1" applyAlignment="1">
      <alignment horizontal="center" wrapText="1"/>
    </xf>
    <xf numFmtId="165" fontId="0" fillId="0" borderId="38" xfId="0" applyNumberFormat="1" applyFill="1" applyBorder="1"/>
    <xf numFmtId="1" fontId="0" fillId="0" borderId="0" xfId="0" applyNumberFormat="1" applyBorder="1" applyAlignment="1">
      <alignment horizontal="center"/>
    </xf>
    <xf numFmtId="0" fontId="12" fillId="0" borderId="13" xfId="0" applyFont="1" applyFill="1" applyBorder="1" applyAlignment="1">
      <alignment horizontal="center"/>
    </xf>
    <xf numFmtId="2" fontId="0" fillId="0" borderId="0" xfId="0" applyNumberFormat="1" applyBorder="1"/>
    <xf numFmtId="0" fontId="0" fillId="0" borderId="0" xfId="0" applyFill="1" applyBorder="1"/>
    <xf numFmtId="166" fontId="0" fillId="0" borderId="28" xfId="0" applyNumberFormat="1" applyFill="1" applyBorder="1" applyAlignment="1">
      <alignment horizontal="center"/>
    </xf>
    <xf numFmtId="0" fontId="10" fillId="0" borderId="19" xfId="0" applyFont="1" applyBorder="1"/>
    <xf numFmtId="0" fontId="10" fillId="0" borderId="15" xfId="0" applyFont="1" applyBorder="1"/>
    <xf numFmtId="0" fontId="10" fillId="0" borderId="15" xfId="0" applyFont="1" applyFill="1" applyBorder="1"/>
    <xf numFmtId="0" fontId="15" fillId="19" borderId="34" xfId="0" applyFont="1" applyFill="1" applyBorder="1"/>
    <xf numFmtId="0" fontId="10" fillId="19" borderId="34" xfId="0" applyFont="1" applyFill="1" applyBorder="1" applyAlignment="1">
      <alignment horizontal="center"/>
    </xf>
    <xf numFmtId="165" fontId="11" fillId="0" borderId="34" xfId="0" applyNumberFormat="1" applyFont="1" applyFill="1" applyBorder="1" applyAlignment="1">
      <alignment horizontal="center"/>
    </xf>
    <xf numFmtId="165" fontId="12" fillId="0" borderId="34" xfId="0" applyNumberFormat="1" applyFont="1" applyFill="1" applyBorder="1" applyAlignment="1">
      <alignment horizontal="center"/>
    </xf>
    <xf numFmtId="0" fontId="10" fillId="5" borderId="4" xfId="0" applyFont="1" applyFill="1" applyBorder="1"/>
    <xf numFmtId="165" fontId="0" fillId="5" borderId="34" xfId="0" applyNumberFormat="1" applyFill="1" applyBorder="1" applyAlignment="1">
      <alignment horizontal="center"/>
    </xf>
    <xf numFmtId="0" fontId="0" fillId="5" borderId="34" xfId="0" applyFill="1" applyBorder="1" applyAlignment="1">
      <alignment horizontal="center"/>
    </xf>
    <xf numFmtId="0" fontId="0" fillId="0" borderId="34" xfId="0" applyFill="1" applyBorder="1"/>
    <xf numFmtId="165" fontId="0" fillId="0" borderId="34" xfId="0" applyNumberFormat="1" applyFill="1" applyBorder="1" applyAlignment="1">
      <alignment horizontal="center"/>
    </xf>
    <xf numFmtId="0" fontId="0" fillId="0" borderId="34" xfId="0" applyFill="1" applyBorder="1" applyAlignment="1">
      <alignment horizontal="center"/>
    </xf>
    <xf numFmtId="165" fontId="16" fillId="0" borderId="34" xfId="0" applyNumberFormat="1" applyFont="1" applyFill="1" applyBorder="1" applyAlignment="1">
      <alignment horizontal="center"/>
    </xf>
    <xf numFmtId="0" fontId="11" fillId="15" borderId="4" xfId="0" applyFont="1" applyFill="1" applyBorder="1"/>
    <xf numFmtId="0" fontId="0" fillId="0" borderId="2" xfId="0" applyFont="1" applyBorder="1" applyAlignment="1">
      <alignment horizontal="center"/>
    </xf>
    <xf numFmtId="0" fontId="0" fillId="16" borderId="22" xfId="0" applyFill="1" applyBorder="1"/>
    <xf numFmtId="0" fontId="12" fillId="0" borderId="34" xfId="0" applyFont="1" applyFill="1" applyBorder="1" applyAlignment="1">
      <alignment horizontal="center"/>
    </xf>
    <xf numFmtId="0" fontId="11" fillId="10" borderId="12" xfId="0" applyFont="1" applyFill="1" applyBorder="1" applyAlignment="1">
      <alignment horizontal="center"/>
    </xf>
    <xf numFmtId="0" fontId="11" fillId="10" borderId="2" xfId="0" applyFont="1" applyFill="1" applyBorder="1" applyAlignment="1">
      <alignment horizontal="center"/>
    </xf>
    <xf numFmtId="0" fontId="11" fillId="10" borderId="2" xfId="0" applyFont="1" applyFill="1" applyBorder="1"/>
    <xf numFmtId="165" fontId="11" fillId="10" borderId="2" xfId="0" applyNumberFormat="1" applyFont="1" applyFill="1" applyBorder="1" applyAlignment="1">
      <alignment horizontal="center"/>
    </xf>
    <xf numFmtId="165" fontId="0" fillId="0" borderId="2" xfId="0" applyNumberFormat="1" applyBorder="1"/>
    <xf numFmtId="0" fontId="16" fillId="9" borderId="51" xfId="0" applyFont="1" applyFill="1" applyBorder="1" applyAlignment="1">
      <alignment horizontal="center"/>
    </xf>
    <xf numFmtId="0" fontId="0" fillId="9" borderId="58" xfId="0" applyFill="1" applyBorder="1"/>
    <xf numFmtId="0" fontId="0" fillId="9" borderId="31" xfId="0" applyFill="1" applyBorder="1"/>
    <xf numFmtId="0" fontId="11" fillId="15" borderId="12" xfId="0" applyFont="1" applyFill="1" applyBorder="1"/>
    <xf numFmtId="166" fontId="0" fillId="0" borderId="0" xfId="0" applyNumberFormat="1" applyFill="1" applyBorder="1" applyAlignment="1">
      <alignment horizontal="center"/>
    </xf>
    <xf numFmtId="0" fontId="17" fillId="4" borderId="0" xfId="0" applyFont="1" applyFill="1" applyBorder="1" applyAlignment="1">
      <alignment horizontal="center" vertical="center"/>
    </xf>
    <xf numFmtId="0" fontId="11" fillId="15" borderId="28" xfId="0" applyFont="1" applyFill="1" applyBorder="1"/>
    <xf numFmtId="0" fontId="11" fillId="0" borderId="0" xfId="0" applyFont="1" applyFill="1" applyBorder="1" applyAlignment="1">
      <alignment horizontal="center"/>
    </xf>
    <xf numFmtId="0" fontId="12" fillId="0" borderId="0" xfId="0" applyFont="1" applyFill="1" applyBorder="1" applyAlignment="1">
      <alignment horizontal="center"/>
    </xf>
    <xf numFmtId="0" fontId="0" fillId="0" borderId="2" xfId="0" applyBorder="1"/>
    <xf numFmtId="0" fontId="0" fillId="17" borderId="58" xfId="0" applyFill="1" applyBorder="1"/>
    <xf numFmtId="0" fontId="0" fillId="17" borderId="31" xfId="0" applyFill="1" applyBorder="1"/>
    <xf numFmtId="0" fontId="16" fillId="17" borderId="51" xfId="0" applyFont="1" applyFill="1" applyBorder="1"/>
    <xf numFmtId="0" fontId="15" fillId="13" borderId="30" xfId="0" applyFont="1" applyFill="1" applyBorder="1"/>
    <xf numFmtId="0" fontId="11" fillId="0" borderId="4" xfId="0" applyFont="1" applyFill="1" applyBorder="1" applyAlignment="1">
      <alignment horizontal="center"/>
    </xf>
    <xf numFmtId="0" fontId="0" fillId="0" borderId="10" xfId="0" applyBorder="1"/>
    <xf numFmtId="0" fontId="0" fillId="0" borderId="6" xfId="0" applyBorder="1"/>
    <xf numFmtId="165" fontId="12" fillId="0" borderId="41" xfId="0" applyNumberFormat="1" applyFont="1" applyFill="1" applyBorder="1" applyAlignment="1">
      <alignment horizontal="center"/>
    </xf>
    <xf numFmtId="165" fontId="0" fillId="0" borderId="3" xfId="0" applyNumberFormat="1" applyBorder="1" applyAlignment="1">
      <alignment horizontal="center"/>
    </xf>
    <xf numFmtId="165" fontId="16" fillId="12" borderId="31" xfId="0" applyNumberFormat="1" applyFont="1" applyFill="1" applyBorder="1" applyAlignment="1">
      <alignment horizontal="center"/>
    </xf>
    <xf numFmtId="0" fontId="16" fillId="0" borderId="0" xfId="0" applyFont="1" applyFill="1" applyBorder="1"/>
    <xf numFmtId="0" fontId="10" fillId="0" borderId="48" xfId="0" applyFont="1" applyBorder="1"/>
    <xf numFmtId="0" fontId="0" fillId="0" borderId="15" xfId="0" applyBorder="1"/>
    <xf numFmtId="0" fontId="11" fillId="10" borderId="29" xfId="0" applyFont="1" applyFill="1" applyBorder="1" applyAlignment="1">
      <alignment horizontal="center"/>
    </xf>
    <xf numFmtId="0" fontId="12" fillId="19" borderId="59" xfId="0" applyFont="1" applyFill="1" applyBorder="1" applyAlignment="1">
      <alignment horizontal="center"/>
    </xf>
    <xf numFmtId="166" fontId="0" fillId="0" borderId="35" xfId="0" applyNumberFormat="1" applyBorder="1" applyAlignment="1">
      <alignment horizontal="center"/>
    </xf>
    <xf numFmtId="166" fontId="0" fillId="0" borderId="60" xfId="0" applyNumberFormat="1" applyBorder="1" applyAlignment="1">
      <alignment horizontal="center"/>
    </xf>
    <xf numFmtId="0" fontId="0" fillId="0" borderId="40" xfId="0" applyBorder="1" applyAlignment="1">
      <alignment horizontal="center"/>
    </xf>
    <xf numFmtId="0" fontId="11" fillId="0" borderId="0" xfId="0" applyFont="1" applyFill="1" applyBorder="1"/>
    <xf numFmtId="165" fontId="11" fillId="0" borderId="0" xfId="0" applyNumberFormat="1" applyFont="1" applyFill="1" applyBorder="1" applyAlignment="1">
      <alignment horizontal="center"/>
    </xf>
    <xf numFmtId="1" fontId="0" fillId="0" borderId="2" xfId="0" applyNumberFormat="1" applyBorder="1" applyAlignment="1">
      <alignment horizontal="center"/>
    </xf>
    <xf numFmtId="2" fontId="0" fillId="0" borderId="0" xfId="0" applyNumberFormat="1" applyBorder="1" applyAlignment="1">
      <alignment horizontal="center"/>
    </xf>
    <xf numFmtId="0" fontId="13" fillId="11" borderId="0" xfId="0" applyFont="1" applyFill="1"/>
    <xf numFmtId="0" fontId="16" fillId="11" borderId="0" xfId="0" applyFont="1" applyFill="1"/>
    <xf numFmtId="8" fontId="22" fillId="0" borderId="46" xfId="0" applyNumberFormat="1" applyFont="1" applyBorder="1"/>
    <xf numFmtId="0" fontId="22" fillId="0" borderId="61" xfId="0" applyFont="1" applyBorder="1"/>
    <xf numFmtId="0" fontId="22" fillId="0" borderId="47" xfId="0" applyFont="1" applyBorder="1"/>
    <xf numFmtId="0" fontId="22" fillId="0" borderId="46" xfId="0" applyFont="1" applyBorder="1" applyAlignment="1">
      <alignment horizontal="center"/>
    </xf>
    <xf numFmtId="167" fontId="23" fillId="0" borderId="61" xfId="6" applyFont="1" applyBorder="1" applyAlignment="1">
      <alignment vertical="center"/>
    </xf>
    <xf numFmtId="167" fontId="23" fillId="0" borderId="47" xfId="6" applyFont="1" applyBorder="1" applyAlignment="1">
      <alignment vertical="center"/>
    </xf>
    <xf numFmtId="0" fontId="12" fillId="23" borderId="34" xfId="0" applyFont="1" applyFill="1" applyBorder="1"/>
    <xf numFmtId="0" fontId="0" fillId="23" borderId="34" xfId="0" applyFill="1" applyBorder="1"/>
    <xf numFmtId="165" fontId="12" fillId="23" borderId="34" xfId="0" applyNumberFormat="1" applyFont="1" applyFill="1" applyBorder="1" applyAlignment="1">
      <alignment horizontal="center"/>
    </xf>
    <xf numFmtId="0" fontId="10" fillId="23" borderId="34" xfId="0" applyFont="1" applyFill="1" applyBorder="1"/>
    <xf numFmtId="0" fontId="10" fillId="23" borderId="34" xfId="0" applyFont="1" applyFill="1" applyBorder="1" applyAlignment="1">
      <alignment horizontal="center"/>
    </xf>
    <xf numFmtId="0" fontId="0" fillId="23" borderId="34" xfId="0" applyFont="1" applyFill="1" applyBorder="1" applyAlignment="1">
      <alignment horizontal="center"/>
    </xf>
    <xf numFmtId="165" fontId="0" fillId="23" borderId="34" xfId="0" applyNumberFormat="1" applyFill="1" applyBorder="1"/>
    <xf numFmtId="165" fontId="12" fillId="14" borderId="34" xfId="0" applyNumberFormat="1" applyFont="1" applyFill="1" applyBorder="1" applyAlignment="1">
      <alignment horizontal="center"/>
    </xf>
    <xf numFmtId="165" fontId="12" fillId="23" borderId="34" xfId="0" applyNumberFormat="1" applyFont="1" applyFill="1" applyBorder="1"/>
    <xf numFmtId="0" fontId="24" fillId="23" borderId="28" xfId="0" applyFont="1" applyFill="1" applyBorder="1" applyAlignment="1">
      <alignment horizontal="center" vertical="center"/>
    </xf>
    <xf numFmtId="0" fontId="16" fillId="12" borderId="30" xfId="0" applyFont="1" applyFill="1" applyBorder="1" applyAlignment="1">
      <alignment horizontal="center"/>
    </xf>
    <xf numFmtId="165" fontId="16" fillId="12" borderId="29" xfId="0" applyNumberFormat="1" applyFont="1" applyFill="1" applyBorder="1" applyAlignment="1">
      <alignment horizontal="center"/>
    </xf>
    <xf numFmtId="0" fontId="16" fillId="28" borderId="30" xfId="0" applyFont="1" applyFill="1" applyBorder="1" applyAlignment="1">
      <alignment horizontal="center" vertical="center" wrapText="1"/>
    </xf>
    <xf numFmtId="0" fontId="16" fillId="29" borderId="30" xfId="0" applyFont="1" applyFill="1" applyBorder="1" applyAlignment="1">
      <alignment horizontal="center" vertical="center"/>
    </xf>
    <xf numFmtId="0" fontId="16" fillId="11" borderId="30" xfId="0" applyFont="1" applyFill="1" applyBorder="1" applyAlignment="1">
      <alignment horizontal="center" vertical="center" wrapText="1"/>
    </xf>
    <xf numFmtId="0" fontId="15" fillId="27" borderId="30" xfId="0" applyFont="1" applyFill="1" applyBorder="1" applyAlignment="1">
      <alignment horizontal="center" vertical="center"/>
    </xf>
    <xf numFmtId="0" fontId="16" fillId="24" borderId="30" xfId="0" applyFont="1" applyFill="1" applyBorder="1" applyAlignment="1">
      <alignment horizontal="center" vertical="center" wrapText="1"/>
    </xf>
    <xf numFmtId="165" fontId="0" fillId="0" borderId="0" xfId="0" applyNumberFormat="1" applyBorder="1"/>
    <xf numFmtId="0" fontId="0" fillId="0" borderId="62" xfId="0" applyBorder="1"/>
    <xf numFmtId="0" fontId="16" fillId="5" borderId="63" xfId="0" applyFont="1" applyFill="1" applyBorder="1" applyAlignment="1">
      <alignment horizontal="center" vertical="center"/>
    </xf>
    <xf numFmtId="0" fontId="16" fillId="11" borderId="64" xfId="0" applyFont="1" applyFill="1" applyBorder="1" applyAlignment="1">
      <alignment horizontal="center" vertical="center" wrapText="1"/>
    </xf>
    <xf numFmtId="0" fontId="16" fillId="12" borderId="65" xfId="0" applyFont="1" applyFill="1" applyBorder="1" applyAlignment="1">
      <alignment horizontal="center"/>
    </xf>
    <xf numFmtId="0" fontId="16" fillId="12" borderId="64" xfId="0" applyFont="1" applyFill="1" applyBorder="1" applyAlignment="1">
      <alignment horizontal="center"/>
    </xf>
    <xf numFmtId="165" fontId="16" fillId="12" borderId="66" xfId="0" applyNumberFormat="1" applyFont="1" applyFill="1" applyBorder="1" applyAlignment="1">
      <alignment horizontal="center"/>
    </xf>
    <xf numFmtId="0" fontId="0" fillId="0" borderId="68" xfId="0" applyBorder="1"/>
    <xf numFmtId="0" fontId="0" fillId="0" borderId="69" xfId="0" applyBorder="1"/>
    <xf numFmtId="0" fontId="16" fillId="15" borderId="65" xfId="0" applyFont="1" applyFill="1" applyBorder="1" applyAlignment="1">
      <alignment horizontal="center" vertical="center"/>
    </xf>
    <xf numFmtId="0" fontId="15" fillId="25" borderId="64" xfId="0" applyFont="1" applyFill="1" applyBorder="1" applyAlignment="1">
      <alignment horizontal="center" vertical="center" wrapText="1"/>
    </xf>
    <xf numFmtId="165" fontId="16" fillId="12" borderId="67" xfId="0" applyNumberFormat="1" applyFont="1" applyFill="1" applyBorder="1" applyAlignment="1">
      <alignment horizontal="center"/>
    </xf>
    <xf numFmtId="0" fontId="15" fillId="26" borderId="65" xfId="0" applyFont="1" applyFill="1" applyBorder="1" applyAlignment="1">
      <alignment horizontal="center" vertical="center"/>
    </xf>
    <xf numFmtId="165" fontId="16" fillId="12" borderId="70" xfId="0" applyNumberFormat="1" applyFont="1" applyFill="1" applyBorder="1" applyAlignment="1">
      <alignment horizontal="center"/>
    </xf>
    <xf numFmtId="0" fontId="0" fillId="0" borderId="71" xfId="0" applyBorder="1"/>
    <xf numFmtId="0" fontId="0" fillId="0" borderId="72" xfId="0" applyBorder="1"/>
    <xf numFmtId="0" fontId="24" fillId="0" borderId="0" xfId="0" applyFont="1" applyBorder="1" applyAlignment="1">
      <alignment horizontal="center" vertical="center"/>
    </xf>
    <xf numFmtId="0" fontId="0" fillId="0" borderId="0" xfId="0" applyBorder="1" applyAlignment="1">
      <alignment horizontal="center" vertical="center"/>
    </xf>
    <xf numFmtId="0" fontId="27" fillId="0" borderId="66" xfId="0" applyFont="1" applyFill="1" applyBorder="1" applyAlignment="1">
      <alignment horizontal="center" vertical="center"/>
    </xf>
    <xf numFmtId="0" fontId="24" fillId="0" borderId="28" xfId="0" applyFont="1" applyBorder="1" applyAlignment="1">
      <alignment horizontal="center" vertical="center"/>
    </xf>
    <xf numFmtId="0" fontId="0" fillId="0" borderId="28" xfId="0" applyBorder="1" applyAlignment="1">
      <alignment horizontal="center" vertical="center"/>
    </xf>
    <xf numFmtId="0" fontId="15" fillId="0" borderId="0" xfId="0" applyFont="1" applyBorder="1"/>
    <xf numFmtId="0" fontId="26" fillId="23" borderId="30" xfId="0" applyFont="1" applyFill="1" applyBorder="1" applyAlignment="1">
      <alignment horizontal="center" vertical="center"/>
    </xf>
    <xf numFmtId="0" fontId="25" fillId="25" borderId="30" xfId="0" applyFont="1" applyFill="1" applyBorder="1" applyAlignment="1">
      <alignment horizontal="center" vertical="center"/>
    </xf>
    <xf numFmtId="0" fontId="0" fillId="4" borderId="13" xfId="0" applyFill="1" applyBorder="1"/>
    <xf numFmtId="0" fontId="0" fillId="4" borderId="14" xfId="0" applyFill="1" applyBorder="1"/>
    <xf numFmtId="0" fontId="0" fillId="4" borderId="16" xfId="0" applyFill="1" applyBorder="1"/>
    <xf numFmtId="0" fontId="0" fillId="4" borderId="22" xfId="0" applyFill="1" applyBorder="1"/>
    <xf numFmtId="0" fontId="0" fillId="4" borderId="23" xfId="0" applyFill="1" applyBorder="1"/>
    <xf numFmtId="0" fontId="0" fillId="4" borderId="15" xfId="0" applyFill="1" applyBorder="1"/>
    <xf numFmtId="0" fontId="0" fillId="4" borderId="24" xfId="0" applyFill="1" applyBorder="1"/>
    <xf numFmtId="0" fontId="0" fillId="17" borderId="0" xfId="0" applyFill="1" applyBorder="1"/>
    <xf numFmtId="0" fontId="12" fillId="0" borderId="2" xfId="0" applyFont="1" applyBorder="1"/>
    <xf numFmtId="0" fontId="12" fillId="7" borderId="34" xfId="0" applyFont="1" applyFill="1" applyBorder="1" applyAlignment="1">
      <alignment horizontal="center"/>
    </xf>
    <xf numFmtId="9" fontId="0" fillId="0" borderId="1" xfId="0" applyNumberFormat="1" applyFont="1" applyBorder="1" applyAlignment="1">
      <alignment horizontal="center"/>
    </xf>
    <xf numFmtId="165" fontId="0" fillId="0" borderId="1" xfId="0" applyNumberFormat="1" applyFont="1" applyBorder="1" applyAlignment="1">
      <alignment horizontal="center"/>
    </xf>
    <xf numFmtId="165" fontId="0" fillId="0" borderId="4" xfId="0" applyNumberFormat="1" applyFont="1" applyBorder="1" applyAlignment="1">
      <alignment horizontal="center"/>
    </xf>
    <xf numFmtId="165" fontId="0" fillId="0" borderId="1" xfId="0" applyNumberFormat="1" applyFont="1" applyBorder="1"/>
    <xf numFmtId="0" fontId="0" fillId="0" borderId="1" xfId="0" applyFont="1" applyBorder="1"/>
    <xf numFmtId="165" fontId="0" fillId="14" borderId="5" xfId="0" applyNumberFormat="1" applyFont="1" applyFill="1" applyBorder="1"/>
    <xf numFmtId="0" fontId="0" fillId="14" borderId="5" xfId="0" applyFont="1" applyFill="1" applyBorder="1"/>
    <xf numFmtId="0" fontId="0" fillId="0" borderId="0" xfId="0" applyFont="1"/>
    <xf numFmtId="165" fontId="0" fillId="0" borderId="4" xfId="0" applyNumberFormat="1" applyFont="1" applyFill="1" applyBorder="1" applyAlignment="1">
      <alignment horizontal="center"/>
    </xf>
    <xf numFmtId="0" fontId="0" fillId="0" borderId="0" xfId="0" applyAlignment="1">
      <alignment horizontal="center"/>
    </xf>
    <xf numFmtId="165" fontId="0" fillId="0" borderId="0" xfId="0" applyNumberFormat="1" applyAlignment="1">
      <alignment horizontal="center"/>
    </xf>
    <xf numFmtId="165" fontId="12" fillId="0" borderId="0" xfId="0" applyNumberFormat="1" applyFont="1" applyAlignment="1">
      <alignment horizontal="center"/>
    </xf>
    <xf numFmtId="9" fontId="0" fillId="0" borderId="0" xfId="0" applyNumberFormat="1" applyAlignment="1">
      <alignment horizontal="center"/>
    </xf>
    <xf numFmtId="0" fontId="0" fillId="17" borderId="23" xfId="0" applyFill="1" applyBorder="1"/>
    <xf numFmtId="0" fontId="0" fillId="0" borderId="0" xfId="0" pivotButton="1"/>
    <xf numFmtId="0" fontId="0" fillId="0" borderId="0" xfId="0" applyAlignment="1">
      <alignment horizontal="left"/>
    </xf>
    <xf numFmtId="44" fontId="0" fillId="0" borderId="0" xfId="0" applyNumberFormat="1"/>
    <xf numFmtId="10" fontId="0" fillId="0" borderId="0" xfId="0" applyNumberFormat="1" applyAlignment="1">
      <alignment horizontal="center"/>
    </xf>
    <xf numFmtId="0" fontId="0" fillId="29" borderId="0" xfId="0" applyFill="1"/>
    <xf numFmtId="0" fontId="0" fillId="0" borderId="0" xfId="0" applyFill="1"/>
    <xf numFmtId="0" fontId="0" fillId="30" borderId="0" xfId="0" applyFill="1"/>
    <xf numFmtId="0" fontId="25" fillId="23" borderId="30" xfId="0" applyFont="1" applyFill="1" applyBorder="1" applyAlignment="1">
      <alignment horizontal="center" vertical="center"/>
    </xf>
    <xf numFmtId="0" fontId="25" fillId="23" borderId="29" xfId="0" applyFont="1" applyFill="1" applyBorder="1" applyAlignment="1">
      <alignment horizontal="center" vertical="center"/>
    </xf>
    <xf numFmtId="0" fontId="12" fillId="0" borderId="34" xfId="0" applyFont="1" applyBorder="1" applyAlignment="1">
      <alignment horizontal="center"/>
    </xf>
    <xf numFmtId="0" fontId="17" fillId="16" borderId="30" xfId="0" applyFont="1" applyFill="1" applyBorder="1" applyAlignment="1">
      <alignment horizontal="center" vertical="center"/>
    </xf>
    <xf numFmtId="0" fontId="17" fillId="16" borderId="32" xfId="0" applyFont="1" applyFill="1" applyBorder="1" applyAlignment="1">
      <alignment horizontal="center" vertical="center"/>
    </xf>
    <xf numFmtId="0" fontId="17" fillId="16" borderId="29" xfId="0" applyFont="1" applyFill="1" applyBorder="1" applyAlignment="1">
      <alignment horizontal="center" vertical="center"/>
    </xf>
    <xf numFmtId="0" fontId="17" fillId="16" borderId="12" xfId="0" applyFont="1" applyFill="1" applyBorder="1" applyAlignment="1">
      <alignment horizontal="center" vertical="center"/>
    </xf>
    <xf numFmtId="0" fontId="17" fillId="16" borderId="15" xfId="0" applyFont="1" applyFill="1" applyBorder="1" applyAlignment="1">
      <alignment horizontal="center" vertical="center"/>
    </xf>
    <xf numFmtId="0" fontId="17" fillId="16" borderId="22" xfId="0" applyFont="1" applyFill="1" applyBorder="1" applyAlignment="1">
      <alignment horizontal="center" vertical="center"/>
    </xf>
    <xf numFmtId="0" fontId="18" fillId="16" borderId="46" xfId="0" applyFont="1" applyFill="1" applyBorder="1" applyAlignment="1">
      <alignment horizontal="center" vertical="center"/>
    </xf>
    <xf numFmtId="0" fontId="18" fillId="16" borderId="47" xfId="0" applyFont="1" applyFill="1" applyBorder="1" applyAlignment="1">
      <alignment horizontal="center" vertical="center"/>
    </xf>
    <xf numFmtId="0" fontId="17" fillId="16" borderId="19" xfId="0" applyFont="1" applyFill="1" applyBorder="1" applyAlignment="1">
      <alignment horizontal="center" vertical="center"/>
    </xf>
    <xf numFmtId="0" fontId="17" fillId="16" borderId="26" xfId="0" applyFont="1" applyFill="1" applyBorder="1" applyAlignment="1">
      <alignment horizontal="center" vertical="center"/>
    </xf>
    <xf numFmtId="0" fontId="0" fillId="0" borderId="0" xfId="0" applyAlignment="1">
      <alignment vertical="center" wrapText="1"/>
    </xf>
    <xf numFmtId="0" fontId="12" fillId="0" borderId="12" xfId="0" applyFont="1" applyBorder="1"/>
    <xf numFmtId="0" fontId="12" fillId="0" borderId="13" xfId="0" applyFont="1" applyBorder="1"/>
    <xf numFmtId="0" fontId="0" fillId="0" borderId="22" xfId="0" applyBorder="1"/>
    <xf numFmtId="0" fontId="0" fillId="0" borderId="1" xfId="0" applyBorder="1" applyAlignment="1">
      <alignment horizontal="center"/>
    </xf>
    <xf numFmtId="8" fontId="0" fillId="0" borderId="1" xfId="0" applyNumberFormat="1" applyBorder="1" applyAlignment="1">
      <alignment horizontal="center"/>
    </xf>
    <xf numFmtId="3" fontId="0" fillId="0" borderId="1" xfId="0" applyNumberFormat="1" applyBorder="1" applyAlignment="1">
      <alignment horizontal="center"/>
    </xf>
    <xf numFmtId="0" fontId="12" fillId="0" borderId="49" xfId="0" applyFont="1" applyBorder="1" applyAlignment="1">
      <alignment horizontal="center"/>
    </xf>
    <xf numFmtId="0" fontId="12" fillId="0" borderId="52" xfId="0" applyFont="1" applyBorder="1" applyAlignment="1">
      <alignment horizontal="center"/>
    </xf>
    <xf numFmtId="0" fontId="0" fillId="0" borderId="84" xfId="0" applyBorder="1" applyAlignment="1">
      <alignment horizontal="center"/>
    </xf>
    <xf numFmtId="8" fontId="0" fillId="0" borderId="84" xfId="0" applyNumberFormat="1" applyBorder="1" applyAlignment="1">
      <alignment horizontal="center"/>
    </xf>
    <xf numFmtId="8" fontId="0" fillId="0" borderId="85" xfId="0" applyNumberFormat="1" applyBorder="1" applyAlignment="1">
      <alignment horizontal="center"/>
    </xf>
    <xf numFmtId="15" fontId="0" fillId="0" borderId="0" xfId="0" applyNumberFormat="1" applyAlignment="1">
      <alignment vertical="center" wrapText="1"/>
    </xf>
    <xf numFmtId="176" fontId="0" fillId="0" borderId="34" xfId="0" applyNumberFormat="1" applyBorder="1" applyAlignment="1">
      <alignment horizontal="center" vertical="center" wrapText="1"/>
    </xf>
    <xf numFmtId="0" fontId="0" fillId="0" borderId="34" xfId="0" applyBorder="1"/>
    <xf numFmtId="0" fontId="0" fillId="0" borderId="34" xfId="0" applyBorder="1" applyAlignment="1">
      <alignment horizontal="center"/>
    </xf>
    <xf numFmtId="0" fontId="0" fillId="0" borderId="34" xfId="0" applyBorder="1" applyAlignment="1">
      <alignment horizontal="left"/>
    </xf>
    <xf numFmtId="0" fontId="11" fillId="17" borderId="0" xfId="0" applyFont="1" applyFill="1"/>
    <xf numFmtId="0" fontId="11" fillId="17" borderId="0" xfId="0" applyFont="1" applyFill="1"/>
    <xf numFmtId="0" fontId="11" fillId="17" borderId="83" xfId="0" applyFont="1" applyFill="1" applyBorder="1" applyAlignment="1">
      <alignment horizontal="center"/>
    </xf>
    <xf numFmtId="0" fontId="11" fillId="17" borderId="86" xfId="0" applyFont="1" applyFill="1" applyBorder="1"/>
    <xf numFmtId="0" fontId="11" fillId="17" borderId="86" xfId="0" applyFont="1" applyFill="1" applyBorder="1"/>
    <xf numFmtId="0" fontId="11" fillId="17" borderId="86" xfId="0" applyFont="1" applyFill="1" applyBorder="1" applyAlignment="1">
      <alignment horizontal="center" vertical="center" wrapText="1"/>
    </xf>
    <xf numFmtId="0" fontId="11" fillId="17" borderId="86" xfId="0" applyFont="1" applyFill="1" applyBorder="1" applyAlignment="1">
      <alignment horizontal="center"/>
    </xf>
    <xf numFmtId="0" fontId="11" fillId="17" borderId="86" xfId="0" applyFont="1" applyFill="1" applyBorder="1" applyAlignment="1">
      <alignment vertical="center"/>
    </xf>
    <xf numFmtId="0" fontId="0" fillId="11" borderId="0" xfId="0" applyFill="1"/>
    <xf numFmtId="0" fontId="0" fillId="32" borderId="0" xfId="0" applyFill="1"/>
    <xf numFmtId="0" fontId="13" fillId="17" borderId="0" xfId="0" applyFont="1" applyFill="1"/>
    <xf numFmtId="177" fontId="11" fillId="17" borderId="0" xfId="0" applyNumberFormat="1" applyFont="1" applyFill="1" applyAlignment="1">
      <alignment horizontal="center"/>
    </xf>
    <xf numFmtId="0" fontId="39" fillId="17" borderId="0" xfId="0" applyFont="1" applyFill="1" applyAlignment="1">
      <alignment horizontal="center"/>
    </xf>
    <xf numFmtId="0" fontId="12" fillId="33" borderId="0" xfId="0" applyFont="1" applyFill="1"/>
    <xf numFmtId="0" fontId="12" fillId="11" borderId="0" xfId="0" applyFont="1" applyFill="1"/>
    <xf numFmtId="0" fontId="0" fillId="31" borderId="0" xfId="0" applyFill="1"/>
    <xf numFmtId="177" fontId="11" fillId="17" borderId="86" xfId="0" applyNumberFormat="1" applyFont="1" applyFill="1" applyBorder="1" applyAlignment="1">
      <alignment horizontal="center"/>
    </xf>
    <xf numFmtId="174" fontId="35" fillId="17" borderId="81" xfId="0" applyNumberFormat="1" applyFont="1" applyFill="1" applyBorder="1" applyAlignment="1">
      <alignment horizontal="center" vertical="center"/>
    </xf>
    <xf numFmtId="0" fontId="12" fillId="33" borderId="0" xfId="0" applyFont="1" applyFill="1" applyAlignment="1">
      <alignment horizontal="center"/>
    </xf>
    <xf numFmtId="0" fontId="33" fillId="33" borderId="0" xfId="0" applyFont="1" applyFill="1" applyAlignment="1">
      <alignment horizontal="center" vertical="center" wrapText="1"/>
    </xf>
    <xf numFmtId="0" fontId="12" fillId="33" borderId="0" xfId="0" applyFont="1" applyFill="1" applyAlignment="1">
      <alignment vertical="center"/>
    </xf>
    <xf numFmtId="174" fontId="34" fillId="33" borderId="0" xfId="0" applyNumberFormat="1" applyFont="1" applyFill="1" applyAlignment="1">
      <alignment horizontal="center" vertical="center"/>
    </xf>
    <xf numFmtId="178" fontId="0" fillId="11" borderId="0" xfId="0" applyNumberFormat="1" applyFill="1"/>
    <xf numFmtId="178" fontId="28" fillId="17" borderId="86" xfId="0" applyNumberFormat="1" applyFont="1" applyFill="1" applyBorder="1" applyAlignment="1">
      <alignment horizontal="center" textRotation="90"/>
    </xf>
    <xf numFmtId="178" fontId="28" fillId="17" borderId="81" xfId="0" applyNumberFormat="1" applyFont="1" applyFill="1" applyBorder="1" applyAlignment="1">
      <alignment horizontal="center" textRotation="90"/>
    </xf>
    <xf numFmtId="0" fontId="12" fillId="4" borderId="87" xfId="0" applyFont="1" applyFill="1" applyBorder="1"/>
    <xf numFmtId="9" fontId="12" fillId="0" borderId="88" xfId="0" applyNumberFormat="1" applyFont="1" applyBorder="1" applyAlignment="1">
      <alignment horizontal="center"/>
    </xf>
    <xf numFmtId="0" fontId="12" fillId="4" borderId="89" xfId="0" applyFont="1" applyFill="1" applyBorder="1"/>
    <xf numFmtId="0" fontId="12" fillId="4" borderId="90" xfId="0" applyFont="1" applyFill="1" applyBorder="1"/>
    <xf numFmtId="9" fontId="12" fillId="0" borderId="91" xfId="0" applyNumberFormat="1" applyFont="1" applyBorder="1" applyAlignment="1">
      <alignment horizontal="center"/>
    </xf>
    <xf numFmtId="0" fontId="12" fillId="4" borderId="92" xfId="0" applyFont="1" applyFill="1" applyBorder="1"/>
    <xf numFmtId="9" fontId="12" fillId="0" borderId="93" xfId="0" applyNumberFormat="1" applyFont="1" applyBorder="1" applyAlignment="1">
      <alignment horizontal="center"/>
    </xf>
    <xf numFmtId="0" fontId="12" fillId="4" borderId="94" xfId="0" applyFont="1" applyFill="1" applyBorder="1"/>
    <xf numFmtId="0" fontId="12" fillId="4" borderId="95" xfId="0" applyFont="1" applyFill="1" applyBorder="1"/>
    <xf numFmtId="0" fontId="12" fillId="0" borderId="96" xfId="0" applyFont="1" applyBorder="1"/>
    <xf numFmtId="0" fontId="0" fillId="0" borderId="96" xfId="0" applyBorder="1"/>
    <xf numFmtId="0" fontId="12" fillId="0" borderId="42" xfId="0" applyFont="1" applyBorder="1" applyAlignment="1">
      <alignment horizontal="center"/>
    </xf>
    <xf numFmtId="0" fontId="12" fillId="0" borderId="36" xfId="0" applyFont="1" applyBorder="1"/>
    <xf numFmtId="0" fontId="12" fillId="0" borderId="36" xfId="0" applyFont="1" applyBorder="1"/>
    <xf numFmtId="176" fontId="0" fillId="0" borderId="36" xfId="0" applyNumberFormat="1" applyBorder="1" applyAlignment="1">
      <alignment horizontal="center" vertical="center" wrapText="1"/>
    </xf>
    <xf numFmtId="1" fontId="12" fillId="0" borderId="37" xfId="0" applyNumberFormat="1" applyFont="1" applyBorder="1" applyAlignment="1">
      <alignment horizontal="center"/>
    </xf>
    <xf numFmtId="1" fontId="12" fillId="0" borderId="38" xfId="0" applyNumberFormat="1" applyFont="1" applyBorder="1" applyAlignment="1">
      <alignment horizontal="center"/>
    </xf>
    <xf numFmtId="0" fontId="12" fillId="0" borderId="39" xfId="0" applyFont="1" applyBorder="1"/>
    <xf numFmtId="176" fontId="0" fillId="0" borderId="39" xfId="0" applyNumberFormat="1" applyBorder="1" applyAlignment="1">
      <alignment horizontal="center" vertical="center" wrapText="1"/>
    </xf>
    <xf numFmtId="1" fontId="12" fillId="0" borderId="40" xfId="0" applyNumberFormat="1" applyFont="1" applyBorder="1" applyAlignment="1">
      <alignment horizontal="center"/>
    </xf>
    <xf numFmtId="176" fontId="11" fillId="17" borderId="0" xfId="0" applyNumberFormat="1" applyFont="1" applyFill="1" applyAlignment="1">
      <alignment horizontal="center"/>
    </xf>
    <xf numFmtId="0" fontId="38" fillId="31" borderId="0" xfId="0" applyFont="1" applyFill="1" applyAlignment="1">
      <alignment horizontal="center"/>
    </xf>
    <xf numFmtId="14" fontId="24" fillId="0" borderId="28" xfId="0" applyNumberFormat="1" applyFont="1" applyBorder="1" applyAlignment="1">
      <alignment horizontal="center"/>
    </xf>
    <xf numFmtId="0" fontId="0" fillId="32" borderId="73" xfId="0" applyFill="1" applyBorder="1"/>
    <xf numFmtId="0" fontId="0" fillId="32" borderId="74" xfId="0" applyFill="1" applyBorder="1"/>
    <xf numFmtId="0" fontId="0" fillId="32" borderId="75" xfId="0" applyFill="1" applyBorder="1"/>
    <xf numFmtId="0" fontId="13" fillId="32" borderId="0" xfId="0" applyFont="1" applyFill="1" applyBorder="1"/>
    <xf numFmtId="0" fontId="0" fillId="32" borderId="76" xfId="0" applyFill="1" applyBorder="1"/>
    <xf numFmtId="0" fontId="28" fillId="32" borderId="0" xfId="0" applyFont="1" applyFill="1" applyBorder="1"/>
    <xf numFmtId="0" fontId="29" fillId="32" borderId="0" xfId="0" applyFont="1" applyFill="1" applyAlignment="1">
      <alignment horizontal="center" vertical="center"/>
    </xf>
    <xf numFmtId="0" fontId="30" fillId="32" borderId="0" xfId="0" applyFont="1" applyFill="1" applyBorder="1"/>
    <xf numFmtId="0" fontId="31" fillId="32" borderId="0" xfId="0" applyFont="1" applyFill="1" applyBorder="1"/>
    <xf numFmtId="0" fontId="32" fillId="32" borderId="0" xfId="0" applyFont="1" applyFill="1" applyBorder="1"/>
    <xf numFmtId="0" fontId="32" fillId="32" borderId="77" xfId="0" applyFont="1" applyFill="1" applyBorder="1"/>
    <xf numFmtId="0" fontId="0" fillId="32" borderId="0" xfId="0" applyFill="1" applyBorder="1"/>
    <xf numFmtId="0" fontId="0" fillId="32" borderId="77" xfId="0" applyFill="1" applyBorder="1"/>
    <xf numFmtId="0" fontId="16" fillId="32" borderId="81" xfId="0" applyFont="1" applyFill="1" applyBorder="1"/>
    <xf numFmtId="0" fontId="16" fillId="32" borderId="82" xfId="0" applyFont="1" applyFill="1" applyBorder="1"/>
    <xf numFmtId="0" fontId="0" fillId="32" borderId="82" xfId="0" applyFill="1" applyBorder="1"/>
    <xf numFmtId="0" fontId="0" fillId="32" borderId="83" xfId="0" applyFill="1" applyBorder="1"/>
    <xf numFmtId="0" fontId="0" fillId="32" borderId="78" xfId="0" applyFill="1" applyBorder="1"/>
    <xf numFmtId="0" fontId="0" fillId="32" borderId="79" xfId="0" applyFill="1" applyBorder="1"/>
    <xf numFmtId="0" fontId="0" fillId="32" borderId="80" xfId="0" applyFill="1" applyBorder="1"/>
    <xf numFmtId="14" fontId="28" fillId="32" borderId="0" xfId="0" applyNumberFormat="1" applyFont="1" applyFill="1" applyBorder="1"/>
    <xf numFmtId="0" fontId="28" fillId="32" borderId="0" xfId="0" applyFont="1" applyFill="1" applyBorder="1"/>
    <xf numFmtId="0" fontId="28" fillId="32" borderId="77" xfId="0" applyFont="1" applyFill="1" applyBorder="1"/>
  </cellXfs>
  <cellStyles count="7">
    <cellStyle name="Comma" xfId="1" builtinId="3"/>
    <cellStyle name="Comma 2" xfId="4"/>
    <cellStyle name="Comma 3" xfId="3"/>
    <cellStyle name="Comma_ESTIMATION CONSTANTS" xfId="6"/>
    <cellStyle name="Normal" xfId="0" builtinId="0"/>
    <cellStyle name="Normal 2" xfId="5"/>
    <cellStyle name="Normal 3" xfId="2"/>
  </cellStyles>
  <dxfs count="15">
    <dxf>
      <fill>
        <patternFill>
          <bgColor rgb="FFFF0000"/>
        </patternFill>
      </fill>
    </dxf>
    <dxf>
      <fill>
        <patternFill>
          <bgColor theme="4" tint="0.39994506668294322"/>
        </patternFill>
      </fill>
    </dxf>
    <dxf>
      <fill>
        <patternFill>
          <bgColor rgb="FF002060"/>
        </patternFill>
      </fill>
    </dxf>
    <dxf>
      <fill>
        <patternFill>
          <bgColor rgb="FFFF0000"/>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readingOrder="0"/>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B3A031"/>
      <color rgb="FFC36DAC"/>
      <color rgb="FFCC3300"/>
      <color rgb="FF84932D"/>
      <color rgb="FF79437D"/>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[RATE ANALYSIS - LATEST.xlsx]PIVOT TABLES!PivotTable2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Construction</a:t>
            </a:r>
            <a:r>
              <a:rPr lang="en-US" b="1" baseline="0"/>
              <a:t> Cost / Element</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TABLES'!$A$4:$A$13</c:f>
              <c:strCache>
                <c:ptCount val="9"/>
                <c:pt idx="0">
                  <c:v>CAPENTRY</c:v>
                </c:pt>
                <c:pt idx="1">
                  <c:v>BRICKWORK</c:v>
                </c:pt>
                <c:pt idx="2">
                  <c:v>FOUNDATION</c:v>
                </c:pt>
                <c:pt idx="3">
                  <c:v>PLASTERING &amp; PAINTING</c:v>
                </c:pt>
                <c:pt idx="4">
                  <c:v>JOINERY &amp; IRONMONGERRY</c:v>
                </c:pt>
                <c:pt idx="5">
                  <c:v>ROOF COVERING</c:v>
                </c:pt>
                <c:pt idx="6">
                  <c:v>CONCRETE AND REINFORCEMENT</c:v>
                </c:pt>
                <c:pt idx="7">
                  <c:v>FLOORING</c:v>
                </c:pt>
                <c:pt idx="8">
                  <c:v>GLAZING</c:v>
                </c:pt>
              </c:strCache>
            </c:strRef>
          </c:cat>
          <c:val>
            <c:numRef>
              <c:f>'PIVOT TABLES'!$B$4:$B$13</c:f>
              <c:numCache>
                <c:formatCode>_("$"* #,##0.00_);_("$"* \(#,##0.00\);_("$"* "-"??_);_(@_)</c:formatCode>
                <c:ptCount val="9"/>
                <c:pt idx="0">
                  <c:v>13305.412675246735</c:v>
                </c:pt>
                <c:pt idx="1">
                  <c:v>10192.16907634105</c:v>
                </c:pt>
                <c:pt idx="2">
                  <c:v>8936.6114285714284</c:v>
                </c:pt>
                <c:pt idx="3">
                  <c:v>7646.4680909090912</c:v>
                </c:pt>
                <c:pt idx="4">
                  <c:v>6197</c:v>
                </c:pt>
                <c:pt idx="5">
                  <c:v>5790.3952608695654</c:v>
                </c:pt>
                <c:pt idx="6">
                  <c:v>5388.1130215584417</c:v>
                </c:pt>
                <c:pt idx="7">
                  <c:v>2059.0702000000001</c:v>
                </c:pt>
                <c:pt idx="8">
                  <c:v>1551.0449999999998</c:v>
                </c:pt>
              </c:numCache>
            </c:numRef>
          </c:val>
        </c:ser>
        <c:dLbls>
          <c:showLegendKey val="0"/>
          <c:showVal val="0"/>
          <c:showCatName val="0"/>
          <c:showSerName val="0"/>
          <c:showPercent val="0"/>
          <c:showBubbleSize val="0"/>
        </c:dLbls>
        <c:gapWidth val="50"/>
        <c:overlap val="-27"/>
        <c:axId val="267535136"/>
        <c:axId val="267535520"/>
      </c:barChart>
      <c:catAx>
        <c:axId val="26753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35520"/>
        <c:crosses val="autoZero"/>
        <c:auto val="1"/>
        <c:lblAlgn val="ctr"/>
        <c:lblOffset val="100"/>
        <c:noMultiLvlLbl val="0"/>
      </c:catAx>
      <c:valAx>
        <c:axId val="267535520"/>
        <c:scaling>
          <c:orientation val="minMax"/>
        </c:scaling>
        <c:delete val="0"/>
        <c:axPos val="l"/>
        <c:majorGridlines>
          <c:spPr>
            <a:ln w="9525" cap="flat" cmpd="sng" algn="ctr">
              <a:no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351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[RATE ANALYSIS - LATEST.xlsx]PIVOT TABLES!PivotTable4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Material Cost / Element</a:t>
            </a:r>
          </a:p>
        </c:rich>
      </c:tx>
      <c:layout>
        <c:manualLayout>
          <c:xMode val="edge"/>
          <c:yMode val="edge"/>
          <c:x val="0.5446610665525083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0076287021521586"/>
              <c:y val="9.36938611840186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3">
              <a:lumMod val="60000"/>
            </a:schemeClr>
          </a:solidFill>
          <a:ln w="25400">
            <a:solidFill>
              <a:schemeClr val="lt1"/>
            </a:solidFill>
          </a:ln>
          <a:effectLst/>
          <a:sp3d contourW="25400">
            <a:contourClr>
              <a:schemeClr val="lt1"/>
            </a:contourClr>
          </a:sp3d>
        </c:spPr>
        <c:dLbl>
          <c:idx val="0"/>
          <c:layout>
            <c:manualLayout>
              <c:x val="6.851582983514487E-2"/>
              <c:y val="-3.99256342957130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3"/>
          </a:solidFill>
          <a:ln w="25400">
            <a:solidFill>
              <a:schemeClr val="lt1"/>
            </a:solidFill>
          </a:ln>
          <a:effectLst/>
          <a:sp3d contourW="25400">
            <a:contourClr>
              <a:schemeClr val="lt1"/>
            </a:contourClr>
          </a:sp3d>
        </c:spPr>
        <c:dLbl>
          <c:idx val="0"/>
          <c:layout>
            <c:manualLayout>
              <c:x val="0.12303327352138513"/>
              <c:y val="2.022090988626421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0076287021521586"/>
              <c:y val="9.36938611840186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dLbl>
          <c:idx val="0"/>
          <c:layout>
            <c:manualLayout>
              <c:x val="0.12303327352138513"/>
              <c:y val="2.022090988626421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dLbl>
          <c:idx val="0"/>
          <c:layout>
            <c:manualLayout>
              <c:x val="6.851582983514487E-2"/>
              <c:y val="-3.99256342957130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0.10076287021521586"/>
              <c:y val="9.36938611840186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dLbl>
          <c:idx val="0"/>
          <c:layout>
            <c:manualLayout>
              <c:x val="0.12303327352138513"/>
              <c:y val="2.022090988626421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dLbl>
          <c:idx val="0"/>
          <c:layout>
            <c:manualLayout>
              <c:x val="6.851582983514487E-2"/>
              <c:y val="-3.99256342957130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TABLES'!$E$4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Lbls>
            <c:dLbl>
              <c:idx val="0"/>
              <c:layout>
                <c:manualLayout>
                  <c:x val="-0.10076287021521586"/>
                  <c:y val="9.3693861184018665E-2"/>
                </c:manualLayout>
              </c:layout>
              <c:showLegendKey val="0"/>
              <c:showVal val="1"/>
              <c:showCatName val="1"/>
              <c:showSerName val="0"/>
              <c:showPercent val="1"/>
              <c:showBubbleSize val="0"/>
              <c:extLst>
                <c:ext xmlns:c15="http://schemas.microsoft.com/office/drawing/2012/chart" uri="{CE6537A1-D6FC-4f65-9D91-7224C49458BB}">
                  <c15:layout/>
                </c:ext>
              </c:extLst>
            </c:dLbl>
            <c:dLbl>
              <c:idx val="2"/>
              <c:layout>
                <c:manualLayout>
                  <c:x val="0.12303327352138513"/>
                  <c:y val="2.0220909886264219E-3"/>
                </c:manualLayout>
              </c:layout>
              <c:showLegendKey val="0"/>
              <c:showVal val="1"/>
              <c:showCatName val="1"/>
              <c:showSerName val="0"/>
              <c:showPercent val="1"/>
              <c:showBubbleSize val="0"/>
              <c:extLst>
                <c:ext xmlns:c15="http://schemas.microsoft.com/office/drawing/2012/chart" uri="{CE6537A1-D6FC-4f65-9D91-7224C49458BB}">
                  <c15:layout/>
                </c:ext>
              </c:extLst>
            </c:dLbl>
            <c:dLbl>
              <c:idx val="8"/>
              <c:layout>
                <c:manualLayout>
                  <c:x val="6.851582983514487E-2"/>
                  <c:y val="-3.9925634295713039E-2"/>
                </c:manualLayout>
              </c:layout>
              <c:showLegendKey val="0"/>
              <c:showVal val="1"/>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TABLES'!$D$5:$D$14</c:f>
              <c:strCache>
                <c:ptCount val="9"/>
                <c:pt idx="0">
                  <c:v>BRICKWORK</c:v>
                </c:pt>
                <c:pt idx="1">
                  <c:v>CONCRETE AND REINFORCEMENT</c:v>
                </c:pt>
                <c:pt idx="2">
                  <c:v>ROOF COVERING</c:v>
                </c:pt>
                <c:pt idx="3">
                  <c:v>JOINERY &amp; IRONMONGERRY</c:v>
                </c:pt>
                <c:pt idx="4">
                  <c:v>CAPENTRY</c:v>
                </c:pt>
                <c:pt idx="5">
                  <c:v>PLASTERING &amp; PAINTING</c:v>
                </c:pt>
                <c:pt idx="6">
                  <c:v>GLAZING</c:v>
                </c:pt>
                <c:pt idx="7">
                  <c:v>FLOORING</c:v>
                </c:pt>
                <c:pt idx="8">
                  <c:v>FOUNDATION</c:v>
                </c:pt>
              </c:strCache>
            </c:strRef>
          </c:cat>
          <c:val>
            <c:numRef>
              <c:f>'PIVOT TABLES'!$E$5:$E$14</c:f>
              <c:numCache>
                <c:formatCode>_("$"* #,##0.00_);_("$"* \(#,##0.00\);_("$"* "-"??_);_(@_)</c:formatCode>
                <c:ptCount val="9"/>
                <c:pt idx="0">
                  <c:v>8540.5856062111798</c:v>
                </c:pt>
                <c:pt idx="1">
                  <c:v>4636.42238</c:v>
                </c:pt>
                <c:pt idx="2">
                  <c:v>4003.9952608695653</c:v>
                </c:pt>
                <c:pt idx="3">
                  <c:v>3020.25</c:v>
                </c:pt>
                <c:pt idx="4">
                  <c:v>2574.4412466753051</c:v>
                </c:pt>
                <c:pt idx="5">
                  <c:v>2500.1230909090909</c:v>
                </c:pt>
                <c:pt idx="6">
                  <c:v>1296.4199999999998</c:v>
                </c:pt>
                <c:pt idx="7">
                  <c:v>970.9702000000002</c:v>
                </c:pt>
                <c:pt idx="8">
                  <c:v>315</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[RATE ANALYSIS - LATEST.xlsx]PIVOT TABLES!PivotTable5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of Equipment</a:t>
            </a:r>
            <a:r>
              <a:rPr lang="en-US" b="1" baseline="0"/>
              <a:t> Cost/ Element</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36DAC"/>
          </a:solidFill>
          <a:ln>
            <a:noFill/>
          </a:ln>
          <a:effectLst/>
        </c:spPr>
        <c:marker>
          <c:symbol val="none"/>
        </c:marker>
      </c:pivotFmt>
      <c:pivotFmt>
        <c:idx val="1"/>
        <c:spPr>
          <a:solidFill>
            <a:srgbClr val="C36DAC"/>
          </a:solidFill>
          <a:ln>
            <a:noFill/>
          </a:ln>
          <a:effectLst/>
        </c:spPr>
        <c:marker>
          <c:symbol val="none"/>
        </c:marker>
      </c:pivotFmt>
      <c:pivotFmt>
        <c:idx val="2"/>
        <c:spPr>
          <a:solidFill>
            <a:srgbClr val="C36DA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853464566929134"/>
          <c:y val="0.13383850150931045"/>
          <c:w val="0.57185717410323711"/>
          <c:h val="0.68141360334230439"/>
        </c:manualLayout>
      </c:layout>
      <c:barChart>
        <c:barDir val="bar"/>
        <c:grouping val="clustered"/>
        <c:varyColors val="0"/>
        <c:ser>
          <c:idx val="0"/>
          <c:order val="0"/>
          <c:tx>
            <c:strRef>
              <c:f>'PIVOT TABLES'!$H$4</c:f>
              <c:strCache>
                <c:ptCount val="1"/>
                <c:pt idx="0">
                  <c:v>Total</c:v>
                </c:pt>
              </c:strCache>
            </c:strRef>
          </c:tx>
          <c:spPr>
            <a:solidFill>
              <a:srgbClr val="C36DA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TABLES'!$G$5:$G$14</c:f>
              <c:strCache>
                <c:ptCount val="9"/>
                <c:pt idx="0">
                  <c:v>CAPENTRY</c:v>
                </c:pt>
                <c:pt idx="1">
                  <c:v>FOUNDATION</c:v>
                </c:pt>
                <c:pt idx="2">
                  <c:v>PLASTERING &amp; PAINTING</c:v>
                </c:pt>
                <c:pt idx="3">
                  <c:v>ROOF COVERING</c:v>
                </c:pt>
                <c:pt idx="4">
                  <c:v>BRICKWORK</c:v>
                </c:pt>
                <c:pt idx="5">
                  <c:v>JOINERY &amp; IRONMONGERRY</c:v>
                </c:pt>
                <c:pt idx="6">
                  <c:v>FLOORING</c:v>
                </c:pt>
                <c:pt idx="7">
                  <c:v>CONCRETE AND REINFORCEMENT</c:v>
                </c:pt>
                <c:pt idx="8">
                  <c:v>GLAZING</c:v>
                </c:pt>
              </c:strCache>
            </c:strRef>
          </c:cat>
          <c:val>
            <c:numRef>
              <c:f>'PIVOT TABLES'!$H$5:$H$14</c:f>
              <c:numCache>
                <c:formatCode>_("$"* #,##0.00_);_("$"* \(#,##0.00\);_("$"* "-"??_);_(@_)</c:formatCode>
                <c:ptCount val="9"/>
                <c:pt idx="0">
                  <c:v>7040</c:v>
                </c:pt>
                <c:pt idx="1">
                  <c:v>5818</c:v>
                </c:pt>
                <c:pt idx="2">
                  <c:v>2472</c:v>
                </c:pt>
                <c:pt idx="3">
                  <c:v>1138</c:v>
                </c:pt>
                <c:pt idx="4">
                  <c:v>988</c:v>
                </c:pt>
                <c:pt idx="5">
                  <c:v>786</c:v>
                </c:pt>
                <c:pt idx="6">
                  <c:v>465</c:v>
                </c:pt>
                <c:pt idx="7">
                  <c:v>352.15</c:v>
                </c:pt>
                <c:pt idx="8">
                  <c:v>63</c:v>
                </c:pt>
              </c:numCache>
            </c:numRef>
          </c:val>
        </c:ser>
        <c:dLbls>
          <c:showLegendKey val="0"/>
          <c:showVal val="0"/>
          <c:showCatName val="0"/>
          <c:showSerName val="0"/>
          <c:showPercent val="0"/>
          <c:showBubbleSize val="0"/>
        </c:dLbls>
        <c:gapWidth val="60"/>
        <c:axId val="268503088"/>
        <c:axId val="268330896"/>
      </c:barChart>
      <c:catAx>
        <c:axId val="26850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30896"/>
        <c:crosses val="autoZero"/>
        <c:auto val="1"/>
        <c:lblAlgn val="ctr"/>
        <c:lblOffset val="100"/>
        <c:noMultiLvlLbl val="0"/>
      </c:catAx>
      <c:valAx>
        <c:axId val="26833089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685030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[RATE ANALYSIS - LATEST.xlsx]PIVOT TABLES!PivotTable6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Labour Cost/ Element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2">
              <a:lumMod val="75000"/>
            </a:schemeClr>
          </a:solidFill>
          <a:ln>
            <a:noFill/>
          </a:ln>
          <a:effectLst/>
        </c:spPr>
        <c:marker>
          <c:symbol val="none"/>
        </c:marker>
      </c:pivotFmt>
      <c:pivotFmt>
        <c:idx val="2"/>
        <c:spPr>
          <a:solidFill>
            <a:schemeClr val="accent2">
              <a:lumMod val="75000"/>
            </a:schemeClr>
          </a:solidFill>
          <a:ln>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TABLES'!$K$4</c:f>
              <c:strCache>
                <c:ptCount val="1"/>
                <c:pt idx="0">
                  <c:v>Total</c:v>
                </c:pt>
              </c:strCache>
            </c:strRef>
          </c:tx>
          <c:spPr>
            <a:solidFill>
              <a:schemeClr val="accent2">
                <a:lumMod val="75000"/>
              </a:schemeClr>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TABLES'!$J$5:$J$14</c:f>
              <c:strCache>
                <c:ptCount val="9"/>
                <c:pt idx="0">
                  <c:v>CAPENTRY</c:v>
                </c:pt>
                <c:pt idx="1">
                  <c:v>FOUNDATION</c:v>
                </c:pt>
                <c:pt idx="2">
                  <c:v>PLASTERING &amp; PAINTING</c:v>
                </c:pt>
                <c:pt idx="3">
                  <c:v>JOINERY &amp; IRONMONGERRY</c:v>
                </c:pt>
                <c:pt idx="4">
                  <c:v>BRICKWORK</c:v>
                </c:pt>
                <c:pt idx="5">
                  <c:v>ROOF COVERING</c:v>
                </c:pt>
                <c:pt idx="6">
                  <c:v>FLOORING</c:v>
                </c:pt>
                <c:pt idx="7">
                  <c:v>CONCRETE AND REINFORCEMENT</c:v>
                </c:pt>
                <c:pt idx="8">
                  <c:v>GLAZING</c:v>
                </c:pt>
              </c:strCache>
            </c:strRef>
          </c:cat>
          <c:val>
            <c:numRef>
              <c:f>'PIVOT TABLES'!$K$5:$K$14</c:f>
              <c:numCache>
                <c:formatCode>_("$"* #,##0.00_);_("$"* \(#,##0.00\);_("$"* "-"??_);_(@_)</c:formatCode>
                <c:ptCount val="9"/>
                <c:pt idx="0">
                  <c:v>3690.9714285714281</c:v>
                </c:pt>
                <c:pt idx="1">
                  <c:v>2803.6114285714289</c:v>
                </c:pt>
                <c:pt idx="2">
                  <c:v>2674.3450000000003</c:v>
                </c:pt>
                <c:pt idx="3">
                  <c:v>2390.75</c:v>
                </c:pt>
                <c:pt idx="4">
                  <c:v>663.58347012987008</c:v>
                </c:pt>
                <c:pt idx="5">
                  <c:v>648.40000000000009</c:v>
                </c:pt>
                <c:pt idx="6">
                  <c:v>623.1</c:v>
                </c:pt>
                <c:pt idx="7">
                  <c:v>399.54064155844151</c:v>
                </c:pt>
                <c:pt idx="8">
                  <c:v>191.625</c:v>
                </c:pt>
              </c:numCache>
            </c:numRef>
          </c:val>
        </c:ser>
        <c:dLbls>
          <c:showLegendKey val="0"/>
          <c:showVal val="0"/>
          <c:showCatName val="0"/>
          <c:showSerName val="0"/>
          <c:showPercent val="0"/>
          <c:showBubbleSize val="0"/>
        </c:dLbls>
        <c:gapWidth val="50"/>
        <c:overlap val="-27"/>
        <c:axId val="268547088"/>
        <c:axId val="268564120"/>
      </c:barChart>
      <c:catAx>
        <c:axId val="26854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64120"/>
        <c:crosses val="autoZero"/>
        <c:auto val="1"/>
        <c:lblAlgn val="ctr"/>
        <c:lblOffset val="100"/>
        <c:noMultiLvlLbl val="0"/>
      </c:catAx>
      <c:valAx>
        <c:axId val="2685641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470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[RATE ANALYSIS - LATEST.xlsx]PIVOT TABLES!PivotTable7</c:name>
    <c:fmtId val="1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Profit</a:t>
            </a:r>
            <a:r>
              <a:rPr lang="en-US" sz="1800" b="1" baseline="0"/>
              <a:t> Analysis</a:t>
            </a:r>
            <a:endParaRPr lang="en-US"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TABLES'!$N$4</c:f>
              <c:strCache>
                <c:ptCount val="1"/>
                <c:pt idx="0">
                  <c:v>Sum of PROFIT</c:v>
                </c:pt>
              </c:strCache>
            </c:strRef>
          </c:tx>
          <c:spPr>
            <a:solidFill>
              <a:schemeClr val="accent1"/>
            </a:solidFill>
            <a:ln>
              <a:noFill/>
            </a:ln>
            <a:effectLst/>
            <a:sp3d/>
          </c:spPr>
          <c:invertIfNegative val="0"/>
          <c:cat>
            <c:strRef>
              <c:f>'PIVOT TABLES'!$M$5:$M$14</c:f>
              <c:strCache>
                <c:ptCount val="9"/>
                <c:pt idx="0">
                  <c:v>BRICKWORK</c:v>
                </c:pt>
                <c:pt idx="1">
                  <c:v>CAPENTRY</c:v>
                </c:pt>
                <c:pt idx="2">
                  <c:v>CONCRETE AND REINFORCEMENT</c:v>
                </c:pt>
                <c:pt idx="3">
                  <c:v>FLOORING</c:v>
                </c:pt>
                <c:pt idx="4">
                  <c:v>FOUNDATION</c:v>
                </c:pt>
                <c:pt idx="5">
                  <c:v>GLAZING</c:v>
                </c:pt>
                <c:pt idx="6">
                  <c:v>JOINERY &amp; IRONMONGERRY</c:v>
                </c:pt>
                <c:pt idx="7">
                  <c:v>PLASTERING &amp; PAINTING</c:v>
                </c:pt>
                <c:pt idx="8">
                  <c:v>ROOF COVERING</c:v>
                </c:pt>
              </c:strCache>
            </c:strRef>
          </c:cat>
          <c:val>
            <c:numRef>
              <c:f>'PIVOT TABLES'!$N$5:$N$14</c:f>
              <c:numCache>
                <c:formatCode>_("$"* #,##0.00_);_("$"* \(#,##0.00\);_("$"* "-"??_);_(@_)</c:formatCode>
                <c:ptCount val="9"/>
                <c:pt idx="0">
                  <c:v>1528.8253614511614</c:v>
                </c:pt>
                <c:pt idx="1">
                  <c:v>1995.8119012870047</c:v>
                </c:pt>
                <c:pt idx="2">
                  <c:v>808.21695323376662</c:v>
                </c:pt>
                <c:pt idx="3">
                  <c:v>308.86052999999993</c:v>
                </c:pt>
                <c:pt idx="4">
                  <c:v>1340.4917142857121</c:v>
                </c:pt>
                <c:pt idx="5">
                  <c:v>232.6567500000001</c:v>
                </c:pt>
                <c:pt idx="6">
                  <c:v>929.54999999999927</c:v>
                </c:pt>
                <c:pt idx="7">
                  <c:v>1146.970213636363</c:v>
                </c:pt>
                <c:pt idx="8">
                  <c:v>868.5592891304359</c:v>
                </c:pt>
              </c:numCache>
            </c:numRef>
          </c:val>
        </c:ser>
        <c:ser>
          <c:idx val="1"/>
          <c:order val="1"/>
          <c:tx>
            <c:strRef>
              <c:f>'PIVOT TABLES'!$O$4</c:f>
              <c:strCache>
                <c:ptCount val="1"/>
                <c:pt idx="0">
                  <c:v>Sum of TOTAL</c:v>
                </c:pt>
              </c:strCache>
            </c:strRef>
          </c:tx>
          <c:spPr>
            <a:solidFill>
              <a:schemeClr val="accent3"/>
            </a:solidFill>
            <a:ln>
              <a:noFill/>
            </a:ln>
            <a:effectLst/>
            <a:sp3d/>
          </c:spPr>
          <c:invertIfNegative val="0"/>
          <c:cat>
            <c:strRef>
              <c:f>'PIVOT TABLES'!$M$5:$M$14</c:f>
              <c:strCache>
                <c:ptCount val="9"/>
                <c:pt idx="0">
                  <c:v>BRICKWORK</c:v>
                </c:pt>
                <c:pt idx="1">
                  <c:v>CAPENTRY</c:v>
                </c:pt>
                <c:pt idx="2">
                  <c:v>CONCRETE AND REINFORCEMENT</c:v>
                </c:pt>
                <c:pt idx="3">
                  <c:v>FLOORING</c:v>
                </c:pt>
                <c:pt idx="4">
                  <c:v>FOUNDATION</c:v>
                </c:pt>
                <c:pt idx="5">
                  <c:v>GLAZING</c:v>
                </c:pt>
                <c:pt idx="6">
                  <c:v>JOINERY &amp; IRONMONGERRY</c:v>
                </c:pt>
                <c:pt idx="7">
                  <c:v>PLASTERING &amp; PAINTING</c:v>
                </c:pt>
                <c:pt idx="8">
                  <c:v>ROOF COVERING</c:v>
                </c:pt>
              </c:strCache>
            </c:strRef>
          </c:cat>
          <c:val>
            <c:numRef>
              <c:f>'PIVOT TABLES'!$O$5:$O$14</c:f>
              <c:numCache>
                <c:formatCode>_("$"* #,##0.00_);_("$"* \(#,##0.00\);_("$"* "-"??_);_(@_)</c:formatCode>
                <c:ptCount val="9"/>
                <c:pt idx="0">
                  <c:v>10192.16907634105</c:v>
                </c:pt>
                <c:pt idx="1">
                  <c:v>13305.412675246735</c:v>
                </c:pt>
                <c:pt idx="2">
                  <c:v>5388.1130215584417</c:v>
                </c:pt>
                <c:pt idx="3">
                  <c:v>2059.0702000000001</c:v>
                </c:pt>
                <c:pt idx="4">
                  <c:v>8936.6114285714284</c:v>
                </c:pt>
                <c:pt idx="5">
                  <c:v>1551.0449999999998</c:v>
                </c:pt>
                <c:pt idx="6">
                  <c:v>6197</c:v>
                </c:pt>
                <c:pt idx="7">
                  <c:v>7646.4680909090912</c:v>
                </c:pt>
                <c:pt idx="8">
                  <c:v>5790.3952608695654</c:v>
                </c:pt>
              </c:numCache>
            </c:numRef>
          </c:val>
        </c:ser>
        <c:ser>
          <c:idx val="2"/>
          <c:order val="2"/>
          <c:tx>
            <c:strRef>
              <c:f>'PIVOT TABLES'!$P$4</c:f>
              <c:strCache>
                <c:ptCount val="1"/>
                <c:pt idx="0">
                  <c:v>Profit Margin</c:v>
                </c:pt>
              </c:strCache>
            </c:strRef>
          </c:tx>
          <c:spPr>
            <a:solidFill>
              <a:schemeClr val="accent5"/>
            </a:solidFill>
            <a:ln>
              <a:noFill/>
            </a:ln>
            <a:effectLst/>
            <a:sp3d/>
          </c:spPr>
          <c:invertIfNegative val="0"/>
          <c:cat>
            <c:strRef>
              <c:f>'PIVOT TABLES'!$M$5:$M$14</c:f>
              <c:strCache>
                <c:ptCount val="9"/>
                <c:pt idx="0">
                  <c:v>BRICKWORK</c:v>
                </c:pt>
                <c:pt idx="1">
                  <c:v>CAPENTRY</c:v>
                </c:pt>
                <c:pt idx="2">
                  <c:v>CONCRETE AND REINFORCEMENT</c:v>
                </c:pt>
                <c:pt idx="3">
                  <c:v>FLOORING</c:v>
                </c:pt>
                <c:pt idx="4">
                  <c:v>FOUNDATION</c:v>
                </c:pt>
                <c:pt idx="5">
                  <c:v>GLAZING</c:v>
                </c:pt>
                <c:pt idx="6">
                  <c:v>JOINERY &amp; IRONMONGERRY</c:v>
                </c:pt>
                <c:pt idx="7">
                  <c:v>PLASTERING &amp; PAINTING</c:v>
                </c:pt>
                <c:pt idx="8">
                  <c:v>ROOF COVERING</c:v>
                </c:pt>
              </c:strCache>
            </c:strRef>
          </c:cat>
          <c:val>
            <c:numRef>
              <c:f>'PIVOT TABLES'!$P$5:$P$14</c:f>
              <c:numCache>
                <c:formatCode>0.00%</c:formatCode>
                <c:ptCount val="9"/>
                <c:pt idx="0">
                  <c:v>0.15000000000000038</c:v>
                </c:pt>
                <c:pt idx="1">
                  <c:v>0.14999999999999958</c:v>
                </c:pt>
                <c:pt idx="2">
                  <c:v>0.15000000000000008</c:v>
                </c:pt>
                <c:pt idx="3">
                  <c:v>0.14999999999999997</c:v>
                </c:pt>
                <c:pt idx="4">
                  <c:v>0.14999999999999974</c:v>
                </c:pt>
                <c:pt idx="5">
                  <c:v>0.15000000000000008</c:v>
                </c:pt>
                <c:pt idx="6">
                  <c:v>0.14999999999999988</c:v>
                </c:pt>
                <c:pt idx="7">
                  <c:v>0.14999999999999991</c:v>
                </c:pt>
                <c:pt idx="8">
                  <c:v>0.15000000000000019</c:v>
                </c:pt>
              </c:numCache>
            </c:numRef>
          </c:val>
        </c:ser>
        <c:dLbls>
          <c:showLegendKey val="0"/>
          <c:showVal val="0"/>
          <c:showCatName val="0"/>
          <c:showSerName val="0"/>
          <c:showPercent val="0"/>
          <c:showBubbleSize val="0"/>
        </c:dLbls>
        <c:gapWidth val="50"/>
        <c:gapDepth val="0"/>
        <c:shape val="box"/>
        <c:axId val="268526072"/>
        <c:axId val="269358264"/>
        <c:axId val="0"/>
      </c:bar3DChart>
      <c:catAx>
        <c:axId val="268526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58264"/>
        <c:crosses val="autoZero"/>
        <c:auto val="1"/>
        <c:lblAlgn val="ctr"/>
        <c:lblOffset val="100"/>
        <c:noMultiLvlLbl val="0"/>
      </c:catAx>
      <c:valAx>
        <c:axId val="2693582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26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104775</xdr:colOff>
      <xdr:row>11</xdr:row>
      <xdr:rowOff>19049</xdr:rowOff>
    </xdr:from>
    <xdr:to>
      <xdr:col>10</xdr:col>
      <xdr:colOff>523875</xdr:colOff>
      <xdr:row>28</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180975</xdr:colOff>
      <xdr:row>11</xdr:row>
      <xdr:rowOff>57150</xdr:rowOff>
    </xdr:from>
    <xdr:to>
      <xdr:col>21</xdr:col>
      <xdr:colOff>214313</xdr:colOff>
      <xdr:row>29</xdr:row>
      <xdr:rowOff>114300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95250</xdr:colOff>
      <xdr:row>33</xdr:row>
      <xdr:rowOff>104775</xdr:rowOff>
    </xdr:from>
    <xdr:to>
      <xdr:col>10</xdr:col>
      <xdr:colOff>714375</xdr:colOff>
      <xdr:row>52</xdr:row>
      <xdr:rowOff>138113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428625</xdr:colOff>
      <xdr:row>33</xdr:row>
      <xdr:rowOff>123825</xdr:rowOff>
    </xdr:from>
    <xdr:to>
      <xdr:col>21</xdr:col>
      <xdr:colOff>285750</xdr:colOff>
      <xdr:row>52</xdr:row>
      <xdr:rowOff>85725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57</xdr:row>
      <xdr:rowOff>123825</xdr:rowOff>
    </xdr:from>
    <xdr:to>
      <xdr:col>10</xdr:col>
      <xdr:colOff>428625</xdr:colOff>
      <xdr:row>73</xdr:row>
      <xdr:rowOff>185737</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247649</xdr:colOff>
      <xdr:row>1</xdr:row>
      <xdr:rowOff>238126</xdr:rowOff>
    </xdr:from>
    <xdr:to>
      <xdr:col>15</xdr:col>
      <xdr:colOff>323849</xdr:colOff>
      <xdr:row>6</xdr:row>
      <xdr:rowOff>0</xdr:rowOff>
    </xdr:to>
    <mc:AlternateContent xmlns:mc="http://schemas.openxmlformats.org/markup-compatibility/2006" xmlns:a14="http://schemas.microsoft.com/office/drawing/2010/main">
      <mc:Choice Requires="a14">
        <xdr:graphicFrame macro="">
          <xdr:nvGraphicFramePr>
            <xdr:cNvPr id="21"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3848099" y="342901"/>
              <a:ext cx="4295775"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ash" refreshedDate="45602.900186574072" createdVersion="5" refreshedVersion="5" minRefreshableVersion="3" recordCount="9">
  <cacheSource type="worksheet">
    <worksheetSource ref="B3:I12" sheet="DATA"/>
  </cacheSource>
  <cacheFields count="9">
    <cacheField name="BILL" numFmtId="0">
      <sharedItems containsSemiMixedTypes="0" containsString="0" containsNumber="1" containsInteger="1" minValue="2" maxValue="10" count="9">
        <n v="2"/>
        <n v="3"/>
        <n v="4"/>
        <n v="5"/>
        <n v="6"/>
        <n v="7"/>
        <n v="8"/>
        <n v="9"/>
        <n v="10"/>
      </sharedItems>
    </cacheField>
    <cacheField name="DESCRIPTION" numFmtId="0">
      <sharedItems count="9">
        <s v="FOUNDATION"/>
        <s v="CONCRETE AND REINFORCEMENT"/>
        <s v="BRICKWORK"/>
        <s v="ROOF COVERING"/>
        <s v="CAPENTRY"/>
        <s v="JOINERY &amp; IRONMONGERRY"/>
        <s v="GLAZING"/>
        <s v="PLASTERING &amp; PAINTING"/>
        <s v="FLOORING"/>
      </sharedItems>
    </cacheField>
    <cacheField name="MATERIAL COST" numFmtId="165">
      <sharedItems containsSemiMixedTypes="0" containsString="0" containsNumber="1" minValue="315" maxValue="8540.5856062111798" count="9">
        <n v="315"/>
        <n v="4636.42238"/>
        <n v="8540.5856062111798"/>
        <n v="4003.9952608695653"/>
        <n v="2574.4412466753051"/>
        <n v="3020.25"/>
        <n v="1296.4199999999998"/>
        <n v="2500.1230909090909"/>
        <n v="970.9702000000002"/>
      </sharedItems>
    </cacheField>
    <cacheField name="EQUIPMENT COST" numFmtId="165">
      <sharedItems containsSemiMixedTypes="0" containsString="0" containsNumber="1" minValue="63" maxValue="7040"/>
    </cacheField>
    <cacheField name="LABOUR COST" numFmtId="165">
      <sharedItems containsSemiMixedTypes="0" containsString="0" containsNumber="1" minValue="191.625" maxValue="3690.9714285714281"/>
    </cacheField>
    <cacheField name="TOTAL" numFmtId="165">
      <sharedItems containsSemiMixedTypes="0" containsString="0" containsNumber="1" minValue="1551.0449999999998" maxValue="13305.412675246735" count="9">
        <n v="8936.6114285714284"/>
        <n v="5388.1130215584417"/>
        <n v="10192.16907634105"/>
        <n v="5790.3952608695654"/>
        <n v="13305.412675246735"/>
        <n v="6197"/>
        <n v="1551.0449999999998"/>
        <n v="7646.4680909090912"/>
        <n v="2059.0702000000001"/>
      </sharedItems>
    </cacheField>
    <cacheField name="CONTRACT TOTAL" numFmtId="165">
      <sharedItems containsSemiMixedTypes="0" containsString="0" containsNumber="1" minValue="1783.7017499999999" maxValue="15301.224576533739" count="9">
        <n v="10277.10314285714"/>
        <n v="6196.3299747922083"/>
        <n v="11720.994437792211"/>
        <n v="6658.9545500000013"/>
        <n v="15301.224576533739"/>
        <n v="7126.5499999999993"/>
        <n v="1783.7017499999999"/>
        <n v="8793.4383045454542"/>
        <n v="2367.93073"/>
      </sharedItems>
    </cacheField>
    <cacheField name="PROFIT" numFmtId="165">
      <sharedItems containsSemiMixedTypes="0" containsString="0" containsNumber="1" minValue="232.6567500000001" maxValue="1995.8119012870047"/>
    </cacheField>
    <cacheField name="Pofit Margin" numFmtId="0" formula="PROFIT/TOTAL" databaseField="0"/>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Nash" refreshedDate="45603.01776412037" createdVersion="5" refreshedVersion="5" minRefreshableVersion="3" recordCount="9">
  <cacheSource type="worksheet">
    <worksheetSource ref="C17:I26" sheet="DATA"/>
  </cacheSource>
  <cacheFields count="7">
    <cacheField name="BILL ELEMENT" numFmtId="0">
      <sharedItems count="9">
        <s v="FOUNDATION"/>
        <s v="CONCRETE AND REINFORCEMENT"/>
        <s v="BRICKWORK"/>
        <s v="ROOF COVERING"/>
        <s v="CAPENTRY"/>
        <s v="JOINERY &amp; IRONMONGERRY"/>
        <s v="GLAZING"/>
        <s v="PLASTERING &amp; PAINTING"/>
        <s v="FLOORING"/>
      </sharedItems>
    </cacheField>
    <cacheField name="SW1" numFmtId="0">
      <sharedItems containsString="0" containsBlank="1" containsNumber="1" containsInteger="1" minValue="1" maxValue="3" count="3">
        <m/>
        <n v="1"/>
        <n v="3"/>
      </sharedItems>
    </cacheField>
    <cacheField name="SW2" numFmtId="0">
      <sharedItems containsString="0" containsBlank="1" containsNumber="1" containsInteger="1" minValue="1" maxValue="2" count="3">
        <m/>
        <n v="2"/>
        <n v="1"/>
      </sharedItems>
    </cacheField>
    <cacheField name="SW4" numFmtId="0">
      <sharedItems containsString="0" containsBlank="1" containsNumber="1" containsInteger="1" minValue="5" maxValue="5" count="2">
        <n v="5"/>
        <m/>
      </sharedItems>
    </cacheField>
    <cacheField name="WG1" numFmtId="0">
      <sharedItems containsString="0" containsBlank="1" containsNumber="1" containsInteger="1" minValue="9" maxValue="12" count="3">
        <m/>
        <n v="9"/>
        <n v="12"/>
      </sharedItems>
    </cacheField>
    <cacheField name="WG2" numFmtId="0">
      <sharedItems containsString="0" containsBlank="1" containsNumber="1" containsInteger="1" minValue="2" maxValue="9" count="5">
        <m/>
        <n v="9"/>
        <n v="4"/>
        <n v="2"/>
        <n v="3"/>
      </sharedItems>
    </cacheField>
    <cacheField name="WG4" numFmtId="0">
      <sharedItems containsString="0" containsBlank="1" containsNumber="1" containsInteger="1" minValue="24" maxValue="24" count="2">
        <n v="2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
  <r>
    <x v="0"/>
    <x v="0"/>
    <x v="0"/>
    <n v="5818"/>
    <n v="2803.6114285714289"/>
    <x v="0"/>
    <x v="0"/>
    <n v="1340.4917142857121"/>
  </r>
  <r>
    <x v="1"/>
    <x v="1"/>
    <x v="1"/>
    <n v="352.15"/>
    <n v="399.54064155844151"/>
    <x v="1"/>
    <x v="1"/>
    <n v="808.21695323376662"/>
  </r>
  <r>
    <x v="2"/>
    <x v="2"/>
    <x v="2"/>
    <n v="988"/>
    <n v="663.58347012987008"/>
    <x v="2"/>
    <x v="2"/>
    <n v="1528.8253614511614"/>
  </r>
  <r>
    <x v="3"/>
    <x v="3"/>
    <x v="3"/>
    <n v="1138"/>
    <n v="648.40000000000009"/>
    <x v="3"/>
    <x v="3"/>
    <n v="868.5592891304359"/>
  </r>
  <r>
    <x v="4"/>
    <x v="4"/>
    <x v="4"/>
    <n v="7040"/>
    <n v="3690.9714285714281"/>
    <x v="4"/>
    <x v="4"/>
    <n v="1995.8119012870047"/>
  </r>
  <r>
    <x v="5"/>
    <x v="5"/>
    <x v="5"/>
    <n v="786"/>
    <n v="2390.75"/>
    <x v="5"/>
    <x v="5"/>
    <n v="929.54999999999927"/>
  </r>
  <r>
    <x v="6"/>
    <x v="6"/>
    <x v="6"/>
    <n v="63"/>
    <n v="191.625"/>
    <x v="6"/>
    <x v="6"/>
    <n v="232.6567500000001"/>
  </r>
  <r>
    <x v="7"/>
    <x v="7"/>
    <x v="7"/>
    <n v="2472"/>
    <n v="2674.3450000000003"/>
    <x v="7"/>
    <x v="7"/>
    <n v="1146.970213636363"/>
  </r>
  <r>
    <x v="8"/>
    <x v="8"/>
    <x v="8"/>
    <n v="465"/>
    <n v="623.1"/>
    <x v="8"/>
    <x v="8"/>
    <n v="308.86052999999993"/>
  </r>
</pivotCacheRecords>
</file>

<file path=xl/pivotCache/pivotCacheRecords2.xml><?xml version="1.0" encoding="utf-8"?>
<pivotCacheRecords xmlns="http://schemas.openxmlformats.org/spreadsheetml/2006/main" xmlns:r="http://schemas.openxmlformats.org/officeDocument/2006/relationships" count="9">
  <r>
    <x v="0"/>
    <x v="0"/>
    <x v="0"/>
    <x v="0"/>
    <x v="0"/>
    <x v="0"/>
    <x v="0"/>
  </r>
  <r>
    <x v="1"/>
    <x v="1"/>
    <x v="0"/>
    <x v="1"/>
    <x v="1"/>
    <x v="0"/>
    <x v="1"/>
  </r>
  <r>
    <x v="2"/>
    <x v="2"/>
    <x v="0"/>
    <x v="1"/>
    <x v="2"/>
    <x v="0"/>
    <x v="1"/>
  </r>
  <r>
    <x v="3"/>
    <x v="2"/>
    <x v="0"/>
    <x v="1"/>
    <x v="0"/>
    <x v="1"/>
    <x v="1"/>
  </r>
  <r>
    <x v="4"/>
    <x v="1"/>
    <x v="0"/>
    <x v="1"/>
    <x v="0"/>
    <x v="2"/>
    <x v="1"/>
  </r>
  <r>
    <x v="5"/>
    <x v="1"/>
    <x v="0"/>
    <x v="1"/>
    <x v="0"/>
    <x v="3"/>
    <x v="1"/>
  </r>
  <r>
    <x v="6"/>
    <x v="1"/>
    <x v="0"/>
    <x v="1"/>
    <x v="0"/>
    <x v="3"/>
    <x v="1"/>
  </r>
  <r>
    <x v="7"/>
    <x v="0"/>
    <x v="1"/>
    <x v="1"/>
    <x v="0"/>
    <x v="2"/>
    <x v="1"/>
  </r>
  <r>
    <x v="8"/>
    <x v="0"/>
    <x v="2"/>
    <x v="1"/>
    <x v="0"/>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3">
  <location ref="D4:E14" firstHeaderRow="1" firstDataRow="1" firstDataCol="1"/>
  <pivotFields count="9">
    <pivotField showAll="0">
      <items count="10">
        <item h="1" x="0"/>
        <item h="1" x="1"/>
        <item h="1" x="2"/>
        <item h="1" x="3"/>
        <item h="1" x="4"/>
        <item h="1" x="5"/>
        <item x="6"/>
        <item h="1" x="7"/>
        <item h="1" x="8"/>
        <item t="default"/>
      </items>
    </pivotField>
    <pivotField axis="axisRow" showAll="0" sortType="descending">
      <items count="10">
        <item x="2"/>
        <item x="4"/>
        <item x="1"/>
        <item x="8"/>
        <item x="0"/>
        <item x="6"/>
        <item x="5"/>
        <item x="7"/>
        <item x="3"/>
        <item t="default"/>
      </items>
      <autoSortScope>
        <pivotArea dataOnly="0" outline="0" fieldPosition="0">
          <references count="1">
            <reference field="4294967294" count="1" selected="0">
              <x v="0"/>
            </reference>
          </references>
        </pivotArea>
      </autoSortScope>
    </pivotField>
    <pivotField dataField="1" numFmtId="165" showAll="0">
      <items count="10">
        <item x="0"/>
        <item x="8"/>
        <item x="6"/>
        <item x="7"/>
        <item x="4"/>
        <item x="5"/>
        <item x="3"/>
        <item x="1"/>
        <item x="2"/>
        <item t="default"/>
      </items>
    </pivotField>
    <pivotField numFmtId="165" showAll="0"/>
    <pivotField numFmtId="165" showAll="0"/>
    <pivotField numFmtId="165" showAll="0"/>
    <pivotField numFmtId="165" showAll="0">
      <items count="10">
        <item x="6"/>
        <item x="8"/>
        <item x="1"/>
        <item x="3"/>
        <item x="5"/>
        <item x="7"/>
        <item x="0"/>
        <item x="2"/>
        <item x="4"/>
        <item t="default"/>
      </items>
    </pivotField>
    <pivotField numFmtId="165" showAll="0"/>
    <pivotField dragToRow="0" dragToCol="0" dragToPage="0" showAll="0" defaultSubtotal="0"/>
  </pivotFields>
  <rowFields count="1">
    <field x="1"/>
  </rowFields>
  <rowItems count="10">
    <i>
      <x/>
    </i>
    <i>
      <x v="2"/>
    </i>
    <i>
      <x v="8"/>
    </i>
    <i>
      <x v="6"/>
    </i>
    <i>
      <x v="1"/>
    </i>
    <i>
      <x v="7"/>
    </i>
    <i>
      <x v="5"/>
    </i>
    <i>
      <x v="3"/>
    </i>
    <i>
      <x v="4"/>
    </i>
    <i t="grand">
      <x/>
    </i>
  </rowItems>
  <colItems count="1">
    <i/>
  </colItems>
  <dataFields count="1">
    <dataField name="Sum of MATERIAL COST" fld="2" baseField="0" baseItem="0" numFmtId="44"/>
  </dataFields>
  <formats count="1">
    <format dxfId="9">
      <pivotArea outline="0" collapsedLevelsAreSubtotals="1" fieldPosition="0"/>
    </format>
  </formats>
  <chartFormats count="10">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2"/>
          </reference>
        </references>
      </pivotArea>
    </chartFormat>
    <chartFormat chart="4" format="17">
      <pivotArea type="data" outline="0" fieldPosition="0">
        <references count="2">
          <reference field="4294967294" count="1" selected="0">
            <x v="0"/>
          </reference>
          <reference field="1" count="1" selected="0">
            <x v="8"/>
          </reference>
        </references>
      </pivotArea>
    </chartFormat>
    <chartFormat chart="4" format="18">
      <pivotArea type="data" outline="0" fieldPosition="0">
        <references count="2">
          <reference field="4294967294" count="1" selected="0">
            <x v="0"/>
          </reference>
          <reference field="1" count="1" selected="0">
            <x v="6"/>
          </reference>
        </references>
      </pivotArea>
    </chartFormat>
    <chartFormat chart="4" format="19">
      <pivotArea type="data" outline="0" fieldPosition="0">
        <references count="2">
          <reference field="4294967294" count="1" selected="0">
            <x v="0"/>
          </reference>
          <reference field="1" count="1" selected="0">
            <x v="1"/>
          </reference>
        </references>
      </pivotArea>
    </chartFormat>
    <chartFormat chart="4" format="20">
      <pivotArea type="data" outline="0" fieldPosition="0">
        <references count="2">
          <reference field="4294967294" count="1" selected="0">
            <x v="0"/>
          </reference>
          <reference field="1" count="1" selected="0">
            <x v="7"/>
          </reference>
        </references>
      </pivotArea>
    </chartFormat>
    <chartFormat chart="4" format="21">
      <pivotArea type="data" outline="0" fieldPosition="0">
        <references count="2">
          <reference field="4294967294" count="1" selected="0">
            <x v="0"/>
          </reference>
          <reference field="1" count="1" selected="0">
            <x v="5"/>
          </reference>
        </references>
      </pivotArea>
    </chartFormat>
    <chartFormat chart="4" format="22">
      <pivotArea type="data" outline="0" fieldPosition="0">
        <references count="2">
          <reference field="4294967294" count="1" selected="0">
            <x v="0"/>
          </reference>
          <reference field="1" count="1" selected="0">
            <x v="3"/>
          </reference>
        </references>
      </pivotArea>
    </chartFormat>
    <chartFormat chart="4" format="2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3">
  <location ref="A3:B13" firstHeaderRow="1" firstDataRow="1" firstDataCol="1"/>
  <pivotFields count="9">
    <pivotField showAll="0">
      <items count="10">
        <item h="1" x="0"/>
        <item h="1" x="1"/>
        <item h="1" x="2"/>
        <item h="1" x="3"/>
        <item h="1" x="4"/>
        <item h="1" x="5"/>
        <item x="6"/>
        <item h="1" x="7"/>
        <item h="1" x="8"/>
        <item t="default"/>
      </items>
    </pivotField>
    <pivotField axis="axisRow" showAll="0" sortType="descending">
      <items count="10">
        <item x="2"/>
        <item x="4"/>
        <item x="1"/>
        <item x="8"/>
        <item x="0"/>
        <item x="6"/>
        <item x="5"/>
        <item x="7"/>
        <item x="3"/>
        <item t="default"/>
      </items>
      <autoSortScope>
        <pivotArea dataOnly="0" outline="0" fieldPosition="0">
          <references count="1">
            <reference field="4294967294" count="1" selected="0">
              <x v="0"/>
            </reference>
          </references>
        </pivotArea>
      </autoSortScope>
    </pivotField>
    <pivotField numFmtId="165" showAll="0">
      <items count="10">
        <item x="0"/>
        <item x="8"/>
        <item x="6"/>
        <item x="7"/>
        <item x="4"/>
        <item x="5"/>
        <item x="3"/>
        <item x="1"/>
        <item x="2"/>
        <item t="default"/>
      </items>
    </pivotField>
    <pivotField numFmtId="165" showAll="0"/>
    <pivotField numFmtId="165" showAll="0"/>
    <pivotField dataField="1" numFmtId="165" showAll="0">
      <items count="10">
        <item x="6"/>
        <item x="8"/>
        <item x="1"/>
        <item x="3"/>
        <item x="5"/>
        <item x="7"/>
        <item x="0"/>
        <item x="2"/>
        <item x="4"/>
        <item t="default"/>
      </items>
    </pivotField>
    <pivotField numFmtId="165" showAll="0">
      <items count="10">
        <item x="6"/>
        <item x="8"/>
        <item x="1"/>
        <item x="3"/>
        <item x="5"/>
        <item x="7"/>
        <item x="0"/>
        <item x="2"/>
        <item x="4"/>
        <item t="default"/>
      </items>
    </pivotField>
    <pivotField numFmtId="165" showAll="0"/>
    <pivotField dragToRow="0" dragToCol="0" dragToPage="0" showAll="0" defaultSubtotal="0"/>
  </pivotFields>
  <rowFields count="1">
    <field x="1"/>
  </rowFields>
  <rowItems count="10">
    <i>
      <x v="1"/>
    </i>
    <i>
      <x/>
    </i>
    <i>
      <x v="4"/>
    </i>
    <i>
      <x v="7"/>
    </i>
    <i>
      <x v="6"/>
    </i>
    <i>
      <x v="8"/>
    </i>
    <i>
      <x v="2"/>
    </i>
    <i>
      <x v="3"/>
    </i>
    <i>
      <x v="5"/>
    </i>
    <i t="grand">
      <x/>
    </i>
  </rowItems>
  <colItems count="1">
    <i/>
  </colItems>
  <dataFields count="1">
    <dataField name="Sum of TOTAL" fld="5" baseField="0" baseItem="0" numFmtId="44"/>
  </dataFields>
  <formats count="1">
    <format dxfId="10">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R4:R14" firstHeaderRow="1" firstDataRow="1" firstDataCol="1"/>
  <pivotFields count="7">
    <pivotField axis="axisRow" showAll="0">
      <items count="10">
        <item x="2"/>
        <item x="4"/>
        <item x="1"/>
        <item x="8"/>
        <item x="0"/>
        <item x="6"/>
        <item x="5"/>
        <item x="7"/>
        <item x="3"/>
        <item t="default"/>
      </items>
    </pivotField>
    <pivotField showAll="0">
      <items count="4">
        <item x="1"/>
        <item x="2"/>
        <item x="0"/>
        <item t="default"/>
      </items>
    </pivotField>
    <pivotField showAll="0">
      <items count="4">
        <item x="2"/>
        <item x="1"/>
        <item x="0"/>
        <item t="default"/>
      </items>
    </pivotField>
    <pivotField showAll="0">
      <items count="3">
        <item x="0"/>
        <item x="1"/>
        <item t="default"/>
      </items>
    </pivotField>
    <pivotField showAll="0">
      <items count="4">
        <item x="1"/>
        <item x="2"/>
        <item x="0"/>
        <item t="default"/>
      </items>
    </pivotField>
    <pivotField showAll="0">
      <items count="6">
        <item x="3"/>
        <item x="4"/>
        <item x="2"/>
        <item x="1"/>
        <item x="0"/>
        <item t="default"/>
      </items>
    </pivotField>
    <pivotField showAll="0">
      <items count="3">
        <item x="0"/>
        <item x="1"/>
        <item t="default"/>
      </items>
    </pivotField>
  </pivotFields>
  <rowFields count="1">
    <field x="0"/>
  </rowFields>
  <rowItems count="10">
    <i>
      <x/>
    </i>
    <i>
      <x v="1"/>
    </i>
    <i>
      <x v="2"/>
    </i>
    <i>
      <x v="3"/>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7">
  <location ref="M4:P14" firstHeaderRow="0" firstDataRow="1" firstDataCol="1"/>
  <pivotFields count="9">
    <pivotField showAll="0">
      <items count="10">
        <item h="1" x="0"/>
        <item h="1" x="1"/>
        <item h="1" x="2"/>
        <item h="1" x="3"/>
        <item h="1" x="4"/>
        <item h="1" x="5"/>
        <item x="6"/>
        <item h="1" x="7"/>
        <item h="1" x="8"/>
        <item t="default"/>
      </items>
    </pivotField>
    <pivotField axis="axisRow" showAll="0">
      <items count="10">
        <item x="2"/>
        <item x="4"/>
        <item x="1"/>
        <item x="8"/>
        <item x="0"/>
        <item x="6"/>
        <item x="5"/>
        <item x="7"/>
        <item x="3"/>
        <item t="default"/>
      </items>
    </pivotField>
    <pivotField numFmtId="165" showAll="0">
      <items count="10">
        <item x="0"/>
        <item x="8"/>
        <item x="6"/>
        <item x="7"/>
        <item x="4"/>
        <item x="5"/>
        <item x="3"/>
        <item x="1"/>
        <item x="2"/>
        <item t="default"/>
      </items>
    </pivotField>
    <pivotField numFmtId="165" showAll="0"/>
    <pivotField numFmtId="165" showAll="0"/>
    <pivotField dataField="1" numFmtId="165" showAll="0"/>
    <pivotField numFmtId="165" showAll="0">
      <items count="10">
        <item x="6"/>
        <item x="8"/>
        <item x="1"/>
        <item x="3"/>
        <item x="5"/>
        <item x="7"/>
        <item x="0"/>
        <item x="2"/>
        <item x="4"/>
        <item t="default"/>
      </items>
    </pivotField>
    <pivotField dataField="1" numFmtId="165" showAll="0"/>
    <pivotField dataField="1" dragToRow="0" dragToCol="0" dragToPage="0" showAll="0" defaultSubtotal="0"/>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Sum of PROFIT" fld="7" baseField="0" baseItem="0" numFmtId="44"/>
    <dataField name="Sum of TOTAL" fld="5" baseField="0" baseItem="0" numFmtId="44"/>
    <dataField name="Profit Margin" fld="8" baseField="1" baseItem="0" numFmtId="10"/>
  </dataFields>
  <formats count="2">
    <format dxfId="12">
      <pivotArea outline="0" collapsedLevelsAreSubtotals="1" fieldPosition="0">
        <references count="1">
          <reference field="4294967294" count="1" selected="0">
            <x v="2"/>
          </reference>
        </references>
      </pivotArea>
    </format>
    <format dxfId="11">
      <pivotArea outline="0" collapsedLevelsAreSubtotals="1" fieldPosition="0">
        <references count="1">
          <reference field="4294967294" count="2" selected="0">
            <x v="0"/>
            <x v="1"/>
          </reference>
        </references>
      </pivotArea>
    </format>
  </formats>
  <chartFormats count="3">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1">
  <location ref="J4:K14" firstHeaderRow="1" firstDataRow="1" firstDataCol="1"/>
  <pivotFields count="9">
    <pivotField showAll="0">
      <items count="10">
        <item h="1" x="0"/>
        <item h="1" x="1"/>
        <item h="1" x="2"/>
        <item h="1" x="3"/>
        <item h="1" x="4"/>
        <item h="1" x="5"/>
        <item x="6"/>
        <item h="1" x="7"/>
        <item h="1" x="8"/>
        <item t="default"/>
      </items>
    </pivotField>
    <pivotField axis="axisRow" showAll="0" sortType="descending">
      <items count="10">
        <item x="2"/>
        <item x="4"/>
        <item x="1"/>
        <item x="8"/>
        <item x="0"/>
        <item x="6"/>
        <item x="5"/>
        <item x="7"/>
        <item x="3"/>
        <item t="default"/>
      </items>
      <autoSortScope>
        <pivotArea dataOnly="0" outline="0" fieldPosition="0">
          <references count="1">
            <reference field="4294967294" count="1" selected="0">
              <x v="0"/>
            </reference>
          </references>
        </pivotArea>
      </autoSortScope>
    </pivotField>
    <pivotField numFmtId="165" showAll="0">
      <items count="10">
        <item x="0"/>
        <item x="8"/>
        <item x="6"/>
        <item x="7"/>
        <item x="4"/>
        <item x="5"/>
        <item x="3"/>
        <item x="1"/>
        <item x="2"/>
        <item t="default"/>
      </items>
    </pivotField>
    <pivotField numFmtId="165" showAll="0"/>
    <pivotField dataField="1" numFmtId="165" showAll="0"/>
    <pivotField numFmtId="165" showAll="0"/>
    <pivotField numFmtId="165" showAll="0">
      <items count="10">
        <item x="6"/>
        <item x="8"/>
        <item x="1"/>
        <item x="3"/>
        <item x="5"/>
        <item x="7"/>
        <item x="0"/>
        <item x="2"/>
        <item x="4"/>
        <item t="default"/>
      </items>
    </pivotField>
    <pivotField numFmtId="165" showAll="0"/>
    <pivotField dragToRow="0" dragToCol="0" dragToPage="0" showAll="0" defaultSubtotal="0"/>
  </pivotFields>
  <rowFields count="1">
    <field x="1"/>
  </rowFields>
  <rowItems count="10">
    <i>
      <x v="1"/>
    </i>
    <i>
      <x v="4"/>
    </i>
    <i>
      <x v="7"/>
    </i>
    <i>
      <x v="6"/>
    </i>
    <i>
      <x/>
    </i>
    <i>
      <x v="8"/>
    </i>
    <i>
      <x v="3"/>
    </i>
    <i>
      <x v="2"/>
    </i>
    <i>
      <x v="5"/>
    </i>
    <i t="grand">
      <x/>
    </i>
  </rowItems>
  <colItems count="1">
    <i/>
  </colItems>
  <dataFields count="1">
    <dataField name="Sum of LABOUR COST" fld="4" baseField="0" baseItem="0" numFmtId="44"/>
  </dataFields>
  <formats count="1">
    <format dxfId="1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0">
  <location ref="G4:H14" firstHeaderRow="1" firstDataRow="1" firstDataCol="1"/>
  <pivotFields count="9">
    <pivotField showAll="0">
      <items count="10">
        <item h="1" x="0"/>
        <item h="1" x="1"/>
        <item h="1" x="2"/>
        <item h="1" x="3"/>
        <item h="1" x="4"/>
        <item h="1" x="5"/>
        <item x="6"/>
        <item h="1" x="7"/>
        <item h="1" x="8"/>
        <item t="default"/>
      </items>
    </pivotField>
    <pivotField axis="axisRow" showAll="0" sortType="descending">
      <items count="10">
        <item x="2"/>
        <item x="4"/>
        <item x="1"/>
        <item x="8"/>
        <item x="0"/>
        <item x="6"/>
        <item x="5"/>
        <item x="7"/>
        <item x="3"/>
        <item t="default"/>
      </items>
      <autoSortScope>
        <pivotArea dataOnly="0" outline="0" fieldPosition="0">
          <references count="1">
            <reference field="4294967294" count="1" selected="0">
              <x v="0"/>
            </reference>
          </references>
        </pivotArea>
      </autoSortScope>
    </pivotField>
    <pivotField numFmtId="165" showAll="0">
      <items count="10">
        <item x="0"/>
        <item x="8"/>
        <item x="6"/>
        <item x="7"/>
        <item x="4"/>
        <item x="5"/>
        <item x="3"/>
        <item x="1"/>
        <item x="2"/>
        <item t="default"/>
      </items>
    </pivotField>
    <pivotField dataField="1" numFmtId="165" showAll="0"/>
    <pivotField numFmtId="165" showAll="0"/>
    <pivotField numFmtId="165" showAll="0"/>
    <pivotField numFmtId="165" showAll="0">
      <items count="10">
        <item x="6"/>
        <item x="8"/>
        <item x="1"/>
        <item x="3"/>
        <item x="5"/>
        <item x="7"/>
        <item x="0"/>
        <item x="2"/>
        <item x="4"/>
        <item t="default"/>
      </items>
    </pivotField>
    <pivotField numFmtId="165" showAll="0"/>
    <pivotField dragToRow="0" dragToCol="0" dragToPage="0" showAll="0" defaultSubtotal="0"/>
  </pivotFields>
  <rowFields count="1">
    <field x="1"/>
  </rowFields>
  <rowItems count="10">
    <i>
      <x v="1"/>
    </i>
    <i>
      <x v="4"/>
    </i>
    <i>
      <x v="7"/>
    </i>
    <i>
      <x v="8"/>
    </i>
    <i>
      <x/>
    </i>
    <i>
      <x v="6"/>
    </i>
    <i>
      <x v="3"/>
    </i>
    <i>
      <x v="2"/>
    </i>
    <i>
      <x v="5"/>
    </i>
    <i t="grand">
      <x/>
    </i>
  </rowItems>
  <colItems count="1">
    <i/>
  </colItems>
  <dataFields count="1">
    <dataField name="Sum of EQUIPMENT COST" fld="3" baseField="0" baseItem="0" numFmtId="44"/>
  </dataFields>
  <formats count="1">
    <format dxfId="1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24" name="PivotTable2"/>
    <pivotTable tabId="24" name="PivotTable4"/>
    <pivotTable tabId="24" name="PivotTable5"/>
    <pivotTable tabId="24" name="PivotTable6"/>
    <pivotTable tabId="24" name="PivotTable7"/>
  </pivotTables>
  <data>
    <tabular pivotCacheId="1">
      <items count="9">
        <i x="2" s="1"/>
        <i x="4" s="1"/>
        <i x="1" s="1"/>
        <i x="8" s="1"/>
        <i x="0" s="1"/>
        <i x="6" s="1"/>
        <i x="5"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SCRIPTION" cache="Slicer_DESCRIPTION" caption="DESCRIPTIO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M19"/>
  <sheetViews>
    <sheetView tabSelected="1" zoomScale="110" zoomScaleNormal="110" workbookViewId="0">
      <selection activeCell="D4" sqref="D4:D5"/>
    </sheetView>
  </sheetViews>
  <sheetFormatPr defaultRowHeight="15" x14ac:dyDescent="0.25"/>
  <cols>
    <col min="2" max="2" width="3.5703125" customWidth="1"/>
    <col min="3" max="3" width="0.7109375" customWidth="1"/>
    <col min="4" max="4" width="26.5703125" customWidth="1"/>
    <col min="5" max="5" width="1" customWidth="1"/>
    <col min="6" max="6" width="24.5703125" customWidth="1"/>
    <col min="7" max="7" width="0.85546875" customWidth="1"/>
    <col min="8" max="8" width="23.5703125" customWidth="1"/>
    <col min="9" max="9" width="0.85546875" customWidth="1"/>
    <col min="10" max="10" width="24.42578125" customWidth="1"/>
    <col min="11" max="11" width="0.85546875" customWidth="1"/>
    <col min="12" max="12" width="3.42578125" customWidth="1"/>
  </cols>
  <sheetData>
    <row r="2" spans="2:13" ht="15.75" thickBot="1" x14ac:dyDescent="0.3">
      <c r="B2" s="241"/>
      <c r="C2" s="402"/>
      <c r="D2" s="418"/>
      <c r="E2" s="418"/>
      <c r="F2" s="418"/>
      <c r="G2" s="241"/>
      <c r="H2" s="241"/>
      <c r="I2" s="241"/>
      <c r="J2" s="241"/>
      <c r="K2" s="241"/>
      <c r="L2" s="241"/>
    </row>
    <row r="3" spans="2:13" ht="3.75" customHeight="1" thickBot="1" x14ac:dyDescent="0.3">
      <c r="B3" s="402"/>
      <c r="C3" s="214"/>
      <c r="D3" s="214"/>
      <c r="E3" s="214"/>
      <c r="F3" s="214"/>
      <c r="G3" s="395"/>
      <c r="H3" s="395"/>
      <c r="I3" s="395"/>
      <c r="J3" s="395"/>
      <c r="K3" s="396"/>
      <c r="L3" s="241"/>
    </row>
    <row r="4" spans="2:13" ht="42.75" customHeight="1" thickTop="1" thickBot="1" x14ac:dyDescent="0.3">
      <c r="B4" s="241"/>
      <c r="C4" s="400"/>
      <c r="D4" s="426" t="s">
        <v>441</v>
      </c>
      <c r="E4" s="1"/>
      <c r="F4" s="363" t="s">
        <v>399</v>
      </c>
      <c r="G4" s="372"/>
      <c r="H4" s="363" t="s">
        <v>400</v>
      </c>
      <c r="I4" s="372"/>
      <c r="J4" s="363" t="s">
        <v>401</v>
      </c>
      <c r="K4" s="397"/>
      <c r="L4" s="241"/>
    </row>
    <row r="5" spans="2:13" ht="24.75" customHeight="1" thickBot="1" x14ac:dyDescent="0.35">
      <c r="B5" s="241"/>
      <c r="C5" s="400"/>
      <c r="D5" s="427"/>
      <c r="E5" s="1"/>
      <c r="F5" s="390" t="s">
        <v>398</v>
      </c>
      <c r="G5" s="1"/>
      <c r="H5" s="391"/>
      <c r="I5" s="1"/>
      <c r="J5" s="503">
        <v>45292</v>
      </c>
      <c r="K5" s="397"/>
      <c r="L5" s="241"/>
    </row>
    <row r="6" spans="2:13" ht="14.25" customHeight="1" thickBot="1" x14ac:dyDescent="0.3">
      <c r="B6" s="241"/>
      <c r="C6" s="400"/>
      <c r="D6" s="389"/>
      <c r="E6" s="1"/>
      <c r="F6" s="387"/>
      <c r="G6" s="1"/>
      <c r="H6" s="388"/>
      <c r="I6" s="1"/>
      <c r="J6" s="379"/>
      <c r="K6" s="397"/>
      <c r="L6" s="241"/>
    </row>
    <row r="7" spans="2:13" ht="51" customHeight="1" thickBot="1" x14ac:dyDescent="0.3">
      <c r="B7" s="241"/>
      <c r="C7" s="400"/>
      <c r="D7" s="373" t="str">
        <f>'BILL OF QUANTITIES'!C5</f>
        <v>BILL 2: FOUNDATION</v>
      </c>
      <c r="E7" s="1"/>
      <c r="F7" s="366" t="str">
        <f>'BILL OF QUANTITIES'!C69</f>
        <v>BILL 3: CONCRETE AND REINFORCEMENT</v>
      </c>
      <c r="G7" s="1"/>
      <c r="H7" s="367" t="str">
        <f>'BILL OF QUANTITIES'!C93</f>
        <v>BILL 4: BRICKWORK</v>
      </c>
      <c r="I7" s="1"/>
      <c r="J7" s="374" t="str">
        <f>'BILL OF QUANTITIES'!C135</f>
        <v>BILL 5: ROOF COVERING</v>
      </c>
      <c r="K7" s="397"/>
      <c r="L7" s="241"/>
    </row>
    <row r="8" spans="2:13" ht="15.75" x14ac:dyDescent="0.25">
      <c r="B8" s="241"/>
      <c r="C8" s="400"/>
      <c r="D8" s="375" t="s">
        <v>393</v>
      </c>
      <c r="E8" s="1"/>
      <c r="F8" s="364" t="s">
        <v>393</v>
      </c>
      <c r="G8" s="1"/>
      <c r="H8" s="364" t="s">
        <v>393</v>
      </c>
      <c r="I8" s="1"/>
      <c r="J8" s="376" t="s">
        <v>393</v>
      </c>
      <c r="K8" s="397"/>
      <c r="L8" s="241"/>
    </row>
    <row r="9" spans="2:13" ht="16.5" thickBot="1" x14ac:dyDescent="0.3">
      <c r="B9" s="241"/>
      <c r="C9" s="400"/>
      <c r="D9" s="377">
        <f>'BILL OF QUANTITIES'!G67</f>
        <v>10277.10314285714</v>
      </c>
      <c r="E9" s="1"/>
      <c r="F9" s="365">
        <f>'BILL OF QUANTITIES'!G91</f>
        <v>6196.3299747922083</v>
      </c>
      <c r="G9" s="1"/>
      <c r="H9" s="365">
        <f>'BILL OF QUANTITIES'!G133</f>
        <v>11720.994437792211</v>
      </c>
      <c r="I9" s="1"/>
      <c r="J9" s="382">
        <f>'BILL OF QUANTITIES'!G145</f>
        <v>6658.9545500000013</v>
      </c>
      <c r="K9" s="397"/>
      <c r="L9" s="241"/>
    </row>
    <row r="10" spans="2:13" ht="15.75" thickBot="1" x14ac:dyDescent="0.3">
      <c r="B10" s="241"/>
      <c r="C10" s="400"/>
      <c r="D10" s="378"/>
      <c r="E10" s="1"/>
      <c r="F10" s="1"/>
      <c r="G10" s="1"/>
      <c r="H10" s="1"/>
      <c r="I10" s="1"/>
      <c r="J10" s="379"/>
      <c r="K10" s="397"/>
      <c r="L10" s="241"/>
    </row>
    <row r="11" spans="2:13" ht="45" customHeight="1" thickBot="1" x14ac:dyDescent="0.3">
      <c r="B11" s="241"/>
      <c r="C11" s="400"/>
      <c r="D11" s="380" t="str">
        <f>'BILL OF QUANTITIES'!C147</f>
        <v>BILL 6: CAPENTRY</v>
      </c>
      <c r="E11" s="1"/>
      <c r="F11" s="370" t="str">
        <f>'BILL OF QUANTITIES'!C174</f>
        <v>BILL 7: JOINEY AND IRONMONGERY</v>
      </c>
      <c r="G11" s="1"/>
      <c r="H11" s="369" t="str">
        <f>'BILL OF QUANTITIES'!C242</f>
        <v>BILL 8: GLAZING</v>
      </c>
      <c r="I11" s="1"/>
      <c r="J11" s="381" t="str">
        <f>'BILL OF QUANTITIES'!C250</f>
        <v>BILL 9: PLASTERING AND PAINTING</v>
      </c>
      <c r="K11" s="397"/>
      <c r="L11" s="241"/>
      <c r="M11" s="1"/>
    </row>
    <row r="12" spans="2:13" ht="15.75" x14ac:dyDescent="0.25">
      <c r="B12" s="241"/>
      <c r="C12" s="400"/>
      <c r="D12" s="375" t="s">
        <v>393</v>
      </c>
      <c r="E12" s="1"/>
      <c r="F12" s="364" t="s">
        <v>393</v>
      </c>
      <c r="G12" s="1"/>
      <c r="H12" s="364" t="s">
        <v>393</v>
      </c>
      <c r="I12" s="1"/>
      <c r="J12" s="376" t="s">
        <v>393</v>
      </c>
      <c r="K12" s="397"/>
      <c r="L12" s="241"/>
    </row>
    <row r="13" spans="2:13" ht="16.5" thickBot="1" x14ac:dyDescent="0.3">
      <c r="B13" s="241"/>
      <c r="C13" s="400"/>
      <c r="D13" s="377">
        <f>'BILL OF QUANTITIES'!G172</f>
        <v>15301.224576533739</v>
      </c>
      <c r="E13" s="1"/>
      <c r="F13" s="365">
        <f>'BILL OF QUANTITIES'!G240</f>
        <v>7126.5499999999993</v>
      </c>
      <c r="G13" s="371"/>
      <c r="H13" s="365">
        <f>'BILL OF QUANTITIES'!G248</f>
        <v>1783.7017499999999</v>
      </c>
      <c r="I13" s="371"/>
      <c r="J13" s="382">
        <f>'BILL OF QUANTITIES'!G285</f>
        <v>8793.4383045454542</v>
      </c>
      <c r="K13" s="397"/>
      <c r="L13" s="241"/>
    </row>
    <row r="14" spans="2:13" ht="15.75" thickBot="1" x14ac:dyDescent="0.3">
      <c r="B14" s="241"/>
      <c r="C14" s="400"/>
      <c r="D14" s="378"/>
      <c r="E14" s="1"/>
      <c r="F14" s="1"/>
      <c r="G14" s="1"/>
      <c r="H14" s="1"/>
      <c r="I14" s="1"/>
      <c r="J14" s="379"/>
      <c r="K14" s="397"/>
      <c r="L14" s="241"/>
    </row>
    <row r="15" spans="2:13" ht="48" customHeight="1" thickBot="1" x14ac:dyDescent="0.3">
      <c r="B15" s="241"/>
      <c r="C15" s="400"/>
      <c r="D15" s="383" t="str">
        <f>'BILL OF QUANTITIES'!C287</f>
        <v>BILL 10: FLOORING</v>
      </c>
      <c r="E15" s="1"/>
      <c r="F15" s="368" t="s">
        <v>403</v>
      </c>
      <c r="G15" s="1"/>
      <c r="H15" s="394" t="s">
        <v>397</v>
      </c>
      <c r="I15" s="1"/>
      <c r="J15" s="393" t="s">
        <v>402</v>
      </c>
      <c r="K15" s="397"/>
      <c r="L15" s="241"/>
    </row>
    <row r="16" spans="2:13" ht="16.5" thickBot="1" x14ac:dyDescent="0.3">
      <c r="B16" s="241"/>
      <c r="C16" s="400"/>
      <c r="D16" s="375" t="s">
        <v>393</v>
      </c>
      <c r="E16" s="1"/>
      <c r="F16" s="107">
        <f>'BILL OF QUANTITIES'!G297</f>
        <v>70226.227466520751</v>
      </c>
      <c r="G16" s="1"/>
      <c r="H16" s="107">
        <f>'BILL OF QUANTITIES'!S297</f>
        <v>61066.284753496315</v>
      </c>
      <c r="I16" s="392"/>
      <c r="J16" s="107">
        <f>F16-H16</f>
        <v>9159.9427130244367</v>
      </c>
      <c r="K16" s="397"/>
      <c r="L16" s="241"/>
    </row>
    <row r="17" spans="2:12" ht="16.5" thickBot="1" x14ac:dyDescent="0.3">
      <c r="B17" s="241"/>
      <c r="C17" s="400"/>
      <c r="D17" s="384">
        <f>'BILL OF QUANTITIES'!G293</f>
        <v>2367.93073</v>
      </c>
      <c r="E17" s="385"/>
      <c r="F17" s="385"/>
      <c r="G17" s="385"/>
      <c r="H17" s="385"/>
      <c r="I17" s="385"/>
      <c r="J17" s="386"/>
      <c r="K17" s="397"/>
      <c r="L17" s="241"/>
    </row>
    <row r="18" spans="2:12" ht="3.75" customHeight="1" thickTop="1" thickBot="1" x14ac:dyDescent="0.3">
      <c r="B18" s="241"/>
      <c r="C18" s="398"/>
      <c r="D18" s="399"/>
      <c r="E18" s="399"/>
      <c r="F18" s="399"/>
      <c r="G18" s="399"/>
      <c r="H18" s="399"/>
      <c r="I18" s="399"/>
      <c r="J18" s="399"/>
      <c r="K18" s="401"/>
      <c r="L18" s="241"/>
    </row>
    <row r="19" spans="2:12" x14ac:dyDescent="0.25">
      <c r="B19" s="241"/>
      <c r="C19" s="241"/>
      <c r="D19" s="241"/>
      <c r="E19" s="241"/>
      <c r="F19" s="241"/>
      <c r="G19" s="241"/>
      <c r="H19" s="241"/>
      <c r="I19" s="241"/>
      <c r="J19" s="241"/>
      <c r="K19" s="241"/>
      <c r="L19" s="241"/>
    </row>
  </sheetData>
  <mergeCells count="1">
    <mergeCell ref="D4:D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32D"/>
  </sheetPr>
  <dimension ref="B2:C12"/>
  <sheetViews>
    <sheetView workbookViewId="0">
      <selection activeCell="H7" sqref="H7:H16"/>
    </sheetView>
  </sheetViews>
  <sheetFormatPr defaultRowHeight="15" x14ac:dyDescent="0.25"/>
  <cols>
    <col min="2" max="2" width="37.85546875" customWidth="1"/>
    <col min="3" max="3" width="14.7109375" customWidth="1"/>
  </cols>
  <sheetData>
    <row r="2" spans="2:3" ht="15.75" thickBot="1" x14ac:dyDescent="0.3"/>
    <row r="3" spans="2:3" ht="15.75" x14ac:dyDescent="0.25">
      <c r="B3" s="348" t="s">
        <v>376</v>
      </c>
      <c r="C3" s="351"/>
    </row>
    <row r="4" spans="2:3" ht="15.75" x14ac:dyDescent="0.25">
      <c r="B4" s="349" t="s">
        <v>377</v>
      </c>
      <c r="C4" s="352">
        <v>2.72</v>
      </c>
    </row>
    <row r="5" spans="2:3" ht="15.75" x14ac:dyDescent="0.25">
      <c r="B5" s="349" t="s">
        <v>378</v>
      </c>
      <c r="C5" s="352">
        <v>2.5099999999999998</v>
      </c>
    </row>
    <row r="6" spans="2:3" ht="15.75" x14ac:dyDescent="0.25">
      <c r="B6" s="349" t="s">
        <v>379</v>
      </c>
      <c r="C6" s="352">
        <v>2.34</v>
      </c>
    </row>
    <row r="7" spans="2:3" ht="15.75" x14ac:dyDescent="0.25">
      <c r="B7" s="349" t="s">
        <v>380</v>
      </c>
      <c r="C7" s="352">
        <v>2.15</v>
      </c>
    </row>
    <row r="8" spans="2:3" ht="15.75" x14ac:dyDescent="0.25">
      <c r="B8" s="349" t="s">
        <v>381</v>
      </c>
      <c r="C8" s="352">
        <v>2.15</v>
      </c>
    </row>
    <row r="9" spans="2:3" ht="15.75" x14ac:dyDescent="0.25">
      <c r="B9" s="349" t="s">
        <v>382</v>
      </c>
      <c r="C9" s="352">
        <v>1.65</v>
      </c>
    </row>
    <row r="10" spans="2:3" ht="15.75" x14ac:dyDescent="0.25">
      <c r="B10" s="349" t="s">
        <v>383</v>
      </c>
      <c r="C10" s="352">
        <v>1.63</v>
      </c>
    </row>
    <row r="11" spans="2:3" ht="15.75" x14ac:dyDescent="0.25">
      <c r="B11" s="349" t="s">
        <v>384</v>
      </c>
      <c r="C11" s="352">
        <v>1.58</v>
      </c>
    </row>
    <row r="12" spans="2:3" ht="16.5" thickBot="1" x14ac:dyDescent="0.3">
      <c r="B12" s="350" t="s">
        <v>385</v>
      </c>
      <c r="C12" s="353">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W107"/>
  <sheetViews>
    <sheetView showGridLines="0" topLeftCell="A10" zoomScaleNormal="100" workbookViewId="0">
      <selection sqref="A1:W107"/>
    </sheetView>
  </sheetViews>
  <sheetFormatPr defaultRowHeight="15" x14ac:dyDescent="0.25"/>
  <cols>
    <col min="1" max="1" width="1.28515625" customWidth="1"/>
    <col min="2" max="2" width="9.140625" customWidth="1"/>
    <col min="3" max="3" width="1.7109375" customWidth="1"/>
    <col min="4" max="4" width="10.85546875" customWidth="1"/>
    <col min="5" max="5" width="10.28515625" customWidth="1"/>
    <col min="6" max="6" width="10.140625" customWidth="1"/>
    <col min="8" max="8" width="1.42578125" customWidth="1"/>
    <col min="9" max="10" width="9.85546875" bestFit="1" customWidth="1"/>
    <col min="11" max="11" width="13.7109375" customWidth="1"/>
    <col min="12" max="12" width="2.42578125" customWidth="1"/>
    <col min="18" max="18" width="11.85546875" customWidth="1"/>
    <col min="19" max="19" width="11.85546875" bestFit="1" customWidth="1"/>
    <col min="21" max="21" width="9.140625" customWidth="1"/>
    <col min="23" max="23" width="1.28515625" customWidth="1"/>
    <col min="31" max="31" width="9.140625" customWidth="1"/>
  </cols>
  <sheetData>
    <row r="1" spans="1:23" ht="8.25" customHeight="1" x14ac:dyDescent="0.25">
      <c r="A1" s="425"/>
      <c r="B1" s="425"/>
      <c r="C1" s="425"/>
      <c r="D1" s="425"/>
      <c r="E1" s="425"/>
      <c r="F1" s="425"/>
      <c r="G1" s="425"/>
      <c r="H1" s="425"/>
      <c r="I1" s="425"/>
      <c r="J1" s="425"/>
      <c r="K1" s="425"/>
      <c r="L1" s="425"/>
      <c r="M1" s="425"/>
      <c r="N1" s="425"/>
      <c r="O1" s="425"/>
      <c r="P1" s="425"/>
      <c r="Q1" s="425"/>
      <c r="R1" s="425"/>
      <c r="S1" s="425"/>
      <c r="T1" s="425"/>
      <c r="U1" s="425"/>
      <c r="V1" s="425"/>
      <c r="W1" s="425"/>
    </row>
    <row r="2" spans="1:23" ht="21" customHeight="1" thickBot="1" x14ac:dyDescent="0.3">
      <c r="A2" s="425"/>
      <c r="B2" s="465"/>
      <c r="C2" s="465"/>
      <c r="D2" s="465"/>
      <c r="E2" s="465"/>
      <c r="F2" s="465"/>
      <c r="G2" s="465"/>
      <c r="H2" s="465"/>
      <c r="I2" s="465"/>
      <c r="J2" s="465"/>
      <c r="K2" s="465"/>
      <c r="L2" s="465"/>
      <c r="M2" s="465"/>
      <c r="N2" s="465"/>
      <c r="O2" s="465"/>
      <c r="P2" s="465"/>
      <c r="Q2" s="465"/>
      <c r="R2" s="465"/>
      <c r="S2" s="465"/>
      <c r="T2" s="465"/>
      <c r="U2" s="465"/>
      <c r="V2" s="465"/>
      <c r="W2" s="425"/>
    </row>
    <row r="3" spans="1:23" ht="8.25" customHeight="1" thickTop="1" x14ac:dyDescent="0.25">
      <c r="A3" s="425"/>
      <c r="B3" s="465"/>
      <c r="C3" s="465"/>
      <c r="D3" s="465"/>
      <c r="E3" s="465"/>
      <c r="F3" s="465"/>
      <c r="G3" s="465"/>
      <c r="H3" s="465"/>
      <c r="I3" s="465"/>
      <c r="J3" s="465"/>
      <c r="K3" s="465"/>
      <c r="L3" s="465"/>
      <c r="M3" s="465"/>
      <c r="N3" s="465"/>
      <c r="O3" s="465"/>
      <c r="P3" s="465"/>
      <c r="Q3" s="504"/>
      <c r="R3" s="505"/>
      <c r="S3" s="505"/>
      <c r="T3" s="505"/>
      <c r="U3" s="506"/>
      <c r="V3" s="465"/>
      <c r="W3" s="425"/>
    </row>
    <row r="4" spans="1:23" ht="18.75" x14ac:dyDescent="0.3">
      <c r="A4" s="425"/>
      <c r="B4" s="465"/>
      <c r="C4" s="465"/>
      <c r="D4" s="507"/>
      <c r="E4" s="507"/>
      <c r="F4" s="507"/>
      <c r="G4" s="507"/>
      <c r="H4" s="465"/>
      <c r="I4" s="465"/>
      <c r="J4" s="465"/>
      <c r="K4" s="465"/>
      <c r="L4" s="465"/>
      <c r="M4" s="465"/>
      <c r="N4" s="465"/>
      <c r="O4" s="465"/>
      <c r="P4" s="465"/>
      <c r="Q4" s="508"/>
      <c r="R4" s="509" t="s">
        <v>451</v>
      </c>
      <c r="S4" s="525" t="s">
        <v>398</v>
      </c>
      <c r="T4" s="525"/>
      <c r="U4" s="526"/>
      <c r="V4" s="465"/>
      <c r="W4" s="425"/>
    </row>
    <row r="5" spans="1:23" ht="41.25" customHeight="1" x14ac:dyDescent="0.7">
      <c r="A5" s="425"/>
      <c r="B5" s="465"/>
      <c r="C5" s="510"/>
      <c r="D5" s="511" t="s">
        <v>396</v>
      </c>
      <c r="E5" s="512"/>
      <c r="F5" s="507"/>
      <c r="G5" s="507"/>
      <c r="H5" s="465"/>
      <c r="I5" s="465"/>
      <c r="J5" s="465"/>
      <c r="K5" s="465"/>
      <c r="L5" s="465"/>
      <c r="M5" s="465"/>
      <c r="N5" s="465"/>
      <c r="O5" s="465"/>
      <c r="P5" s="465"/>
      <c r="Q5" s="508"/>
      <c r="R5" s="509" t="s">
        <v>452</v>
      </c>
      <c r="S5" s="513"/>
      <c r="T5" s="513"/>
      <c r="U5" s="514"/>
      <c r="V5" s="465"/>
      <c r="W5" s="425"/>
    </row>
    <row r="6" spans="1:23" ht="18.75" x14ac:dyDescent="0.3">
      <c r="A6" s="425"/>
      <c r="B6" s="465"/>
      <c r="C6" s="465"/>
      <c r="D6" s="507"/>
      <c r="E6" s="507"/>
      <c r="F6" s="507"/>
      <c r="G6" s="507"/>
      <c r="H6" s="465"/>
      <c r="I6" s="465"/>
      <c r="J6" s="465"/>
      <c r="K6" s="465"/>
      <c r="L6" s="465"/>
      <c r="M6" s="465"/>
      <c r="N6" s="465"/>
      <c r="O6" s="465"/>
      <c r="P6" s="465"/>
      <c r="Q6" s="508"/>
      <c r="R6" s="509" t="s">
        <v>453</v>
      </c>
      <c r="S6" s="524">
        <f>'PROJECT SUMMARY'!J5</f>
        <v>45292</v>
      </c>
      <c r="T6" s="513"/>
      <c r="U6" s="514"/>
      <c r="V6" s="465"/>
      <c r="W6" s="425"/>
    </row>
    <row r="7" spans="1:23" ht="9" customHeight="1" thickBot="1" x14ac:dyDescent="0.3">
      <c r="A7" s="425"/>
      <c r="B7" s="465"/>
      <c r="C7" s="465"/>
      <c r="D7" s="465"/>
      <c r="E7" s="465"/>
      <c r="F7" s="465"/>
      <c r="G7" s="465"/>
      <c r="H7" s="465"/>
      <c r="I7" s="465"/>
      <c r="J7" s="465"/>
      <c r="K7" s="465"/>
      <c r="L7" s="465"/>
      <c r="M7" s="465"/>
      <c r="N7" s="465"/>
      <c r="O7" s="465"/>
      <c r="P7" s="465"/>
      <c r="Q7" s="508"/>
      <c r="R7" s="515"/>
      <c r="S7" s="515"/>
      <c r="T7" s="515"/>
      <c r="U7" s="516"/>
      <c r="V7" s="465"/>
      <c r="W7" s="425"/>
    </row>
    <row r="8" spans="1:23" ht="17.25" thickTop="1" thickBot="1" x14ac:dyDescent="0.3">
      <c r="A8" s="425"/>
      <c r="B8" s="465"/>
      <c r="C8" s="465"/>
      <c r="D8" s="465"/>
      <c r="E8" s="465"/>
      <c r="F8" s="465"/>
      <c r="G8" s="465"/>
      <c r="H8" s="465"/>
      <c r="I8" s="465"/>
      <c r="J8" s="517" t="s">
        <v>454</v>
      </c>
      <c r="K8" s="518"/>
      <c r="L8" s="519"/>
      <c r="M8" s="519"/>
      <c r="N8" s="519"/>
      <c r="O8" s="520"/>
      <c r="P8" s="465"/>
      <c r="Q8" s="521"/>
      <c r="R8" s="522"/>
      <c r="S8" s="522"/>
      <c r="T8" s="522"/>
      <c r="U8" s="523"/>
      <c r="V8" s="465"/>
      <c r="W8" s="425"/>
    </row>
    <row r="9" spans="1:23" ht="15.75" thickTop="1" x14ac:dyDescent="0.25">
      <c r="A9" s="425"/>
      <c r="B9" s="465"/>
      <c r="C9" s="465"/>
      <c r="D9" s="465"/>
      <c r="E9" s="465"/>
      <c r="F9" s="465"/>
      <c r="G9" s="465"/>
      <c r="H9" s="465"/>
      <c r="I9" s="465"/>
      <c r="J9" s="465"/>
      <c r="K9" s="465"/>
      <c r="L9" s="465"/>
      <c r="M9" s="465"/>
      <c r="N9" s="465"/>
      <c r="O9" s="465"/>
      <c r="P9" s="465"/>
      <c r="Q9" s="465"/>
      <c r="R9" s="465"/>
      <c r="S9" s="465"/>
      <c r="T9" s="465"/>
      <c r="U9" s="465"/>
      <c r="V9" s="465"/>
      <c r="W9" s="425"/>
    </row>
    <row r="10" spans="1:23" s="424" customFormat="1" x14ac:dyDescent="0.25">
      <c r="A10" s="425"/>
      <c r="B10" s="423"/>
      <c r="C10" s="423"/>
      <c r="D10" s="423"/>
      <c r="E10" s="423"/>
      <c r="F10" s="423"/>
      <c r="G10" s="423"/>
      <c r="H10" s="423"/>
      <c r="I10" s="423"/>
      <c r="J10" s="423"/>
      <c r="K10" s="423"/>
      <c r="L10" s="423"/>
      <c r="M10" s="423"/>
      <c r="N10" s="423"/>
      <c r="O10" s="423"/>
      <c r="P10" s="423"/>
      <c r="Q10" s="423"/>
      <c r="R10" s="423"/>
      <c r="S10" s="423"/>
      <c r="T10" s="423"/>
      <c r="U10" s="423"/>
      <c r="V10" s="423"/>
      <c r="W10" s="425"/>
    </row>
    <row r="11" spans="1:23" x14ac:dyDescent="0.25">
      <c r="A11" s="425"/>
      <c r="L11" s="423"/>
      <c r="W11" s="425"/>
    </row>
    <row r="12" spans="1:23" x14ac:dyDescent="0.25">
      <c r="A12" s="425"/>
      <c r="L12" s="423"/>
      <c r="W12" s="425"/>
    </row>
    <row r="13" spans="1:23" x14ac:dyDescent="0.25">
      <c r="A13" s="425"/>
      <c r="L13" s="423"/>
      <c r="W13" s="425"/>
    </row>
    <row r="14" spans="1:23" x14ac:dyDescent="0.25">
      <c r="A14" s="425"/>
      <c r="L14" s="423"/>
      <c r="W14" s="425"/>
    </row>
    <row r="15" spans="1:23" x14ac:dyDescent="0.25">
      <c r="A15" s="425"/>
      <c r="L15" s="423"/>
      <c r="W15" s="425"/>
    </row>
    <row r="16" spans="1:23" x14ac:dyDescent="0.25">
      <c r="A16" s="425"/>
      <c r="L16" s="423"/>
      <c r="W16" s="425"/>
    </row>
    <row r="17" spans="1:23" x14ac:dyDescent="0.25">
      <c r="A17" s="425"/>
      <c r="L17" s="423"/>
      <c r="W17" s="425"/>
    </row>
    <row r="18" spans="1:23" x14ac:dyDescent="0.25">
      <c r="A18" s="425"/>
      <c r="L18" s="423"/>
      <c r="W18" s="425"/>
    </row>
    <row r="19" spans="1:23" x14ac:dyDescent="0.25">
      <c r="A19" s="425"/>
      <c r="L19" s="423"/>
      <c r="W19" s="425"/>
    </row>
    <row r="20" spans="1:23" x14ac:dyDescent="0.25">
      <c r="A20" s="425"/>
      <c r="L20" s="423"/>
      <c r="W20" s="425"/>
    </row>
    <row r="21" spans="1:23" x14ac:dyDescent="0.25">
      <c r="A21" s="425"/>
      <c r="L21" s="423"/>
      <c r="W21" s="425"/>
    </row>
    <row r="22" spans="1:23" x14ac:dyDescent="0.25">
      <c r="A22" s="425"/>
      <c r="L22" s="423"/>
      <c r="W22" s="425"/>
    </row>
    <row r="23" spans="1:23" x14ac:dyDescent="0.25">
      <c r="A23" s="425"/>
      <c r="L23" s="423"/>
      <c r="W23" s="425"/>
    </row>
    <row r="24" spans="1:23" x14ac:dyDescent="0.25">
      <c r="A24" s="425"/>
      <c r="L24" s="423"/>
      <c r="W24" s="425"/>
    </row>
    <row r="25" spans="1:23" x14ac:dyDescent="0.25">
      <c r="A25" s="425"/>
      <c r="L25" s="423"/>
      <c r="W25" s="425"/>
    </row>
    <row r="26" spans="1:23" x14ac:dyDescent="0.25">
      <c r="A26" s="425"/>
      <c r="L26" s="423"/>
      <c r="W26" s="425"/>
    </row>
    <row r="27" spans="1:23" x14ac:dyDescent="0.25">
      <c r="A27" s="425"/>
      <c r="L27" s="423"/>
      <c r="W27" s="425"/>
    </row>
    <row r="28" spans="1:23" x14ac:dyDescent="0.25">
      <c r="A28" s="425"/>
      <c r="L28" s="423"/>
      <c r="W28" s="425"/>
    </row>
    <row r="29" spans="1:23" x14ac:dyDescent="0.25">
      <c r="A29" s="425"/>
      <c r="L29" s="423"/>
      <c r="W29" s="425"/>
    </row>
    <row r="30" spans="1:23" x14ac:dyDescent="0.25">
      <c r="A30" s="425"/>
      <c r="L30" s="423"/>
      <c r="W30" s="425"/>
    </row>
    <row r="31" spans="1:23" x14ac:dyDescent="0.25">
      <c r="A31" s="425"/>
      <c r="L31" s="423"/>
      <c r="W31" s="425"/>
    </row>
    <row r="32" spans="1:23" s="424" customFormat="1" x14ac:dyDescent="0.25">
      <c r="A32" s="425"/>
      <c r="B32" s="423"/>
      <c r="C32" s="423"/>
      <c r="D32" s="423"/>
      <c r="E32" s="423"/>
      <c r="F32" s="423"/>
      <c r="G32" s="423"/>
      <c r="H32" s="423"/>
      <c r="I32" s="423"/>
      <c r="J32" s="423"/>
      <c r="K32" s="423"/>
      <c r="L32" s="423"/>
      <c r="M32" s="423"/>
      <c r="N32" s="423"/>
      <c r="O32" s="423"/>
      <c r="P32" s="423"/>
      <c r="Q32" s="423"/>
      <c r="R32" s="423"/>
      <c r="S32" s="423"/>
      <c r="T32" s="423"/>
      <c r="U32" s="423"/>
      <c r="V32" s="423"/>
      <c r="W32" s="425"/>
    </row>
    <row r="33" spans="1:23" x14ac:dyDescent="0.25">
      <c r="A33" s="425"/>
      <c r="L33" s="423"/>
      <c r="W33" s="425"/>
    </row>
    <row r="34" spans="1:23" x14ac:dyDescent="0.25">
      <c r="A34" s="425"/>
      <c r="L34" s="423"/>
      <c r="W34" s="425"/>
    </row>
    <row r="35" spans="1:23" x14ac:dyDescent="0.25">
      <c r="A35" s="425"/>
      <c r="L35" s="423"/>
      <c r="W35" s="425"/>
    </row>
    <row r="36" spans="1:23" x14ac:dyDescent="0.25">
      <c r="A36" s="425"/>
      <c r="L36" s="423"/>
      <c r="W36" s="425"/>
    </row>
    <row r="37" spans="1:23" x14ac:dyDescent="0.25">
      <c r="A37" s="425"/>
      <c r="L37" s="423"/>
      <c r="W37" s="425"/>
    </row>
    <row r="38" spans="1:23" x14ac:dyDescent="0.25">
      <c r="A38" s="425"/>
      <c r="L38" s="423"/>
      <c r="W38" s="425"/>
    </row>
    <row r="39" spans="1:23" x14ac:dyDescent="0.25">
      <c r="A39" s="425"/>
      <c r="L39" s="423"/>
      <c r="W39" s="425"/>
    </row>
    <row r="40" spans="1:23" x14ac:dyDescent="0.25">
      <c r="A40" s="425"/>
      <c r="L40" s="423"/>
      <c r="W40" s="425"/>
    </row>
    <row r="41" spans="1:23" x14ac:dyDescent="0.25">
      <c r="A41" s="425"/>
      <c r="L41" s="423"/>
      <c r="W41" s="425"/>
    </row>
    <row r="42" spans="1:23" x14ac:dyDescent="0.25">
      <c r="A42" s="425"/>
      <c r="L42" s="423"/>
      <c r="W42" s="425"/>
    </row>
    <row r="43" spans="1:23" x14ac:dyDescent="0.25">
      <c r="A43" s="425"/>
      <c r="L43" s="423"/>
      <c r="W43" s="425"/>
    </row>
    <row r="44" spans="1:23" x14ac:dyDescent="0.25">
      <c r="A44" s="425"/>
      <c r="L44" s="423"/>
      <c r="W44" s="425"/>
    </row>
    <row r="45" spans="1:23" x14ac:dyDescent="0.25">
      <c r="A45" s="425"/>
      <c r="L45" s="423"/>
      <c r="W45" s="425"/>
    </row>
    <row r="46" spans="1:23" x14ac:dyDescent="0.25">
      <c r="A46" s="425"/>
      <c r="L46" s="423"/>
      <c r="W46" s="425"/>
    </row>
    <row r="47" spans="1:23" x14ac:dyDescent="0.25">
      <c r="A47" s="425"/>
      <c r="L47" s="423"/>
      <c r="W47" s="425"/>
    </row>
    <row r="48" spans="1:23" x14ac:dyDescent="0.25">
      <c r="A48" s="425"/>
      <c r="L48" s="423"/>
      <c r="W48" s="425"/>
    </row>
    <row r="49" spans="1:23" x14ac:dyDescent="0.25">
      <c r="A49" s="425"/>
      <c r="L49" s="423"/>
      <c r="W49" s="425"/>
    </row>
    <row r="50" spans="1:23" x14ac:dyDescent="0.25">
      <c r="A50" s="425"/>
      <c r="L50" s="423"/>
      <c r="W50" s="425"/>
    </row>
    <row r="51" spans="1:23" x14ac:dyDescent="0.25">
      <c r="A51" s="425"/>
      <c r="L51" s="423"/>
      <c r="W51" s="425"/>
    </row>
    <row r="52" spans="1:23" x14ac:dyDescent="0.25">
      <c r="A52" s="425"/>
      <c r="L52" s="423"/>
      <c r="W52" s="425"/>
    </row>
    <row r="53" spans="1:23" x14ac:dyDescent="0.25">
      <c r="A53" s="425"/>
      <c r="L53" s="423"/>
      <c r="W53" s="425"/>
    </row>
    <row r="54" spans="1:23" x14ac:dyDescent="0.25">
      <c r="A54" s="425"/>
      <c r="L54" s="423"/>
      <c r="W54" s="425"/>
    </row>
    <row r="55" spans="1:23" s="424" customFormat="1" x14ac:dyDescent="0.25">
      <c r="A55" s="425"/>
      <c r="B55" s="423"/>
      <c r="C55" s="423"/>
      <c r="D55" s="423"/>
      <c r="E55" s="423"/>
      <c r="F55" s="423"/>
      <c r="G55" s="423"/>
      <c r="H55" s="423"/>
      <c r="I55" s="423"/>
      <c r="J55" s="423"/>
      <c r="K55" s="423"/>
      <c r="L55" s="423"/>
      <c r="M55" s="423"/>
      <c r="N55" s="423"/>
      <c r="O55" s="423"/>
      <c r="P55" s="423"/>
      <c r="Q55" s="423"/>
      <c r="R55" s="423"/>
      <c r="S55" s="423"/>
      <c r="T55" s="423"/>
      <c r="U55" s="423"/>
      <c r="V55" s="423"/>
      <c r="W55" s="425"/>
    </row>
    <row r="56" spans="1:23" x14ac:dyDescent="0.25">
      <c r="A56" s="425"/>
      <c r="L56" s="423"/>
      <c r="W56" s="425"/>
    </row>
    <row r="57" spans="1:23" x14ac:dyDescent="0.25">
      <c r="A57" s="425"/>
      <c r="L57" s="423"/>
      <c r="W57" s="425"/>
    </row>
    <row r="58" spans="1:23" x14ac:dyDescent="0.25">
      <c r="A58" s="425"/>
      <c r="L58" s="423"/>
      <c r="W58" s="425"/>
    </row>
    <row r="59" spans="1:23" x14ac:dyDescent="0.25">
      <c r="A59" s="425"/>
      <c r="L59" s="423"/>
      <c r="W59" s="425"/>
    </row>
    <row r="60" spans="1:23" x14ac:dyDescent="0.25">
      <c r="A60" s="425"/>
      <c r="L60" s="423"/>
      <c r="W60" s="425"/>
    </row>
    <row r="61" spans="1:23" x14ac:dyDescent="0.25">
      <c r="A61" s="425"/>
      <c r="L61" s="423"/>
      <c r="W61" s="425"/>
    </row>
    <row r="62" spans="1:23" x14ac:dyDescent="0.25">
      <c r="A62" s="425"/>
      <c r="L62" s="423"/>
      <c r="W62" s="425"/>
    </row>
    <row r="63" spans="1:23" x14ac:dyDescent="0.25">
      <c r="A63" s="425"/>
      <c r="L63" s="423"/>
      <c r="W63" s="425"/>
    </row>
    <row r="64" spans="1:23" x14ac:dyDescent="0.25">
      <c r="A64" s="425"/>
      <c r="L64" s="423"/>
      <c r="W64" s="425"/>
    </row>
    <row r="65" spans="1:23" x14ac:dyDescent="0.25">
      <c r="A65" s="425"/>
      <c r="L65" s="423"/>
      <c r="W65" s="425"/>
    </row>
    <row r="66" spans="1:23" x14ac:dyDescent="0.25">
      <c r="A66" s="425"/>
      <c r="L66" s="423"/>
      <c r="W66" s="425"/>
    </row>
    <row r="67" spans="1:23" x14ac:dyDescent="0.25">
      <c r="A67" s="425"/>
      <c r="L67" s="423"/>
      <c r="W67" s="425"/>
    </row>
    <row r="68" spans="1:23" x14ac:dyDescent="0.25">
      <c r="A68" s="425"/>
      <c r="L68" s="423"/>
      <c r="W68" s="425"/>
    </row>
    <row r="69" spans="1:23" x14ac:dyDescent="0.25">
      <c r="A69" s="425"/>
      <c r="L69" s="423"/>
      <c r="W69" s="425"/>
    </row>
    <row r="70" spans="1:23" x14ac:dyDescent="0.25">
      <c r="A70" s="425"/>
      <c r="L70" s="423"/>
      <c r="W70" s="425"/>
    </row>
    <row r="71" spans="1:23" x14ac:dyDescent="0.25">
      <c r="A71" s="425"/>
      <c r="L71" s="423"/>
      <c r="W71" s="425"/>
    </row>
    <row r="72" spans="1:23" x14ac:dyDescent="0.25">
      <c r="A72" s="425"/>
      <c r="L72" s="423"/>
      <c r="W72" s="425"/>
    </row>
    <row r="73" spans="1:23" x14ac:dyDescent="0.25">
      <c r="A73" s="425"/>
      <c r="L73" s="423"/>
      <c r="W73" s="425"/>
    </row>
    <row r="74" spans="1:23" x14ac:dyDescent="0.25">
      <c r="A74" s="425"/>
      <c r="L74" s="423"/>
      <c r="W74" s="425"/>
    </row>
    <row r="75" spans="1:23" x14ac:dyDescent="0.25">
      <c r="A75" s="425"/>
      <c r="L75" s="423"/>
      <c r="W75" s="425"/>
    </row>
    <row r="76" spans="1:23" x14ac:dyDescent="0.25">
      <c r="A76" s="425"/>
      <c r="L76" s="423"/>
      <c r="W76" s="425"/>
    </row>
    <row r="77" spans="1:23" x14ac:dyDescent="0.25">
      <c r="A77" s="425"/>
      <c r="B77" s="423"/>
      <c r="C77" s="423"/>
      <c r="D77" s="423"/>
      <c r="E77" s="423"/>
      <c r="F77" s="423"/>
      <c r="G77" s="423"/>
      <c r="H77" s="423"/>
      <c r="I77" s="423"/>
      <c r="J77" s="423"/>
      <c r="K77" s="423"/>
      <c r="L77" s="423"/>
      <c r="W77" s="425"/>
    </row>
    <row r="78" spans="1:23" x14ac:dyDescent="0.25">
      <c r="A78" s="425"/>
      <c r="W78" s="425"/>
    </row>
    <row r="79" spans="1:23" ht="7.5" customHeight="1" x14ac:dyDescent="0.25">
      <c r="A79" s="425"/>
      <c r="B79" s="425"/>
      <c r="C79" s="464"/>
      <c r="D79" s="425"/>
      <c r="E79" s="425"/>
      <c r="F79" s="425"/>
      <c r="G79" s="425"/>
      <c r="H79" s="425"/>
      <c r="I79" s="425"/>
      <c r="J79" s="425"/>
      <c r="K79" s="425"/>
      <c r="L79" s="425"/>
      <c r="M79" s="425"/>
      <c r="N79" s="425"/>
      <c r="O79" s="425"/>
      <c r="P79" s="425"/>
      <c r="Q79" s="425"/>
      <c r="R79" s="425"/>
      <c r="S79" s="425"/>
      <c r="T79" s="425"/>
      <c r="U79" s="425"/>
      <c r="V79" s="425"/>
      <c r="W79" s="464"/>
    </row>
    <row r="80" spans="1:23" ht="22.5" customHeight="1" x14ac:dyDescent="0.25">
      <c r="A80" s="464"/>
      <c r="C80" s="464"/>
      <c r="W80" s="464"/>
    </row>
    <row r="81" spans="1:23" ht="5.25" customHeight="1" x14ac:dyDescent="0.25">
      <c r="A81" s="464"/>
      <c r="C81" s="464"/>
      <c r="J81" s="471"/>
      <c r="K81" s="471"/>
      <c r="L81" s="471"/>
      <c r="M81" s="471"/>
      <c r="N81" s="471"/>
      <c r="O81" s="471"/>
      <c r="P81" s="471"/>
      <c r="Q81" s="471"/>
      <c r="W81" s="464"/>
    </row>
    <row r="82" spans="1:23" ht="33" customHeight="1" x14ac:dyDescent="0.5">
      <c r="A82" s="464"/>
      <c r="C82" s="464"/>
      <c r="J82" s="468" t="s">
        <v>534</v>
      </c>
      <c r="K82" s="468"/>
      <c r="L82" s="468"/>
      <c r="M82" s="468"/>
      <c r="N82" s="468"/>
      <c r="O82" s="468"/>
      <c r="P82" s="468"/>
      <c r="Q82" s="468"/>
      <c r="W82" s="464"/>
    </row>
    <row r="83" spans="1:23" ht="5.25" customHeight="1" x14ac:dyDescent="0.5">
      <c r="A83" s="464"/>
      <c r="C83" s="464"/>
      <c r="J83" s="502"/>
      <c r="K83" s="502"/>
      <c r="L83" s="502"/>
      <c r="M83" s="502"/>
      <c r="N83" s="502"/>
      <c r="O83" s="502"/>
      <c r="P83" s="502"/>
      <c r="Q83" s="502"/>
      <c r="W83" s="464"/>
    </row>
    <row r="84" spans="1:23" x14ac:dyDescent="0.25">
      <c r="A84" s="464"/>
      <c r="C84" s="464"/>
      <c r="W84" s="464"/>
    </row>
    <row r="85" spans="1:23" x14ac:dyDescent="0.25">
      <c r="A85" s="464"/>
      <c r="C85" s="464"/>
      <c r="D85" s="241"/>
      <c r="E85" s="241"/>
      <c r="F85" s="241"/>
      <c r="G85" s="241"/>
      <c r="H85" s="241"/>
      <c r="I85" s="241"/>
      <c r="J85" s="241"/>
      <c r="K85" s="241"/>
      <c r="L85" s="241"/>
      <c r="M85" s="241"/>
      <c r="N85" s="241"/>
      <c r="O85" s="241"/>
      <c r="P85" s="241"/>
      <c r="Q85" s="241"/>
      <c r="R85" s="241"/>
      <c r="S85" s="241"/>
      <c r="T85" s="241"/>
      <c r="U85" s="241"/>
      <c r="V85" s="241"/>
      <c r="W85" s="464"/>
    </row>
    <row r="86" spans="1:23" x14ac:dyDescent="0.25">
      <c r="A86" s="464"/>
      <c r="C86" s="464"/>
      <c r="D86" s="456" t="s">
        <v>529</v>
      </c>
      <c r="E86" s="456"/>
      <c r="F86" s="456" t="s">
        <v>533</v>
      </c>
      <c r="G86" s="456"/>
      <c r="H86" s="241"/>
      <c r="I86" s="241"/>
      <c r="J86" s="241"/>
      <c r="K86" s="241"/>
      <c r="L86" s="241"/>
      <c r="M86" s="241"/>
      <c r="N86" s="241"/>
      <c r="O86" s="241"/>
      <c r="P86" s="241"/>
      <c r="Q86" s="241"/>
      <c r="R86" s="241"/>
      <c r="S86" s="241"/>
      <c r="T86" s="241"/>
      <c r="U86" s="241"/>
      <c r="V86" s="241"/>
      <c r="W86" s="464"/>
    </row>
    <row r="87" spans="1:23" x14ac:dyDescent="0.25">
      <c r="A87" s="464"/>
      <c r="C87" s="464"/>
      <c r="D87" s="456" t="s">
        <v>530</v>
      </c>
      <c r="E87" s="456"/>
      <c r="F87" s="501">
        <f>I94</f>
        <v>45292</v>
      </c>
      <c r="G87" s="241"/>
      <c r="H87" s="241"/>
      <c r="I87" s="241"/>
      <c r="J87" s="241"/>
      <c r="K87" s="241"/>
      <c r="L87" s="241"/>
      <c r="M87" s="241"/>
      <c r="N87" s="241"/>
      <c r="O87" s="241"/>
      <c r="P87" s="241"/>
      <c r="Q87" s="241"/>
      <c r="R87" s="241"/>
      <c r="S87" s="241"/>
      <c r="T87" s="241"/>
      <c r="U87" s="241"/>
      <c r="V87" s="241"/>
      <c r="W87" s="464"/>
    </row>
    <row r="88" spans="1:23" x14ac:dyDescent="0.25">
      <c r="A88" s="464"/>
      <c r="C88" s="464"/>
      <c r="D88" s="456" t="s">
        <v>531</v>
      </c>
      <c r="E88" s="456"/>
      <c r="F88" s="501">
        <f>I95</f>
        <v>45306</v>
      </c>
      <c r="G88" s="241"/>
      <c r="H88" s="241"/>
      <c r="I88" s="241"/>
      <c r="J88" s="241"/>
      <c r="K88" s="241"/>
      <c r="L88" s="241"/>
      <c r="M88" s="241"/>
      <c r="N88" s="241"/>
      <c r="O88" s="241"/>
      <c r="P88" s="241"/>
      <c r="Q88" s="241"/>
      <c r="R88" s="241"/>
      <c r="S88" s="241"/>
      <c r="T88" s="241"/>
      <c r="U88" s="241"/>
      <c r="V88" s="241"/>
      <c r="W88" s="464"/>
    </row>
    <row r="89" spans="1:23" x14ac:dyDescent="0.25">
      <c r="A89" s="464"/>
      <c r="C89" s="464"/>
      <c r="D89" s="457" t="s">
        <v>532</v>
      </c>
      <c r="E89" s="457"/>
      <c r="F89" s="467">
        <f>ROUNDUP((F88-F87)/7,0)</f>
        <v>2</v>
      </c>
      <c r="G89" s="241"/>
      <c r="H89" s="241"/>
      <c r="I89" s="241"/>
      <c r="J89" s="241"/>
      <c r="K89" s="241"/>
      <c r="L89" s="241"/>
      <c r="M89" s="241"/>
      <c r="N89" s="241"/>
      <c r="O89" s="241"/>
      <c r="P89" s="241"/>
      <c r="Q89" s="241"/>
      <c r="R89" s="241"/>
      <c r="S89" s="241"/>
      <c r="T89" s="241"/>
      <c r="U89" s="241"/>
      <c r="V89" s="241"/>
      <c r="W89" s="464"/>
    </row>
    <row r="90" spans="1:23" ht="15.75" thickBot="1" x14ac:dyDescent="0.3">
      <c r="A90" s="464"/>
      <c r="C90" s="464"/>
      <c r="D90" s="466"/>
      <c r="E90" s="466"/>
      <c r="F90" s="457"/>
      <c r="G90" s="241"/>
      <c r="H90" s="241"/>
      <c r="I90" s="241"/>
      <c r="J90" s="241"/>
      <c r="K90" s="241"/>
      <c r="L90" s="241"/>
      <c r="M90" s="241"/>
      <c r="N90" s="241"/>
      <c r="O90" s="241"/>
      <c r="P90" s="241"/>
      <c r="Q90" s="241"/>
      <c r="R90" s="241"/>
      <c r="S90" s="241"/>
      <c r="T90" s="241"/>
      <c r="U90" s="241"/>
      <c r="V90" s="241"/>
      <c r="W90" s="464"/>
    </row>
    <row r="91" spans="1:23" ht="54" thickTop="1" thickBot="1" x14ac:dyDescent="0.3">
      <c r="A91" s="464"/>
      <c r="C91" s="464"/>
      <c r="D91" s="466"/>
      <c r="E91" s="466"/>
      <c r="F91" s="241"/>
      <c r="G91" s="241"/>
      <c r="H91" s="241"/>
      <c r="I91" s="241"/>
      <c r="J91" s="241"/>
      <c r="K91" s="241"/>
      <c r="L91" s="241"/>
      <c r="M91" s="241"/>
      <c r="N91" s="479">
        <f>F87</f>
        <v>45292</v>
      </c>
      <c r="O91" s="479">
        <f>N91+22</f>
        <v>45314</v>
      </c>
      <c r="P91" s="479">
        <f t="shared" ref="P91:W91" si="0">O91+22</f>
        <v>45336</v>
      </c>
      <c r="Q91" s="479">
        <f t="shared" si="0"/>
        <v>45358</v>
      </c>
      <c r="R91" s="479">
        <f t="shared" si="0"/>
        <v>45380</v>
      </c>
      <c r="S91" s="479">
        <f t="shared" si="0"/>
        <v>45402</v>
      </c>
      <c r="T91" s="479">
        <f t="shared" si="0"/>
        <v>45424</v>
      </c>
      <c r="U91" s="479">
        <f t="shared" si="0"/>
        <v>45446</v>
      </c>
      <c r="V91" s="480">
        <f t="shared" si="0"/>
        <v>45468</v>
      </c>
      <c r="W91" s="478">
        <f t="shared" si="0"/>
        <v>45490</v>
      </c>
    </row>
    <row r="92" spans="1:23" s="120" customFormat="1" ht="16.5" thickTop="1" thickBot="1" x14ac:dyDescent="0.3">
      <c r="A92" s="470"/>
      <c r="C92" s="470"/>
      <c r="D92" s="458" t="s">
        <v>404</v>
      </c>
      <c r="E92" s="459" t="s">
        <v>507</v>
      </c>
      <c r="F92" s="459"/>
      <c r="G92" s="459"/>
      <c r="H92" s="460"/>
      <c r="I92" s="461" t="s">
        <v>508</v>
      </c>
      <c r="J92" s="461" t="s">
        <v>509</v>
      </c>
      <c r="K92" s="462" t="s">
        <v>528</v>
      </c>
      <c r="L92" s="463"/>
      <c r="M92" s="473" t="s">
        <v>527</v>
      </c>
      <c r="N92" s="472">
        <v>1</v>
      </c>
      <c r="O92" s="472">
        <f>N92+1</f>
        <v>2</v>
      </c>
      <c r="P92" s="472">
        <f t="shared" ref="P92:V92" si="1">O92+1</f>
        <v>3</v>
      </c>
      <c r="Q92" s="472">
        <f t="shared" si="1"/>
        <v>4</v>
      </c>
      <c r="R92" s="472">
        <f t="shared" si="1"/>
        <v>5</v>
      </c>
      <c r="S92" s="472">
        <f t="shared" si="1"/>
        <v>6</v>
      </c>
      <c r="T92" s="472">
        <f t="shared" si="1"/>
        <v>7</v>
      </c>
      <c r="U92" s="472">
        <f t="shared" si="1"/>
        <v>8</v>
      </c>
      <c r="V92" s="472">
        <f t="shared" si="1"/>
        <v>9</v>
      </c>
      <c r="W92" s="470"/>
    </row>
    <row r="93" spans="1:23" s="120" customFormat="1" ht="16.5" thickTop="1" thickBot="1" x14ac:dyDescent="0.3">
      <c r="A93" s="470"/>
      <c r="C93" s="470"/>
      <c r="D93" s="474"/>
      <c r="E93" s="469"/>
      <c r="F93" s="469"/>
      <c r="G93" s="469"/>
      <c r="H93" s="469"/>
      <c r="I93" s="475"/>
      <c r="J93" s="475"/>
      <c r="K93" s="474"/>
      <c r="L93" s="476"/>
      <c r="M93" s="477"/>
      <c r="N93" s="469"/>
      <c r="O93" s="469"/>
      <c r="P93" s="469"/>
      <c r="Q93" s="469"/>
      <c r="R93" s="469"/>
      <c r="S93" s="469"/>
      <c r="T93" s="469"/>
      <c r="U93" s="469"/>
      <c r="V93" s="469"/>
      <c r="W93" s="470"/>
    </row>
    <row r="94" spans="1:23" s="120" customFormat="1" x14ac:dyDescent="0.25">
      <c r="A94" s="470"/>
      <c r="C94" s="470"/>
      <c r="D94" s="492"/>
      <c r="E94" s="493" t="s">
        <v>510</v>
      </c>
      <c r="F94" s="493"/>
      <c r="G94" s="493"/>
      <c r="H94" s="494"/>
      <c r="I94" s="495">
        <v>45292</v>
      </c>
      <c r="J94" s="495">
        <v>45307</v>
      </c>
      <c r="K94" s="496">
        <f>NETWORKDAYS(I94,J94)</f>
        <v>12</v>
      </c>
      <c r="L94" s="490"/>
      <c r="M94" s="482">
        <v>0.7</v>
      </c>
      <c r="N94" s="483"/>
      <c r="O94" s="483"/>
      <c r="P94" s="483"/>
      <c r="Q94" s="483"/>
      <c r="R94" s="483"/>
      <c r="S94" s="483"/>
      <c r="T94" s="483"/>
      <c r="U94" s="483"/>
      <c r="V94" s="484"/>
      <c r="W94" s="470"/>
    </row>
    <row r="95" spans="1:23" x14ac:dyDescent="0.25">
      <c r="A95" s="464"/>
      <c r="C95" s="464"/>
      <c r="D95" s="134">
        <v>2</v>
      </c>
      <c r="E95" s="453" t="s">
        <v>413</v>
      </c>
      <c r="F95" s="453"/>
      <c r="G95" s="453"/>
      <c r="H95" s="60"/>
      <c r="I95" s="452">
        <v>45306</v>
      </c>
      <c r="J95" s="452">
        <v>45319</v>
      </c>
      <c r="K95" s="497">
        <f t="shared" ref="K95:K104" si="2">NETWORKDAYS(I95,J95)</f>
        <v>10</v>
      </c>
      <c r="L95" s="491"/>
      <c r="M95" s="485">
        <v>0.6</v>
      </c>
      <c r="N95" s="481"/>
      <c r="O95" s="481"/>
      <c r="P95" s="481"/>
      <c r="Q95" s="481"/>
      <c r="R95" s="481"/>
      <c r="S95" s="481"/>
      <c r="T95" s="481"/>
      <c r="U95" s="481"/>
      <c r="V95" s="486"/>
      <c r="W95" s="464"/>
    </row>
    <row r="96" spans="1:23" x14ac:dyDescent="0.25">
      <c r="A96" s="464"/>
      <c r="C96" s="464"/>
      <c r="D96" s="134">
        <v>3</v>
      </c>
      <c r="E96" s="454" t="s">
        <v>405</v>
      </c>
      <c r="F96" s="454"/>
      <c r="G96" s="454"/>
      <c r="H96" s="60"/>
      <c r="I96" s="452">
        <v>45320</v>
      </c>
      <c r="J96" s="452">
        <v>45332</v>
      </c>
      <c r="K96" s="497">
        <f t="shared" si="2"/>
        <v>10</v>
      </c>
      <c r="L96" s="491"/>
      <c r="M96" s="485">
        <v>0.65</v>
      </c>
      <c r="N96" s="481"/>
      <c r="O96" s="481"/>
      <c r="P96" s="481"/>
      <c r="Q96" s="481"/>
      <c r="R96" s="481"/>
      <c r="S96" s="481"/>
      <c r="T96" s="481"/>
      <c r="U96" s="481"/>
      <c r="V96" s="486"/>
      <c r="W96" s="464"/>
    </row>
    <row r="97" spans="1:23" x14ac:dyDescent="0.25">
      <c r="A97" s="464"/>
      <c r="C97" s="464"/>
      <c r="D97" s="134">
        <v>4</v>
      </c>
      <c r="E97" s="455" t="s">
        <v>406</v>
      </c>
      <c r="F97" s="455"/>
      <c r="G97" s="455"/>
      <c r="H97" s="60"/>
      <c r="I97" s="452">
        <v>45332</v>
      </c>
      <c r="J97" s="452">
        <v>45366</v>
      </c>
      <c r="K97" s="497">
        <f t="shared" si="2"/>
        <v>25</v>
      </c>
      <c r="L97" s="491"/>
      <c r="M97" s="485">
        <v>0.5</v>
      </c>
      <c r="N97" s="481"/>
      <c r="O97" s="481"/>
      <c r="P97" s="481"/>
      <c r="Q97" s="481"/>
      <c r="R97" s="481"/>
      <c r="S97" s="481"/>
      <c r="T97" s="481"/>
      <c r="U97" s="481"/>
      <c r="V97" s="486"/>
      <c r="W97" s="464"/>
    </row>
    <row r="98" spans="1:23" x14ac:dyDescent="0.25">
      <c r="A98" s="464"/>
      <c r="C98" s="464"/>
      <c r="D98" s="134">
        <v>5</v>
      </c>
      <c r="E98" s="455" t="s">
        <v>407</v>
      </c>
      <c r="F98" s="455"/>
      <c r="G98" s="455"/>
      <c r="H98" s="60"/>
      <c r="I98" s="452">
        <v>45367</v>
      </c>
      <c r="J98" s="452">
        <v>45376</v>
      </c>
      <c r="K98" s="497">
        <f t="shared" si="2"/>
        <v>6</v>
      </c>
      <c r="L98" s="491"/>
      <c r="M98" s="485">
        <v>0.45</v>
      </c>
      <c r="N98" s="481"/>
      <c r="O98" s="481"/>
      <c r="P98" s="481"/>
      <c r="Q98" s="481"/>
      <c r="R98" s="481"/>
      <c r="S98" s="481"/>
      <c r="T98" s="481"/>
      <c r="U98" s="481"/>
      <c r="V98" s="486"/>
      <c r="W98" s="464"/>
    </row>
    <row r="99" spans="1:23" x14ac:dyDescent="0.25">
      <c r="A99" s="464"/>
      <c r="C99" s="464"/>
      <c r="D99" s="134">
        <v>6</v>
      </c>
      <c r="E99" s="455" t="s">
        <v>408</v>
      </c>
      <c r="F99" s="455"/>
      <c r="G99" s="455"/>
      <c r="H99" s="60"/>
      <c r="I99" s="452">
        <v>45377</v>
      </c>
      <c r="J99" s="452">
        <v>45389</v>
      </c>
      <c r="K99" s="497">
        <f t="shared" si="2"/>
        <v>9</v>
      </c>
      <c r="L99" s="491"/>
      <c r="M99" s="485">
        <v>0.5</v>
      </c>
      <c r="N99" s="481"/>
      <c r="O99" s="481"/>
      <c r="P99" s="481"/>
      <c r="Q99" s="481"/>
      <c r="R99" s="481"/>
      <c r="S99" s="481"/>
      <c r="T99" s="481"/>
      <c r="U99" s="481"/>
      <c r="V99" s="486"/>
      <c r="W99" s="464"/>
    </row>
    <row r="100" spans="1:23" x14ac:dyDescent="0.25">
      <c r="A100" s="464"/>
      <c r="C100" s="464"/>
      <c r="D100" s="134">
        <v>7</v>
      </c>
      <c r="E100" s="455" t="s">
        <v>409</v>
      </c>
      <c r="F100" s="455"/>
      <c r="G100" s="455"/>
      <c r="H100" s="60"/>
      <c r="I100" s="452">
        <v>45390</v>
      </c>
      <c r="J100" s="452">
        <v>45400</v>
      </c>
      <c r="K100" s="497">
        <f t="shared" si="2"/>
        <v>9</v>
      </c>
      <c r="L100" s="491"/>
      <c r="M100" s="485">
        <v>0.45</v>
      </c>
      <c r="N100" s="481"/>
      <c r="O100" s="481"/>
      <c r="P100" s="481"/>
      <c r="Q100" s="481"/>
      <c r="R100" s="481"/>
      <c r="S100" s="481"/>
      <c r="T100" s="481"/>
      <c r="U100" s="481"/>
      <c r="V100" s="486"/>
      <c r="W100" s="464"/>
    </row>
    <row r="101" spans="1:23" x14ac:dyDescent="0.25">
      <c r="A101" s="464"/>
      <c r="C101" s="464"/>
      <c r="D101" s="134">
        <v>8</v>
      </c>
      <c r="E101" s="453" t="s">
        <v>410</v>
      </c>
      <c r="F101" s="453"/>
      <c r="G101" s="453"/>
      <c r="H101" s="60"/>
      <c r="I101" s="452">
        <v>45401</v>
      </c>
      <c r="J101" s="452">
        <v>45410</v>
      </c>
      <c r="K101" s="497">
        <f t="shared" si="2"/>
        <v>6</v>
      </c>
      <c r="L101" s="491"/>
      <c r="M101" s="485">
        <v>0.2</v>
      </c>
      <c r="N101" s="481"/>
      <c r="O101" s="481"/>
      <c r="P101" s="481"/>
      <c r="Q101" s="481"/>
      <c r="R101" s="481"/>
      <c r="S101" s="481"/>
      <c r="T101" s="481"/>
      <c r="U101" s="481"/>
      <c r="V101" s="486"/>
      <c r="W101" s="464"/>
    </row>
    <row r="102" spans="1:23" x14ac:dyDescent="0.25">
      <c r="A102" s="464"/>
      <c r="C102" s="464"/>
      <c r="D102" s="134">
        <v>9</v>
      </c>
      <c r="E102" s="453" t="s">
        <v>411</v>
      </c>
      <c r="F102" s="453"/>
      <c r="G102" s="453"/>
      <c r="H102" s="60"/>
      <c r="I102" s="452">
        <v>45441</v>
      </c>
      <c r="J102" s="452">
        <v>45454</v>
      </c>
      <c r="K102" s="497">
        <f t="shared" si="2"/>
        <v>10</v>
      </c>
      <c r="L102" s="491"/>
      <c r="M102" s="485">
        <v>0.26</v>
      </c>
      <c r="N102" s="481"/>
      <c r="O102" s="481"/>
      <c r="P102" s="481"/>
      <c r="Q102" s="481"/>
      <c r="R102" s="481"/>
      <c r="S102" s="481"/>
      <c r="T102" s="481"/>
      <c r="U102" s="481"/>
      <c r="V102" s="486"/>
      <c r="W102" s="464"/>
    </row>
    <row r="103" spans="1:23" x14ac:dyDescent="0.25">
      <c r="A103" s="464"/>
      <c r="C103" s="464"/>
      <c r="D103" s="134">
        <v>10</v>
      </c>
      <c r="E103" s="453" t="s">
        <v>412</v>
      </c>
      <c r="F103" s="453"/>
      <c r="G103" s="453"/>
      <c r="H103" s="60"/>
      <c r="I103" s="452">
        <v>45455</v>
      </c>
      <c r="J103" s="452">
        <v>45461</v>
      </c>
      <c r="K103" s="497">
        <f t="shared" si="2"/>
        <v>5</v>
      </c>
      <c r="L103" s="491"/>
      <c r="M103" s="485">
        <v>0.05</v>
      </c>
      <c r="N103" s="481"/>
      <c r="O103" s="481"/>
      <c r="P103" s="481"/>
      <c r="Q103" s="481"/>
      <c r="R103" s="481"/>
      <c r="S103" s="481"/>
      <c r="T103" s="481"/>
      <c r="U103" s="481"/>
      <c r="V103" s="486"/>
      <c r="W103" s="464"/>
    </row>
    <row r="104" spans="1:23" ht="15.75" thickBot="1" x14ac:dyDescent="0.3">
      <c r="A104" s="464"/>
      <c r="C104" s="464"/>
      <c r="D104" s="128"/>
      <c r="E104" s="498" t="s">
        <v>440</v>
      </c>
      <c r="F104" s="498"/>
      <c r="G104" s="498"/>
      <c r="H104" s="103"/>
      <c r="I104" s="499">
        <v>45462</v>
      </c>
      <c r="J104" s="499">
        <v>45468</v>
      </c>
      <c r="K104" s="500">
        <f t="shared" si="2"/>
        <v>5</v>
      </c>
      <c r="L104" s="491"/>
      <c r="M104" s="487">
        <v>0.1</v>
      </c>
      <c r="N104" s="488"/>
      <c r="O104" s="488"/>
      <c r="P104" s="488"/>
      <c r="Q104" s="488"/>
      <c r="R104" s="488"/>
      <c r="S104" s="488"/>
      <c r="T104" s="488"/>
      <c r="U104" s="488"/>
      <c r="V104" s="489"/>
      <c r="W104" s="464"/>
    </row>
    <row r="105" spans="1:23" x14ac:dyDescent="0.25">
      <c r="A105" s="464"/>
      <c r="W105" s="464"/>
    </row>
    <row r="106" spans="1:23" x14ac:dyDescent="0.25">
      <c r="A106" s="464"/>
      <c r="W106" s="464"/>
    </row>
    <row r="107" spans="1:23" ht="7.5" customHeight="1" x14ac:dyDescent="0.25">
      <c r="A107" s="425"/>
      <c r="B107" s="425"/>
      <c r="C107" s="425"/>
      <c r="D107" s="425"/>
      <c r="E107" s="425"/>
      <c r="F107" s="425"/>
      <c r="G107" s="425"/>
      <c r="H107" s="425"/>
      <c r="I107" s="425"/>
      <c r="J107" s="425"/>
      <c r="K107" s="425"/>
      <c r="L107" s="425"/>
      <c r="M107" s="425"/>
      <c r="N107" s="425"/>
      <c r="O107" s="425"/>
      <c r="P107" s="425"/>
      <c r="Q107" s="425"/>
      <c r="R107" s="425"/>
      <c r="S107" s="425"/>
      <c r="T107" s="425"/>
      <c r="U107" s="425"/>
      <c r="V107" s="425"/>
      <c r="W107" s="464"/>
    </row>
  </sheetData>
  <mergeCells count="19">
    <mergeCell ref="E104:G104"/>
    <mergeCell ref="E95:G95"/>
    <mergeCell ref="E92:G92"/>
    <mergeCell ref="E94:G94"/>
    <mergeCell ref="D86:E86"/>
    <mergeCell ref="D87:E87"/>
    <mergeCell ref="D88:E88"/>
    <mergeCell ref="F86:G86"/>
    <mergeCell ref="E99:G99"/>
    <mergeCell ref="E100:G100"/>
    <mergeCell ref="E101:G101"/>
    <mergeCell ref="E102:G102"/>
    <mergeCell ref="E103:G103"/>
    <mergeCell ref="S4:U4"/>
    <mergeCell ref="J8:K8"/>
    <mergeCell ref="E96:G96"/>
    <mergeCell ref="E97:G97"/>
    <mergeCell ref="E98:G98"/>
    <mergeCell ref="J82:Q82"/>
  </mergeCells>
  <conditionalFormatting sqref="N94:V104">
    <cfRule type="expression" dxfId="2" priority="2">
      <formula>AND(N$91&gt;=$I94,N$91&lt;=$I94+($K94*$M94)-1)</formula>
    </cfRule>
    <cfRule type="expression" dxfId="1" priority="4">
      <formula>AND(N$91&gt;=$I94,N$91&lt;=$J94)</formula>
    </cfRule>
  </conditionalFormatting>
  <conditionalFormatting sqref="M94:M104">
    <cfRule type="dataBar" priority="3">
      <dataBar>
        <cfvo type="num" val="0"/>
        <cfvo type="num" val="1"/>
        <color rgb="FF638EC6"/>
      </dataBar>
      <extLst>
        <ext xmlns:x14="http://schemas.microsoft.com/office/spreadsheetml/2009/9/main" uri="{B025F937-C7B1-47D3-B67F-A62EFF666E3E}">
          <x14:id>{72B97934-CF08-49D2-A27C-550CD2E49104}</x14:id>
        </ext>
      </extLst>
    </cfRule>
  </conditionalFormatting>
  <conditionalFormatting sqref="N91:V104">
    <cfRule type="expression" dxfId="0" priority="1">
      <formula>N$91=$F$89</formula>
    </cfRule>
  </conditionalFormatting>
  <pageMargins left="0.25" right="0.25"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72B97934-CF08-49D2-A27C-550CD2E49104}">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M94:M104</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G21"/>
  <sheetViews>
    <sheetView showWhiteSpace="0" view="pageLayout" topLeftCell="A4" zoomScaleNormal="100" workbookViewId="0">
      <selection activeCell="I16" sqref="I16"/>
    </sheetView>
  </sheetViews>
  <sheetFormatPr defaultRowHeight="15" x14ac:dyDescent="0.25"/>
  <cols>
    <col min="2" max="2" width="5.85546875" customWidth="1"/>
    <col min="3" max="3" width="40.5703125" customWidth="1"/>
    <col min="4" max="4" width="7.7109375" customWidth="1"/>
    <col min="5" max="5" width="13" customWidth="1"/>
    <col min="6" max="6" width="7" customWidth="1"/>
    <col min="7" max="7" width="9.85546875" customWidth="1"/>
  </cols>
  <sheetData>
    <row r="2" spans="2:7" ht="15.75" x14ac:dyDescent="0.25">
      <c r="B2" s="54" t="s">
        <v>0</v>
      </c>
      <c r="C2" s="55"/>
      <c r="D2" s="5"/>
      <c r="E2" s="6"/>
      <c r="F2" s="7"/>
      <c r="G2" s="8"/>
    </row>
    <row r="3" spans="2:7" ht="15.75" x14ac:dyDescent="0.25">
      <c r="B3" s="56" t="s">
        <v>1</v>
      </c>
      <c r="C3" s="29"/>
      <c r="D3" s="2"/>
      <c r="E3" s="9"/>
      <c r="F3" s="10"/>
      <c r="G3" s="11"/>
    </row>
    <row r="4" spans="2:7" ht="15.75" x14ac:dyDescent="0.25">
      <c r="B4" s="57"/>
      <c r="C4" s="30"/>
      <c r="D4" s="12"/>
      <c r="E4" s="13"/>
      <c r="F4" s="14"/>
      <c r="G4" s="15"/>
    </row>
    <row r="5" spans="2:7" ht="15.75" x14ac:dyDescent="0.25">
      <c r="B5" s="16"/>
      <c r="C5" s="16"/>
      <c r="D5" s="16"/>
      <c r="E5" s="17"/>
      <c r="F5" s="18"/>
      <c r="G5" s="19"/>
    </row>
    <row r="6" spans="2:7" ht="15.75" x14ac:dyDescent="0.25">
      <c r="B6" s="3"/>
      <c r="C6" s="3"/>
      <c r="D6" s="3"/>
      <c r="E6" s="4"/>
      <c r="F6" s="20"/>
      <c r="G6" s="21"/>
    </row>
    <row r="7" spans="2:7" ht="15.75" x14ac:dyDescent="0.25">
      <c r="B7" s="22"/>
      <c r="C7" s="22"/>
      <c r="D7" s="22"/>
      <c r="E7" s="23"/>
      <c r="F7" s="24"/>
      <c r="G7" s="25" t="s">
        <v>7</v>
      </c>
    </row>
    <row r="8" spans="2:7" ht="15.75" thickBot="1" x14ac:dyDescent="0.3">
      <c r="F8" s="47"/>
      <c r="G8" s="47"/>
    </row>
    <row r="9" spans="2:7" ht="16.5" thickBot="1" x14ac:dyDescent="0.3">
      <c r="B9" s="50" t="s">
        <v>2</v>
      </c>
      <c r="C9" s="49" t="s">
        <v>3</v>
      </c>
      <c r="D9" s="51" t="s">
        <v>4</v>
      </c>
      <c r="E9" s="51" t="s">
        <v>21</v>
      </c>
      <c r="F9" s="51" t="s">
        <v>5</v>
      </c>
      <c r="G9" s="52" t="s">
        <v>6</v>
      </c>
    </row>
    <row r="10" spans="2:7" ht="15.75" x14ac:dyDescent="0.25">
      <c r="B10" s="40"/>
      <c r="C10" s="43"/>
      <c r="D10" s="40"/>
      <c r="E10" s="26"/>
      <c r="F10" s="46"/>
      <c r="G10" s="26"/>
    </row>
    <row r="11" spans="2:7" ht="15.75" x14ac:dyDescent="0.25">
      <c r="B11" s="42" t="s">
        <v>16</v>
      </c>
      <c r="C11" s="44" t="s">
        <v>142</v>
      </c>
      <c r="D11" s="41"/>
      <c r="E11" s="31"/>
      <c r="F11" s="46"/>
      <c r="G11" s="26"/>
    </row>
    <row r="12" spans="2:7" ht="15.75" x14ac:dyDescent="0.25">
      <c r="B12" s="42"/>
      <c r="C12" s="45"/>
      <c r="D12" s="41"/>
      <c r="E12" s="31"/>
      <c r="F12" s="46"/>
      <c r="G12" s="26"/>
    </row>
    <row r="13" spans="2:7" ht="15.75" x14ac:dyDescent="0.25">
      <c r="B13" s="42" t="s">
        <v>140</v>
      </c>
      <c r="C13" s="45" t="s">
        <v>149</v>
      </c>
      <c r="D13" s="42" t="s">
        <v>15</v>
      </c>
      <c r="E13" s="37">
        <v>1</v>
      </c>
      <c r="F13" s="46"/>
      <c r="G13" s="26"/>
    </row>
    <row r="14" spans="2:7" ht="15.75" x14ac:dyDescent="0.25">
      <c r="B14" s="42" t="s">
        <v>141</v>
      </c>
      <c r="C14" s="45" t="s">
        <v>145</v>
      </c>
      <c r="D14" s="42" t="s">
        <v>15</v>
      </c>
      <c r="E14" s="37">
        <v>1</v>
      </c>
      <c r="F14" s="46"/>
      <c r="G14" s="26"/>
    </row>
    <row r="15" spans="2:7" ht="15.75" x14ac:dyDescent="0.25">
      <c r="B15" s="42"/>
      <c r="C15" s="31"/>
      <c r="D15" s="42"/>
      <c r="E15" s="37"/>
      <c r="F15" s="46"/>
      <c r="G15" s="26"/>
    </row>
    <row r="16" spans="2:7" ht="15.75" x14ac:dyDescent="0.25">
      <c r="B16" s="42" t="s">
        <v>17</v>
      </c>
      <c r="C16" s="38" t="s">
        <v>143</v>
      </c>
      <c r="D16" s="42"/>
      <c r="E16" s="37"/>
      <c r="F16" s="46"/>
      <c r="G16" s="26"/>
    </row>
    <row r="17" spans="2:7" ht="15.75" x14ac:dyDescent="0.25">
      <c r="B17" s="42"/>
      <c r="C17" s="31"/>
      <c r="D17" s="42"/>
      <c r="E17" s="37"/>
      <c r="F17" s="46"/>
      <c r="G17" s="26"/>
    </row>
    <row r="18" spans="2:7" ht="15.75" x14ac:dyDescent="0.25">
      <c r="B18" s="42" t="s">
        <v>31</v>
      </c>
      <c r="C18" s="39" t="s">
        <v>144</v>
      </c>
      <c r="D18" s="42" t="s">
        <v>146</v>
      </c>
      <c r="E18" s="37">
        <v>1</v>
      </c>
      <c r="F18" s="46"/>
      <c r="G18" s="26"/>
    </row>
    <row r="19" spans="2:7" ht="16.5" thickBot="1" x14ac:dyDescent="0.3">
      <c r="B19" s="33"/>
      <c r="C19" s="32"/>
      <c r="D19" s="33"/>
      <c r="E19" s="32"/>
      <c r="F19" s="48"/>
      <c r="G19" s="28"/>
    </row>
    <row r="20" spans="2:7" ht="15.75" x14ac:dyDescent="0.25">
      <c r="B20" s="35"/>
      <c r="C20" s="35"/>
      <c r="D20" s="34"/>
      <c r="E20" s="34"/>
      <c r="F20" s="36"/>
      <c r="G20" s="36"/>
    </row>
    <row r="21" spans="2:7" ht="16.5" thickBot="1" x14ac:dyDescent="0.3">
      <c r="B21" s="48"/>
      <c r="C21" s="53" t="s">
        <v>150</v>
      </c>
      <c r="D21" s="27"/>
      <c r="E21" s="27"/>
      <c r="F21" s="28"/>
      <c r="G21" s="28"/>
    </row>
  </sheetData>
  <pageMargins left="0.25" right="0.25" top="0.75" bottom="0.75" header="0.3" footer="0.3"/>
  <pageSetup orientation="portrait" r:id="rId1"/>
  <headerFooter>
    <oddFooter>&amp;LTINASHE GARAPASI
N02222430X&amp;CPage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2:T298"/>
  <sheetViews>
    <sheetView zoomScaleNormal="100" zoomScaleSheetLayoutView="85" workbookViewId="0">
      <pane ySplit="3" topLeftCell="A4" activePane="bottomLeft" state="frozen"/>
      <selection activeCell="B1" sqref="B1"/>
      <selection pane="bottomLeft" activeCell="A2" sqref="A2:Q17"/>
    </sheetView>
  </sheetViews>
  <sheetFormatPr defaultRowHeight="15" x14ac:dyDescent="0.25"/>
  <cols>
    <col min="1" max="1" width="3.140625" customWidth="1"/>
    <col min="2" max="2" width="5.5703125" customWidth="1"/>
    <col min="3" max="3" width="46" customWidth="1"/>
    <col min="4" max="4" width="5.140625" customWidth="1"/>
    <col min="7" max="7" width="13" customWidth="1"/>
    <col min="8" max="9" width="3.42578125" customWidth="1"/>
    <col min="10" max="19" width="10" customWidth="1"/>
    <col min="20" max="20" width="15.42578125" customWidth="1"/>
  </cols>
  <sheetData>
    <row r="2" spans="2:20" x14ac:dyDescent="0.25">
      <c r="J2" s="428" t="s">
        <v>164</v>
      </c>
      <c r="K2" s="428"/>
      <c r="L2" s="428" t="s">
        <v>165</v>
      </c>
      <c r="M2" s="428"/>
      <c r="N2" s="428" t="s">
        <v>166</v>
      </c>
      <c r="O2" s="428"/>
      <c r="P2" s="428" t="s">
        <v>167</v>
      </c>
      <c r="Q2" s="428"/>
      <c r="R2" s="428" t="s">
        <v>168</v>
      </c>
      <c r="S2" s="428"/>
      <c r="T2" s="403" t="s">
        <v>169</v>
      </c>
    </row>
    <row r="3" spans="2:20" x14ac:dyDescent="0.25">
      <c r="B3" s="64" t="s">
        <v>190</v>
      </c>
      <c r="C3" s="64" t="s">
        <v>170</v>
      </c>
      <c r="D3" s="64" t="s">
        <v>171</v>
      </c>
      <c r="E3" s="64" t="s">
        <v>172</v>
      </c>
      <c r="F3" s="64" t="s">
        <v>173</v>
      </c>
      <c r="G3" s="64" t="s">
        <v>174</v>
      </c>
      <c r="J3" s="404" t="s">
        <v>5</v>
      </c>
      <c r="K3" s="404" t="s">
        <v>6</v>
      </c>
      <c r="L3" s="404" t="s">
        <v>5</v>
      </c>
      <c r="M3" s="404" t="s">
        <v>6</v>
      </c>
      <c r="N3" s="404" t="s">
        <v>5</v>
      </c>
      <c r="O3" s="404" t="s">
        <v>6</v>
      </c>
      <c r="P3" s="404" t="s">
        <v>5</v>
      </c>
      <c r="Q3" s="404" t="s">
        <v>6</v>
      </c>
      <c r="R3" s="404" t="s">
        <v>5</v>
      </c>
      <c r="S3" s="404" t="s">
        <v>6</v>
      </c>
      <c r="T3" s="405">
        <v>0.15</v>
      </c>
    </row>
    <row r="4" spans="2:20" x14ac:dyDescent="0.25">
      <c r="B4" s="60"/>
      <c r="C4" s="60"/>
      <c r="D4" s="60"/>
      <c r="E4" s="60"/>
      <c r="F4" s="60"/>
      <c r="G4" s="60"/>
      <c r="J4" s="306"/>
      <c r="K4" s="74"/>
      <c r="L4" s="74"/>
      <c r="M4" s="74"/>
      <c r="N4" s="74"/>
      <c r="O4" s="74"/>
      <c r="P4" s="74"/>
      <c r="Q4" s="74"/>
      <c r="R4" s="74"/>
      <c r="S4" s="74"/>
      <c r="T4" s="74"/>
    </row>
    <row r="5" spans="2:20" x14ac:dyDescent="0.25">
      <c r="B5" s="149" t="s">
        <v>192</v>
      </c>
      <c r="C5" s="150" t="s">
        <v>191</v>
      </c>
      <c r="D5" s="60"/>
      <c r="E5" s="60"/>
      <c r="F5" s="60"/>
      <c r="G5" s="60"/>
      <c r="J5" s="74"/>
      <c r="K5" s="74"/>
      <c r="L5" s="74"/>
      <c r="M5" s="74"/>
      <c r="N5" s="74"/>
      <c r="O5" s="74"/>
      <c r="P5" s="74"/>
      <c r="Q5" s="74"/>
      <c r="R5" s="74"/>
      <c r="S5" s="74"/>
      <c r="T5" s="74"/>
    </row>
    <row r="6" spans="2:20" x14ac:dyDescent="0.25">
      <c r="B6" s="70"/>
      <c r="C6" s="60"/>
      <c r="D6" s="60"/>
      <c r="E6" s="66">
        <f>'BILL OF QUANTITIES'!M133</f>
        <v>988</v>
      </c>
      <c r="F6" s="60"/>
      <c r="G6" s="60"/>
      <c r="J6" s="74"/>
      <c r="K6" s="74"/>
      <c r="L6" s="74"/>
      <c r="M6" s="74"/>
      <c r="N6" s="74"/>
      <c r="O6" s="74"/>
      <c r="P6" s="74"/>
      <c r="Q6" s="74"/>
      <c r="R6" s="74"/>
      <c r="S6" s="74"/>
      <c r="T6" s="74"/>
    </row>
    <row r="7" spans="2:20" x14ac:dyDescent="0.25">
      <c r="B7" s="177" t="s">
        <v>192</v>
      </c>
      <c r="C7" s="178" t="s">
        <v>8</v>
      </c>
      <c r="D7" s="185"/>
      <c r="E7" s="185"/>
      <c r="F7" s="185"/>
      <c r="G7" s="185"/>
      <c r="J7" s="74"/>
      <c r="K7" s="74"/>
      <c r="L7" s="74"/>
      <c r="M7" s="74"/>
      <c r="N7" s="74"/>
      <c r="O7" s="74"/>
      <c r="P7" s="74"/>
      <c r="Q7" s="74"/>
      <c r="R7" s="74"/>
      <c r="S7" s="74"/>
      <c r="T7" s="74"/>
    </row>
    <row r="8" spans="2:20" x14ac:dyDescent="0.25">
      <c r="B8" s="70"/>
      <c r="C8" s="60" t="s">
        <v>9</v>
      </c>
      <c r="D8" s="60"/>
      <c r="E8" s="60"/>
      <c r="F8" s="60"/>
      <c r="G8" s="60"/>
      <c r="J8" s="406"/>
      <c r="K8" s="406"/>
      <c r="L8" s="406"/>
      <c r="M8" s="406"/>
      <c r="N8" s="406"/>
      <c r="O8" s="406"/>
      <c r="P8" s="406"/>
      <c r="Q8" s="406"/>
      <c r="R8" s="406"/>
      <c r="S8" s="406"/>
      <c r="T8" s="74"/>
    </row>
    <row r="9" spans="2:20" x14ac:dyDescent="0.25">
      <c r="B9" s="70"/>
      <c r="C9" s="60" t="s">
        <v>10</v>
      </c>
      <c r="D9" s="60"/>
      <c r="E9" s="60"/>
      <c r="F9" s="60"/>
      <c r="G9" s="60"/>
      <c r="J9" s="406"/>
      <c r="K9" s="406"/>
      <c r="L9" s="406"/>
      <c r="M9" s="406"/>
      <c r="N9" s="406"/>
      <c r="O9" s="406"/>
      <c r="P9" s="406"/>
      <c r="Q9" s="406"/>
      <c r="R9" s="406"/>
      <c r="S9" s="406"/>
      <c r="T9" s="74"/>
    </row>
    <row r="10" spans="2:20" x14ac:dyDescent="0.25">
      <c r="B10" s="70"/>
      <c r="C10" s="60" t="s">
        <v>11</v>
      </c>
      <c r="D10" s="60" t="s">
        <v>15</v>
      </c>
      <c r="E10" s="61">
        <v>4</v>
      </c>
      <c r="F10" s="66">
        <f>R10+R10*0.15</f>
        <v>18.646428571428572</v>
      </c>
      <c r="G10" s="67">
        <f>F10*E10</f>
        <v>74.585714285714289</v>
      </c>
      <c r="J10" s="406">
        <v>0</v>
      </c>
      <c r="K10" s="406">
        <f>J10*$E10</f>
        <v>0</v>
      </c>
      <c r="L10" s="406">
        <v>12</v>
      </c>
      <c r="M10" s="406">
        <f>L10*$E10</f>
        <v>48</v>
      </c>
      <c r="N10" s="406">
        <f>' LABOUR BUILD-UP RATES'!F19</f>
        <v>4.2142857142857144</v>
      </c>
      <c r="O10" s="406">
        <f>N10*$E10</f>
        <v>16.857142857142858</v>
      </c>
      <c r="P10" s="406">
        <v>0</v>
      </c>
      <c r="Q10" s="406">
        <f>P10*$E10</f>
        <v>0</v>
      </c>
      <c r="R10" s="406">
        <f>J10+L10+N10+P10</f>
        <v>16.214285714285715</v>
      </c>
      <c r="S10" s="406">
        <f>R10*$E10</f>
        <v>64.857142857142861</v>
      </c>
      <c r="T10" s="405">
        <v>0.15</v>
      </c>
    </row>
    <row r="11" spans="2:20" x14ac:dyDescent="0.25">
      <c r="B11" s="70"/>
      <c r="C11" s="60"/>
      <c r="D11" s="60"/>
      <c r="E11" s="61"/>
      <c r="F11" s="60"/>
      <c r="G11" s="60"/>
      <c r="J11" s="406"/>
      <c r="K11" s="406"/>
      <c r="L11" s="406"/>
      <c r="M11" s="406"/>
      <c r="N11" s="406"/>
      <c r="O11" s="406"/>
      <c r="P11" s="406"/>
      <c r="Q11" s="406"/>
      <c r="R11" s="406"/>
      <c r="S11" s="406"/>
      <c r="T11" s="74"/>
    </row>
    <row r="12" spans="2:20" x14ac:dyDescent="0.25">
      <c r="B12" s="70"/>
      <c r="C12" s="60" t="s">
        <v>9</v>
      </c>
      <c r="D12" s="60"/>
      <c r="E12" s="61"/>
      <c r="F12" s="60"/>
      <c r="G12" s="60"/>
      <c r="J12" s="406"/>
      <c r="K12" s="406"/>
      <c r="L12" s="406"/>
      <c r="M12" s="406"/>
      <c r="N12" s="406"/>
      <c r="O12" s="406"/>
      <c r="P12" s="406"/>
      <c r="Q12" s="406"/>
      <c r="R12" s="406"/>
      <c r="S12" s="406"/>
      <c r="T12" s="74"/>
    </row>
    <row r="13" spans="2:20" x14ac:dyDescent="0.25">
      <c r="B13" s="70"/>
      <c r="C13" s="60" t="s">
        <v>12</v>
      </c>
      <c r="D13" s="60"/>
      <c r="E13" s="61"/>
      <c r="F13" s="60"/>
      <c r="G13" s="60"/>
      <c r="J13" s="406"/>
      <c r="K13" s="406"/>
      <c r="L13" s="406"/>
      <c r="M13" s="406"/>
      <c r="N13" s="406"/>
      <c r="O13" s="406"/>
      <c r="P13" s="406"/>
      <c r="Q13" s="406"/>
      <c r="R13" s="406"/>
      <c r="S13" s="406"/>
      <c r="T13" s="74"/>
    </row>
    <row r="14" spans="2:20" x14ac:dyDescent="0.25">
      <c r="B14" s="70"/>
      <c r="C14" s="60" t="s">
        <v>13</v>
      </c>
      <c r="D14" s="60"/>
      <c r="E14" s="61"/>
      <c r="F14" s="60"/>
      <c r="G14" s="60"/>
      <c r="J14" s="406"/>
      <c r="K14" s="406"/>
      <c r="L14" s="406"/>
      <c r="M14" s="406"/>
      <c r="N14" s="406"/>
      <c r="O14" s="406"/>
      <c r="P14" s="406"/>
      <c r="Q14" s="406"/>
      <c r="R14" s="406"/>
      <c r="S14" s="406"/>
      <c r="T14" s="74"/>
    </row>
    <row r="15" spans="2:20" x14ac:dyDescent="0.25">
      <c r="B15" s="70"/>
      <c r="C15" s="60" t="s">
        <v>14</v>
      </c>
      <c r="D15" s="60" t="s">
        <v>15</v>
      </c>
      <c r="E15" s="61">
        <v>2</v>
      </c>
      <c r="F15" s="66">
        <f>R15+R15*0.15</f>
        <v>18.646428571428572</v>
      </c>
      <c r="G15" s="67">
        <f>F15*E15</f>
        <v>37.292857142857144</v>
      </c>
      <c r="J15" s="406">
        <v>0</v>
      </c>
      <c r="K15" s="406">
        <f>J15*$E15</f>
        <v>0</v>
      </c>
      <c r="L15" s="406">
        <v>12</v>
      </c>
      <c r="M15" s="406">
        <f>L15*$E15</f>
        <v>24</v>
      </c>
      <c r="N15" s="406">
        <f>' LABOUR BUILD-UP RATES'!F19</f>
        <v>4.2142857142857144</v>
      </c>
      <c r="O15" s="406">
        <f>N15*$E15</f>
        <v>8.4285714285714288</v>
      </c>
      <c r="P15" s="406">
        <v>0</v>
      </c>
      <c r="Q15" s="406">
        <f>P15*$E15</f>
        <v>0</v>
      </c>
      <c r="R15" s="406">
        <f>J15+L15+N15+P15</f>
        <v>16.214285714285715</v>
      </c>
      <c r="S15" s="406">
        <f>R15*$E15</f>
        <v>32.428571428571431</v>
      </c>
      <c r="T15" s="405">
        <v>0.15</v>
      </c>
    </row>
    <row r="16" spans="2:20" x14ac:dyDescent="0.25">
      <c r="B16" s="70"/>
      <c r="C16" s="60"/>
      <c r="D16" s="60"/>
      <c r="E16" s="60"/>
      <c r="F16" s="60"/>
      <c r="G16" s="60"/>
      <c r="J16" s="406"/>
      <c r="K16" s="406"/>
      <c r="L16" s="406"/>
      <c r="M16" s="406"/>
      <c r="N16" s="406"/>
      <c r="O16" s="406"/>
      <c r="P16" s="406"/>
      <c r="Q16" s="406"/>
      <c r="R16" s="406"/>
      <c r="S16" s="406"/>
      <c r="T16" s="74"/>
    </row>
    <row r="17" spans="2:20" x14ac:dyDescent="0.25">
      <c r="B17" s="70"/>
      <c r="C17" s="73" t="s">
        <v>18</v>
      </c>
      <c r="D17" s="100"/>
      <c r="E17" s="100"/>
      <c r="F17" s="60"/>
      <c r="G17" s="60"/>
      <c r="J17" s="406"/>
      <c r="K17" s="406"/>
      <c r="L17" s="406"/>
      <c r="M17" s="406"/>
      <c r="N17" s="406"/>
      <c r="O17" s="406"/>
      <c r="P17" s="406"/>
      <c r="Q17" s="406"/>
      <c r="R17" s="406"/>
      <c r="S17" s="406"/>
      <c r="T17" s="74"/>
    </row>
    <row r="18" spans="2:20" x14ac:dyDescent="0.25">
      <c r="B18" s="70"/>
      <c r="C18" s="73" t="s">
        <v>19</v>
      </c>
      <c r="D18" s="100" t="s">
        <v>20</v>
      </c>
      <c r="E18" s="100">
        <v>238</v>
      </c>
      <c r="F18" s="66">
        <f>R18+R18*0.15</f>
        <v>17.640999999999998</v>
      </c>
      <c r="G18" s="67">
        <f>F18*E18</f>
        <v>4198.558</v>
      </c>
      <c r="J18" s="406">
        <v>0</v>
      </c>
      <c r="K18" s="406">
        <f>J18*$E18</f>
        <v>0</v>
      </c>
      <c r="L18" s="406">
        <v>12</v>
      </c>
      <c r="M18" s="406">
        <f>L18*$E18</f>
        <v>2856</v>
      </c>
      <c r="N18" s="406">
        <f>' LABOUR BUILD-UP RATES'!F32</f>
        <v>3.34</v>
      </c>
      <c r="O18" s="406">
        <f>N18*$E18</f>
        <v>794.92</v>
      </c>
      <c r="P18" s="406">
        <v>0</v>
      </c>
      <c r="Q18" s="406">
        <v>0</v>
      </c>
      <c r="R18" s="406">
        <f>J18+L18+N18+P18</f>
        <v>15.34</v>
      </c>
      <c r="S18" s="406">
        <f>R18*$E18</f>
        <v>3650.92</v>
      </c>
      <c r="T18" s="405">
        <v>0.15</v>
      </c>
    </row>
    <row r="19" spans="2:20" x14ac:dyDescent="0.25">
      <c r="B19" s="70"/>
      <c r="C19" s="73"/>
      <c r="D19" s="73"/>
      <c r="E19" s="73"/>
      <c r="F19" s="60"/>
      <c r="G19" s="60"/>
      <c r="J19" s="406"/>
      <c r="K19" s="406"/>
      <c r="L19" s="406"/>
      <c r="M19" s="406"/>
      <c r="N19" s="406"/>
      <c r="O19" s="406"/>
      <c r="P19" s="406"/>
      <c r="Q19" s="406"/>
      <c r="R19" s="406"/>
      <c r="S19" s="406"/>
      <c r="T19" s="74"/>
    </row>
    <row r="20" spans="2:20" x14ac:dyDescent="0.25">
      <c r="B20" s="70"/>
      <c r="C20" s="73" t="s">
        <v>22</v>
      </c>
      <c r="D20" s="73"/>
      <c r="E20" s="73"/>
      <c r="F20" s="60"/>
      <c r="G20" s="60"/>
      <c r="J20" s="406"/>
      <c r="K20" s="406"/>
      <c r="L20" s="406"/>
      <c r="M20" s="406"/>
      <c r="N20" s="406"/>
      <c r="O20" s="406"/>
      <c r="P20" s="406"/>
      <c r="Q20" s="406"/>
      <c r="R20" s="406"/>
      <c r="S20" s="406"/>
      <c r="T20" s="74"/>
    </row>
    <row r="21" spans="2:20" x14ac:dyDescent="0.25">
      <c r="B21" s="70"/>
      <c r="C21" s="73" t="s">
        <v>23</v>
      </c>
      <c r="D21" s="100" t="s">
        <v>20</v>
      </c>
      <c r="E21" s="100">
        <v>128</v>
      </c>
      <c r="F21" s="66">
        <f>R21+R21*0.15</f>
        <v>17.640999999999998</v>
      </c>
      <c r="G21" s="67">
        <f>F21*E21</f>
        <v>2258.0479999999998</v>
      </c>
      <c r="J21" s="406">
        <v>0</v>
      </c>
      <c r="K21" s="406">
        <f>J21*$E21</f>
        <v>0</v>
      </c>
      <c r="L21" s="406">
        <v>12</v>
      </c>
      <c r="M21" s="406">
        <f>L21*$E21</f>
        <v>1536</v>
      </c>
      <c r="N21" s="406">
        <f>' LABOUR BUILD-UP RATES'!F32</f>
        <v>3.34</v>
      </c>
      <c r="O21" s="406">
        <f>N21*$E21</f>
        <v>427.52</v>
      </c>
      <c r="P21" s="406">
        <v>0</v>
      </c>
      <c r="Q21" s="406">
        <v>0</v>
      </c>
      <c r="R21" s="406">
        <f>J21+L21+N21+P21</f>
        <v>15.34</v>
      </c>
      <c r="S21" s="406">
        <f>R21*$E21</f>
        <v>1963.52</v>
      </c>
      <c r="T21" s="405">
        <v>0.15</v>
      </c>
    </row>
    <row r="22" spans="2:20" x14ac:dyDescent="0.25">
      <c r="B22" s="70"/>
      <c r="C22" s="73"/>
      <c r="D22" s="100"/>
      <c r="E22" s="100"/>
      <c r="F22" s="60"/>
      <c r="G22" s="60"/>
      <c r="J22" s="406"/>
      <c r="K22" s="406"/>
      <c r="L22" s="406"/>
      <c r="M22" s="406"/>
      <c r="N22" s="406"/>
      <c r="O22" s="406"/>
      <c r="P22" s="406"/>
      <c r="Q22" s="406"/>
      <c r="R22" s="406"/>
      <c r="S22" s="406"/>
      <c r="T22" s="74"/>
    </row>
    <row r="23" spans="2:20" x14ac:dyDescent="0.25">
      <c r="B23" s="70"/>
      <c r="C23" s="73" t="s">
        <v>24</v>
      </c>
      <c r="D23" s="100"/>
      <c r="E23" s="100"/>
      <c r="F23" s="60"/>
      <c r="G23" s="60"/>
      <c r="J23" s="406"/>
      <c r="K23" s="406"/>
      <c r="L23" s="406"/>
      <c r="M23" s="406"/>
      <c r="N23" s="406"/>
      <c r="O23" s="406"/>
      <c r="P23" s="406"/>
      <c r="Q23" s="406"/>
      <c r="R23" s="406"/>
      <c r="S23" s="406"/>
      <c r="T23" s="74"/>
    </row>
    <row r="24" spans="2:20" x14ac:dyDescent="0.25">
      <c r="B24" s="70"/>
      <c r="C24" s="73" t="s">
        <v>25</v>
      </c>
      <c r="D24" s="100" t="s">
        <v>26</v>
      </c>
      <c r="E24" s="100"/>
      <c r="F24" s="60"/>
      <c r="G24" s="60"/>
      <c r="J24" s="406"/>
      <c r="K24" s="406"/>
      <c r="L24" s="406"/>
      <c r="M24" s="406"/>
      <c r="N24" s="406"/>
      <c r="O24" s="406"/>
      <c r="P24" s="406"/>
      <c r="Q24" s="406"/>
      <c r="R24" s="406"/>
      <c r="S24" s="406"/>
      <c r="T24" s="74"/>
    </row>
    <row r="25" spans="2:20" x14ac:dyDescent="0.25">
      <c r="B25" s="70"/>
      <c r="C25" s="75"/>
      <c r="D25" s="75"/>
      <c r="E25" s="75"/>
      <c r="F25" s="60"/>
      <c r="G25" s="60"/>
      <c r="J25" s="406"/>
      <c r="K25" s="406"/>
      <c r="L25" s="406"/>
      <c r="M25" s="406"/>
      <c r="N25" s="406"/>
      <c r="O25" s="406"/>
      <c r="P25" s="406"/>
      <c r="Q25" s="406"/>
      <c r="R25" s="406"/>
      <c r="S25" s="406"/>
      <c r="T25" s="74"/>
    </row>
    <row r="26" spans="2:20" x14ac:dyDescent="0.25">
      <c r="B26" s="177" t="s">
        <v>192</v>
      </c>
      <c r="C26" s="195" t="s">
        <v>27</v>
      </c>
      <c r="D26" s="196"/>
      <c r="E26" s="196"/>
      <c r="F26" s="185"/>
      <c r="G26" s="185"/>
      <c r="J26" s="406"/>
      <c r="K26" s="406"/>
      <c r="L26" s="406"/>
      <c r="M26" s="406"/>
      <c r="N26" s="406"/>
      <c r="O26" s="406"/>
      <c r="P26" s="406"/>
      <c r="Q26" s="406"/>
      <c r="R26" s="406"/>
      <c r="S26" s="406"/>
      <c r="T26" s="74"/>
    </row>
    <row r="27" spans="2:20" x14ac:dyDescent="0.25">
      <c r="B27" s="115"/>
      <c r="C27" s="75" t="s">
        <v>28</v>
      </c>
      <c r="D27" s="69" t="s">
        <v>45</v>
      </c>
      <c r="E27" s="69">
        <v>31</v>
      </c>
      <c r="F27" s="66">
        <f>R27+R27*0.15</f>
        <v>19.434999999999999</v>
      </c>
      <c r="G27" s="67">
        <f>F27*E27</f>
        <v>602.48500000000001</v>
      </c>
      <c r="J27" s="406">
        <v>0</v>
      </c>
      <c r="K27" s="406">
        <f>J27*$E27</f>
        <v>0</v>
      </c>
      <c r="L27" s="406">
        <v>12</v>
      </c>
      <c r="M27" s="406">
        <f>L27*$E27</f>
        <v>372</v>
      </c>
      <c r="N27" s="406">
        <f>' LABOUR BUILD-UP RATES'!F42</f>
        <v>4.9000000000000004</v>
      </c>
      <c r="O27" s="406">
        <f>N27*$E27</f>
        <v>151.9</v>
      </c>
      <c r="P27" s="406">
        <v>0</v>
      </c>
      <c r="Q27" s="406">
        <v>0</v>
      </c>
      <c r="R27" s="406">
        <f>J27+L27+N27+P27</f>
        <v>16.899999999999999</v>
      </c>
      <c r="S27" s="406">
        <f>R27*$E27</f>
        <v>523.9</v>
      </c>
      <c r="T27" s="405">
        <v>0.15</v>
      </c>
    </row>
    <row r="28" spans="2:20" x14ac:dyDescent="0.25">
      <c r="B28" s="115"/>
      <c r="C28" s="75"/>
      <c r="D28" s="75"/>
      <c r="E28" s="75"/>
      <c r="F28" s="109"/>
      <c r="G28" s="60"/>
      <c r="J28" s="406"/>
      <c r="K28" s="406"/>
      <c r="L28" s="406"/>
      <c r="M28" s="406"/>
      <c r="N28" s="406"/>
      <c r="O28" s="406"/>
      <c r="P28" s="406"/>
      <c r="Q28" s="406"/>
      <c r="R28" s="406"/>
      <c r="S28" s="406"/>
      <c r="T28" s="74"/>
    </row>
    <row r="29" spans="2:20" x14ac:dyDescent="0.25">
      <c r="B29" s="108"/>
      <c r="C29" s="75" t="s">
        <v>29</v>
      </c>
      <c r="D29" s="69" t="s">
        <v>45</v>
      </c>
      <c r="E29" s="69">
        <v>3</v>
      </c>
      <c r="F29" s="66">
        <f>R29+R29*0.15</f>
        <v>11.385</v>
      </c>
      <c r="G29" s="67">
        <f>F29*E29</f>
        <v>34.155000000000001</v>
      </c>
      <c r="J29" s="406">
        <v>0</v>
      </c>
      <c r="K29" s="406">
        <f>J29*$E29</f>
        <v>0</v>
      </c>
      <c r="L29" s="406">
        <v>5</v>
      </c>
      <c r="M29" s="406">
        <f>L29*$E29</f>
        <v>15</v>
      </c>
      <c r="N29" s="406">
        <f>' LABOUR BUILD-UP RATES'!F42</f>
        <v>4.9000000000000004</v>
      </c>
      <c r="O29" s="406">
        <f>N29*$E29</f>
        <v>14.700000000000001</v>
      </c>
      <c r="P29" s="406">
        <v>0</v>
      </c>
      <c r="Q29" s="406">
        <v>0</v>
      </c>
      <c r="R29" s="406">
        <f>J29+L29+N29+P29</f>
        <v>9.9</v>
      </c>
      <c r="S29" s="406">
        <f>R29*$E29</f>
        <v>29.700000000000003</v>
      </c>
      <c r="T29" s="405">
        <v>0.15</v>
      </c>
    </row>
    <row r="30" spans="2:20" x14ac:dyDescent="0.25">
      <c r="B30" s="108"/>
      <c r="C30" s="75"/>
      <c r="D30" s="75"/>
      <c r="E30" s="69"/>
      <c r="F30" s="109"/>
      <c r="G30" s="60"/>
      <c r="J30" s="406"/>
      <c r="K30" s="406"/>
      <c r="L30" s="406"/>
      <c r="M30" s="406"/>
      <c r="N30" s="406"/>
      <c r="O30" s="406"/>
      <c r="P30" s="406"/>
      <c r="Q30" s="406"/>
      <c r="R30" s="406"/>
      <c r="S30" s="406"/>
      <c r="T30" s="74"/>
    </row>
    <row r="31" spans="2:20" x14ac:dyDescent="0.25">
      <c r="B31" s="108"/>
      <c r="C31" s="75" t="s">
        <v>30</v>
      </c>
      <c r="D31" s="69" t="s">
        <v>45</v>
      </c>
      <c r="E31" s="69">
        <v>2</v>
      </c>
      <c r="F31" s="66">
        <f>R31+R31*0.15</f>
        <v>11.385</v>
      </c>
      <c r="G31" s="67">
        <f>F31*E31</f>
        <v>22.77</v>
      </c>
      <c r="J31" s="406">
        <v>0</v>
      </c>
      <c r="K31" s="406">
        <f>J31*$E31</f>
        <v>0</v>
      </c>
      <c r="L31" s="406">
        <v>5</v>
      </c>
      <c r="M31" s="406">
        <f>L31*$E31</f>
        <v>10</v>
      </c>
      <c r="N31" s="406">
        <f>' LABOUR BUILD-UP RATES'!F42</f>
        <v>4.9000000000000004</v>
      </c>
      <c r="O31" s="406">
        <f>N31*$E31</f>
        <v>9.8000000000000007</v>
      </c>
      <c r="P31" s="406">
        <v>0</v>
      </c>
      <c r="Q31" s="406">
        <v>0</v>
      </c>
      <c r="R31" s="406">
        <f>J31+L31+N31+P31</f>
        <v>9.9</v>
      </c>
      <c r="S31" s="406">
        <f>R31*$E31</f>
        <v>19.8</v>
      </c>
      <c r="T31" s="405">
        <v>0.15</v>
      </c>
    </row>
    <row r="32" spans="2:20" x14ac:dyDescent="0.25">
      <c r="B32" s="60"/>
      <c r="C32" s="68"/>
      <c r="D32" s="68"/>
      <c r="E32" s="68"/>
      <c r="F32" s="60"/>
      <c r="G32" s="60"/>
      <c r="J32" s="406"/>
      <c r="K32" s="406"/>
      <c r="L32" s="406"/>
      <c r="M32" s="406"/>
      <c r="N32" s="406"/>
      <c r="O32" s="406"/>
      <c r="P32" s="406"/>
      <c r="Q32" s="406"/>
      <c r="R32" s="406"/>
      <c r="S32" s="406"/>
      <c r="T32" s="74"/>
    </row>
    <row r="33" spans="2:20" x14ac:dyDescent="0.25">
      <c r="B33" s="60"/>
      <c r="C33" s="75" t="s">
        <v>33</v>
      </c>
      <c r="D33" s="69" t="s">
        <v>39</v>
      </c>
      <c r="E33" s="75"/>
      <c r="F33" s="60"/>
      <c r="G33" s="60"/>
      <c r="J33" s="406"/>
      <c r="K33" s="406"/>
      <c r="L33" s="406"/>
      <c r="M33" s="406"/>
      <c r="N33" s="406"/>
      <c r="O33" s="406"/>
      <c r="P33" s="406"/>
      <c r="Q33" s="406"/>
      <c r="R33" s="406"/>
      <c r="S33" s="406"/>
      <c r="T33" s="74"/>
    </row>
    <row r="34" spans="2:20" x14ac:dyDescent="0.25">
      <c r="B34" s="60"/>
      <c r="C34" s="75"/>
      <c r="D34" s="75"/>
      <c r="E34" s="75"/>
      <c r="F34" s="60"/>
      <c r="G34" s="60"/>
      <c r="J34" s="406"/>
      <c r="K34" s="406"/>
      <c r="L34" s="406"/>
      <c r="M34" s="406"/>
      <c r="N34" s="406"/>
      <c r="O34" s="406"/>
      <c r="P34" s="406"/>
      <c r="Q34" s="406"/>
      <c r="R34" s="406"/>
      <c r="S34" s="406"/>
      <c r="T34" s="74"/>
    </row>
    <row r="35" spans="2:20" x14ac:dyDescent="0.25">
      <c r="B35" s="60"/>
      <c r="C35" s="75" t="s">
        <v>34</v>
      </c>
      <c r="D35" s="75"/>
      <c r="E35" s="75"/>
      <c r="F35" s="60"/>
      <c r="G35" s="60"/>
      <c r="J35" s="406"/>
      <c r="K35" s="406"/>
      <c r="L35" s="406"/>
      <c r="M35" s="406"/>
      <c r="N35" s="406"/>
      <c r="O35" s="406"/>
      <c r="P35" s="406"/>
      <c r="Q35" s="406"/>
      <c r="R35" s="406"/>
      <c r="S35" s="406"/>
      <c r="T35" s="74"/>
    </row>
    <row r="36" spans="2:20" x14ac:dyDescent="0.25">
      <c r="B36" s="60"/>
      <c r="C36" s="75" t="s">
        <v>35</v>
      </c>
      <c r="D36" s="69" t="s">
        <v>26</v>
      </c>
      <c r="E36" s="75"/>
      <c r="F36" s="60"/>
      <c r="G36" s="60"/>
      <c r="J36" s="406"/>
      <c r="K36" s="406"/>
      <c r="L36" s="406"/>
      <c r="M36" s="406"/>
      <c r="N36" s="406"/>
      <c r="O36" s="406"/>
      <c r="P36" s="406"/>
      <c r="Q36" s="406"/>
      <c r="R36" s="406"/>
      <c r="S36" s="406"/>
      <c r="T36" s="74"/>
    </row>
    <row r="37" spans="2:20" x14ac:dyDescent="0.25">
      <c r="B37" s="60"/>
      <c r="C37" s="75"/>
      <c r="D37" s="69"/>
      <c r="E37" s="75"/>
      <c r="F37" s="60"/>
      <c r="G37" s="60"/>
      <c r="J37" s="406"/>
      <c r="K37" s="406"/>
      <c r="L37" s="406"/>
      <c r="M37" s="406"/>
      <c r="N37" s="406"/>
      <c r="O37" s="406"/>
      <c r="P37" s="406"/>
      <c r="Q37" s="406"/>
      <c r="R37" s="406"/>
      <c r="S37" s="406"/>
      <c r="T37" s="74"/>
    </row>
    <row r="38" spans="2:20" x14ac:dyDescent="0.25">
      <c r="B38" s="60"/>
      <c r="C38" s="75" t="s">
        <v>36</v>
      </c>
      <c r="D38" s="69"/>
      <c r="E38" s="75"/>
      <c r="F38" s="60"/>
      <c r="G38" s="60"/>
      <c r="J38" s="406"/>
      <c r="K38" s="406"/>
      <c r="L38" s="406"/>
      <c r="M38" s="406"/>
      <c r="N38" s="406"/>
      <c r="O38" s="406"/>
      <c r="P38" s="406"/>
      <c r="Q38" s="406"/>
      <c r="R38" s="406"/>
      <c r="S38" s="406"/>
      <c r="T38" s="74"/>
    </row>
    <row r="39" spans="2:20" x14ac:dyDescent="0.25">
      <c r="B39" s="60"/>
      <c r="C39" s="75" t="s">
        <v>37</v>
      </c>
      <c r="D39" s="69" t="s">
        <v>20</v>
      </c>
      <c r="E39" s="69">
        <v>48</v>
      </c>
      <c r="F39" s="66">
        <f>R39+R39*0.15</f>
        <v>8.8221428571428575</v>
      </c>
      <c r="G39" s="67">
        <f>F39*E39</f>
        <v>423.46285714285716</v>
      </c>
      <c r="J39" s="406">
        <v>0</v>
      </c>
      <c r="K39" s="406">
        <f>J39*$E39</f>
        <v>0</v>
      </c>
      <c r="L39" s="406">
        <v>3</v>
      </c>
      <c r="M39" s="406">
        <f>L39*$E39</f>
        <v>144</v>
      </c>
      <c r="N39" s="406">
        <f>' LABOUR BUILD-UP RATES'!F54</f>
        <v>4.6714285714285717</v>
      </c>
      <c r="O39" s="406">
        <f>N39*$E39</f>
        <v>224.22857142857146</v>
      </c>
      <c r="P39" s="406">
        <v>0</v>
      </c>
      <c r="Q39" s="406">
        <v>0</v>
      </c>
      <c r="R39" s="406">
        <f>J39+L39+N39+P39</f>
        <v>7.6714285714285717</v>
      </c>
      <c r="S39" s="406">
        <f>R39*$E39</f>
        <v>368.22857142857146</v>
      </c>
      <c r="T39" s="405">
        <v>0.15</v>
      </c>
    </row>
    <row r="40" spans="2:20" x14ac:dyDescent="0.25">
      <c r="B40" s="60"/>
      <c r="C40" s="75"/>
      <c r="D40" s="69"/>
      <c r="E40" s="69"/>
      <c r="F40" s="60"/>
      <c r="G40" s="60"/>
      <c r="J40" s="406"/>
      <c r="K40" s="406"/>
      <c r="L40" s="406"/>
      <c r="M40" s="406"/>
      <c r="N40" s="406"/>
      <c r="O40" s="406"/>
      <c r="P40" s="406"/>
      <c r="Q40" s="406"/>
      <c r="R40" s="406"/>
      <c r="S40" s="406"/>
      <c r="T40" s="74"/>
    </row>
    <row r="41" spans="2:20" x14ac:dyDescent="0.25">
      <c r="B41" s="60"/>
      <c r="C41" s="75" t="s">
        <v>36</v>
      </c>
      <c r="D41" s="69"/>
      <c r="E41" s="69"/>
      <c r="F41" s="60"/>
      <c r="G41" s="60"/>
      <c r="J41" s="406"/>
      <c r="K41" s="406"/>
      <c r="L41" s="406"/>
      <c r="M41" s="406"/>
      <c r="N41" s="406"/>
      <c r="O41" s="406"/>
      <c r="P41" s="406"/>
      <c r="Q41" s="406"/>
      <c r="R41" s="406"/>
      <c r="S41" s="406"/>
      <c r="T41" s="74"/>
    </row>
    <row r="42" spans="2:20" x14ac:dyDescent="0.25">
      <c r="B42" s="60"/>
      <c r="C42" s="75" t="s">
        <v>42</v>
      </c>
      <c r="D42" s="69" t="s">
        <v>20</v>
      </c>
      <c r="E42" s="69">
        <v>15</v>
      </c>
      <c r="F42" s="66">
        <f>R42+R42*0.15</f>
        <v>8.8221428571428575</v>
      </c>
      <c r="G42" s="67">
        <f>F42*E42</f>
        <v>132.33214285714286</v>
      </c>
      <c r="J42" s="406">
        <v>0</v>
      </c>
      <c r="K42" s="406">
        <f>J42*$E42</f>
        <v>0</v>
      </c>
      <c r="L42" s="406">
        <v>3</v>
      </c>
      <c r="M42" s="406">
        <f>L42*$E42</f>
        <v>45</v>
      </c>
      <c r="N42" s="406">
        <f>' LABOUR BUILD-UP RATES'!F54</f>
        <v>4.6714285714285717</v>
      </c>
      <c r="O42" s="406">
        <f>N42*$E42</f>
        <v>70.071428571428569</v>
      </c>
      <c r="P42" s="406">
        <v>0</v>
      </c>
      <c r="Q42" s="406">
        <v>0</v>
      </c>
      <c r="R42" s="406">
        <f>J42+L42+N42+P42</f>
        <v>7.6714285714285717</v>
      </c>
      <c r="S42" s="406">
        <f>R42*$E42</f>
        <v>115.07142857142857</v>
      </c>
      <c r="T42" s="405">
        <v>0.15</v>
      </c>
    </row>
    <row r="43" spans="2:20" x14ac:dyDescent="0.25">
      <c r="B43" s="60"/>
      <c r="C43" s="75"/>
      <c r="D43" s="69"/>
      <c r="E43" s="69"/>
      <c r="F43" s="60"/>
      <c r="G43" s="60"/>
      <c r="J43" s="406"/>
      <c r="K43" s="406"/>
      <c r="L43" s="406"/>
      <c r="M43" s="406"/>
      <c r="N43" s="406"/>
      <c r="O43" s="406"/>
      <c r="P43" s="406"/>
      <c r="Q43" s="406"/>
      <c r="R43" s="406"/>
      <c r="S43" s="406"/>
      <c r="T43" s="74"/>
    </row>
    <row r="44" spans="2:20" x14ac:dyDescent="0.25">
      <c r="B44" s="60"/>
      <c r="C44" s="75" t="s">
        <v>38</v>
      </c>
      <c r="D44" s="69" t="s">
        <v>20</v>
      </c>
      <c r="E44" s="69">
        <v>48</v>
      </c>
      <c r="F44" s="66">
        <f>R44+R44*0.15</f>
        <v>14.572142857142856</v>
      </c>
      <c r="G44" s="67">
        <f>F44*E44</f>
        <v>699.46285714285705</v>
      </c>
      <c r="J44" s="406">
        <f>'MATERIAL BUILD-UP RATES'!F12</f>
        <v>5</v>
      </c>
      <c r="K44" s="406">
        <f>J44*$E44</f>
        <v>240</v>
      </c>
      <c r="L44" s="406">
        <v>3</v>
      </c>
      <c r="M44" s="406">
        <f>L44*$E44</f>
        <v>144</v>
      </c>
      <c r="N44" s="406">
        <f>' LABOUR BUILD-UP RATES'!F54</f>
        <v>4.6714285714285717</v>
      </c>
      <c r="O44" s="406">
        <f>N44*$E44</f>
        <v>224.22857142857146</v>
      </c>
      <c r="P44" s="406">
        <v>0</v>
      </c>
      <c r="Q44" s="406">
        <v>0</v>
      </c>
      <c r="R44" s="406">
        <f>J44+L44+N44+P44</f>
        <v>12.671428571428571</v>
      </c>
      <c r="S44" s="406">
        <f>R44*$E44</f>
        <v>608.2285714285714</v>
      </c>
      <c r="T44" s="405">
        <v>0.15</v>
      </c>
    </row>
    <row r="45" spans="2:20" x14ac:dyDescent="0.25">
      <c r="B45" s="60"/>
      <c r="C45" s="75"/>
      <c r="D45" s="75"/>
      <c r="E45" s="69"/>
      <c r="F45" s="60"/>
      <c r="G45" s="60"/>
      <c r="J45" s="406"/>
      <c r="K45" s="406"/>
      <c r="L45" s="406"/>
      <c r="M45" s="406"/>
      <c r="N45" s="406"/>
      <c r="O45" s="406"/>
      <c r="P45" s="406"/>
      <c r="Q45" s="406"/>
      <c r="R45" s="406"/>
      <c r="S45" s="406"/>
      <c r="T45" s="74"/>
    </row>
    <row r="46" spans="2:20" x14ac:dyDescent="0.25">
      <c r="B46" s="60"/>
      <c r="C46" s="75" t="s">
        <v>40</v>
      </c>
      <c r="D46" s="75"/>
      <c r="E46" s="69"/>
      <c r="F46" s="60"/>
      <c r="G46" s="60"/>
      <c r="J46" s="406"/>
      <c r="K46" s="406"/>
      <c r="L46" s="406"/>
      <c r="M46" s="406"/>
      <c r="N46" s="406"/>
      <c r="O46" s="406"/>
      <c r="P46" s="406"/>
      <c r="Q46" s="406"/>
      <c r="R46" s="406"/>
      <c r="S46" s="406"/>
      <c r="T46" s="74"/>
    </row>
    <row r="47" spans="2:20" x14ac:dyDescent="0.25">
      <c r="B47" s="60"/>
      <c r="C47" s="75" t="s">
        <v>41</v>
      </c>
      <c r="D47" s="69" t="s">
        <v>20</v>
      </c>
      <c r="E47" s="69">
        <v>15</v>
      </c>
      <c r="F47" s="66">
        <f>R47+R47*0.15</f>
        <v>13.422142857142857</v>
      </c>
      <c r="G47" s="67">
        <f>F47*E47</f>
        <v>201.33214285714286</v>
      </c>
      <c r="J47" s="406">
        <f>'MATERIAL BUILD-UP RATES'!F12</f>
        <v>5</v>
      </c>
      <c r="K47" s="406">
        <f>J47*$E47</f>
        <v>75</v>
      </c>
      <c r="L47" s="406">
        <v>2</v>
      </c>
      <c r="M47" s="406">
        <f>L47*$E47</f>
        <v>30</v>
      </c>
      <c r="N47" s="406">
        <f>' LABOUR BUILD-UP RATES'!F54</f>
        <v>4.6714285714285717</v>
      </c>
      <c r="O47" s="406">
        <f>N47*$E47</f>
        <v>70.071428571428569</v>
      </c>
      <c r="P47" s="406">
        <v>0</v>
      </c>
      <c r="Q47" s="406">
        <v>0</v>
      </c>
      <c r="R47" s="406">
        <f>J47+L47+N47+P47</f>
        <v>11.671428571428571</v>
      </c>
      <c r="S47" s="406">
        <f>R47*$E47</f>
        <v>175.07142857142856</v>
      </c>
      <c r="T47" s="405">
        <v>0.15</v>
      </c>
    </row>
    <row r="48" spans="2:20" x14ac:dyDescent="0.25">
      <c r="B48" s="60"/>
      <c r="C48" s="75"/>
      <c r="D48" s="75"/>
      <c r="E48" s="75"/>
      <c r="F48" s="60"/>
      <c r="G48" s="60"/>
      <c r="J48" s="406"/>
      <c r="K48" s="406"/>
      <c r="L48" s="406"/>
      <c r="M48" s="406"/>
      <c r="N48" s="406"/>
      <c r="O48" s="406"/>
      <c r="P48" s="406"/>
      <c r="Q48" s="406"/>
      <c r="R48" s="406"/>
      <c r="S48" s="406"/>
      <c r="T48" s="74"/>
    </row>
    <row r="49" spans="2:20" x14ac:dyDescent="0.25">
      <c r="B49" s="185"/>
      <c r="C49" s="178" t="s">
        <v>43</v>
      </c>
      <c r="D49" s="184"/>
      <c r="E49" s="184"/>
      <c r="F49" s="185"/>
      <c r="G49" s="185"/>
      <c r="J49" s="406"/>
      <c r="K49" s="406"/>
      <c r="L49" s="406"/>
      <c r="M49" s="406"/>
      <c r="N49" s="406"/>
      <c r="O49" s="406"/>
      <c r="P49" s="406"/>
      <c r="Q49" s="406"/>
      <c r="R49" s="406"/>
      <c r="S49" s="406"/>
      <c r="T49" s="74"/>
    </row>
    <row r="50" spans="2:20" x14ac:dyDescent="0.25">
      <c r="B50" s="60"/>
      <c r="C50" s="75" t="s">
        <v>44</v>
      </c>
      <c r="D50" s="69" t="s">
        <v>45</v>
      </c>
      <c r="E50" s="69">
        <v>21</v>
      </c>
      <c r="F50" s="66">
        <f>R50+R50*0.15</f>
        <v>8.8221428571428575</v>
      </c>
      <c r="G50" s="67">
        <f>F50*E50</f>
        <v>185.26500000000001</v>
      </c>
      <c r="J50" s="406">
        <v>0</v>
      </c>
      <c r="K50" s="406">
        <f>J50*$E50</f>
        <v>0</v>
      </c>
      <c r="L50" s="406">
        <v>3</v>
      </c>
      <c r="M50" s="406">
        <f>L50*$E50</f>
        <v>63</v>
      </c>
      <c r="N50" s="406">
        <f>' LABOUR BUILD-UP RATES'!F54</f>
        <v>4.6714285714285717</v>
      </c>
      <c r="O50" s="406">
        <f>N50*$E50</f>
        <v>98.100000000000009</v>
      </c>
      <c r="P50" s="406">
        <v>0</v>
      </c>
      <c r="Q50" s="406">
        <v>0</v>
      </c>
      <c r="R50" s="406">
        <f>J50+L50+N50+P50</f>
        <v>7.6714285714285717</v>
      </c>
      <c r="S50" s="406">
        <f>R50*$E50</f>
        <v>161.1</v>
      </c>
      <c r="T50" s="405">
        <v>0.15</v>
      </c>
    </row>
    <row r="51" spans="2:20" x14ac:dyDescent="0.25">
      <c r="B51" s="60"/>
      <c r="C51" s="75"/>
      <c r="D51" s="75"/>
      <c r="E51" s="75"/>
      <c r="F51" s="60"/>
      <c r="G51" s="60"/>
      <c r="J51" s="406"/>
      <c r="K51" s="406"/>
      <c r="L51" s="406"/>
      <c r="M51" s="406"/>
      <c r="N51" s="406"/>
      <c r="O51" s="406"/>
      <c r="P51" s="406"/>
      <c r="Q51" s="406"/>
      <c r="R51" s="406"/>
      <c r="S51" s="406"/>
      <c r="T51" s="74"/>
    </row>
    <row r="52" spans="2:20" x14ac:dyDescent="0.25">
      <c r="B52" s="60"/>
      <c r="C52" s="75" t="s">
        <v>46</v>
      </c>
      <c r="D52" s="75"/>
      <c r="E52" s="75"/>
      <c r="F52" s="60"/>
      <c r="G52" s="60"/>
      <c r="J52" s="406"/>
      <c r="K52" s="406"/>
      <c r="L52" s="406"/>
      <c r="M52" s="406"/>
      <c r="N52" s="406"/>
      <c r="O52" s="406"/>
      <c r="P52" s="406"/>
      <c r="Q52" s="406"/>
      <c r="R52" s="406"/>
      <c r="S52" s="406"/>
      <c r="T52" s="74"/>
    </row>
    <row r="53" spans="2:20" x14ac:dyDescent="0.25">
      <c r="B53" s="60"/>
      <c r="C53" s="75" t="s">
        <v>47</v>
      </c>
      <c r="D53" s="69" t="s">
        <v>45</v>
      </c>
      <c r="E53" s="69">
        <v>21</v>
      </c>
      <c r="F53" s="66">
        <f>R53+R53*0.15</f>
        <v>11.385</v>
      </c>
      <c r="G53" s="67">
        <f>F53*E53</f>
        <v>239.08500000000001</v>
      </c>
      <c r="J53" s="406">
        <v>0</v>
      </c>
      <c r="K53" s="406">
        <f>J53*$E53</f>
        <v>0</v>
      </c>
      <c r="L53" s="406">
        <v>5</v>
      </c>
      <c r="M53" s="406">
        <f>L53*$E53</f>
        <v>105</v>
      </c>
      <c r="N53" s="406">
        <f>' LABOUR BUILD-UP RATES'!F42</f>
        <v>4.9000000000000004</v>
      </c>
      <c r="O53" s="406">
        <f>N53*$E53</f>
        <v>102.9</v>
      </c>
      <c r="P53" s="406">
        <v>0</v>
      </c>
      <c r="Q53" s="406">
        <v>0</v>
      </c>
      <c r="R53" s="406">
        <f>J53+L53+N53+P53</f>
        <v>9.9</v>
      </c>
      <c r="S53" s="406">
        <f>R53*$E53</f>
        <v>207.9</v>
      </c>
      <c r="T53" s="405">
        <v>0.15</v>
      </c>
    </row>
    <row r="54" spans="2:20" x14ac:dyDescent="0.25">
      <c r="B54" s="60"/>
      <c r="C54" s="75"/>
      <c r="D54" s="75"/>
      <c r="E54" s="69"/>
      <c r="F54" s="60"/>
      <c r="G54" s="60"/>
      <c r="J54" s="406"/>
      <c r="K54" s="406"/>
      <c r="L54" s="406"/>
      <c r="M54" s="406"/>
      <c r="N54" s="406"/>
      <c r="O54" s="406"/>
      <c r="P54" s="406"/>
      <c r="Q54" s="406"/>
      <c r="R54" s="406"/>
      <c r="S54" s="406"/>
      <c r="T54" s="74"/>
    </row>
    <row r="55" spans="2:20" x14ac:dyDescent="0.25">
      <c r="B55" s="185"/>
      <c r="C55" s="178" t="s">
        <v>48</v>
      </c>
      <c r="D55" s="184"/>
      <c r="E55" s="197"/>
      <c r="F55" s="185"/>
      <c r="G55" s="185"/>
      <c r="J55" s="406"/>
      <c r="K55" s="406"/>
      <c r="L55" s="406"/>
      <c r="M55" s="406"/>
      <c r="N55" s="406"/>
      <c r="O55" s="406"/>
      <c r="P55" s="406"/>
      <c r="Q55" s="406"/>
      <c r="R55" s="406"/>
      <c r="S55" s="406"/>
      <c r="T55" s="74"/>
    </row>
    <row r="56" spans="2:20" x14ac:dyDescent="0.25">
      <c r="B56" s="60"/>
      <c r="C56" s="75" t="s">
        <v>50</v>
      </c>
      <c r="D56" s="75"/>
      <c r="E56" s="69"/>
      <c r="F56" s="60"/>
      <c r="G56" s="60"/>
      <c r="J56" s="406"/>
      <c r="K56" s="406"/>
      <c r="L56" s="406"/>
      <c r="M56" s="406"/>
      <c r="N56" s="406"/>
      <c r="O56" s="406"/>
      <c r="P56" s="406"/>
      <c r="Q56" s="406"/>
      <c r="R56" s="406"/>
      <c r="S56" s="406"/>
      <c r="T56" s="74"/>
    </row>
    <row r="57" spans="2:20" x14ac:dyDescent="0.25">
      <c r="B57" s="60"/>
      <c r="C57" s="75" t="s">
        <v>49</v>
      </c>
      <c r="D57" s="69" t="s">
        <v>45</v>
      </c>
      <c r="E57" s="69">
        <v>12</v>
      </c>
      <c r="F57" s="66">
        <f>R57+R57*0.15</f>
        <v>9.1835714285714278</v>
      </c>
      <c r="G57" s="67">
        <f>F57*E57</f>
        <v>110.20285714285714</v>
      </c>
      <c r="J57" s="406">
        <v>0</v>
      </c>
      <c r="K57" s="406">
        <f>J57*$E57</f>
        <v>0</v>
      </c>
      <c r="L57" s="406">
        <v>4</v>
      </c>
      <c r="M57" s="406">
        <f>L57*$E57</f>
        <v>48</v>
      </c>
      <c r="N57" s="406">
        <f>' LABOUR BUILD-UP RATES'!F62</f>
        <v>3.9857142857142858</v>
      </c>
      <c r="O57" s="406">
        <f>N57*$E57</f>
        <v>47.828571428571429</v>
      </c>
      <c r="P57" s="406">
        <v>0</v>
      </c>
      <c r="Q57" s="406">
        <v>0</v>
      </c>
      <c r="R57" s="406">
        <f>J57+L57+N57+P57</f>
        <v>7.9857142857142858</v>
      </c>
      <c r="S57" s="406">
        <f>R57*$E57</f>
        <v>95.828571428571422</v>
      </c>
      <c r="T57" s="405">
        <v>0.15</v>
      </c>
    </row>
    <row r="58" spans="2:20" x14ac:dyDescent="0.25">
      <c r="B58" s="60"/>
      <c r="C58" s="75"/>
      <c r="D58" s="75"/>
      <c r="E58" s="69"/>
      <c r="F58" s="60"/>
      <c r="G58" s="60"/>
      <c r="J58" s="406"/>
      <c r="K58" s="406"/>
      <c r="L58" s="406"/>
      <c r="M58" s="406"/>
      <c r="N58" s="406"/>
      <c r="O58" s="406"/>
      <c r="P58" s="406"/>
      <c r="Q58" s="406"/>
      <c r="R58" s="406"/>
      <c r="S58" s="406"/>
      <c r="T58" s="74"/>
    </row>
    <row r="59" spans="2:20" x14ac:dyDescent="0.25">
      <c r="B59" s="60"/>
      <c r="C59" s="75" t="s">
        <v>51</v>
      </c>
      <c r="D59" s="69" t="s">
        <v>45</v>
      </c>
      <c r="E59" s="69">
        <v>15</v>
      </c>
      <c r="F59" s="66">
        <f>R59+R59*0.15</f>
        <v>6.8835714285714289</v>
      </c>
      <c r="G59" s="67">
        <f>F59*E59</f>
        <v>103.25357142857143</v>
      </c>
      <c r="J59" s="406">
        <v>0</v>
      </c>
      <c r="K59" s="406">
        <f>J59*$E59</f>
        <v>0</v>
      </c>
      <c r="L59" s="406">
        <v>2</v>
      </c>
      <c r="M59" s="406">
        <f>L59*$E59</f>
        <v>30</v>
      </c>
      <c r="N59" s="406">
        <f>' LABOUR BUILD-UP RATES'!F62</f>
        <v>3.9857142857142858</v>
      </c>
      <c r="O59" s="406">
        <f>N59*$E59</f>
        <v>59.785714285714285</v>
      </c>
      <c r="P59" s="406">
        <v>0</v>
      </c>
      <c r="Q59" s="406">
        <v>0</v>
      </c>
      <c r="R59" s="406">
        <f>J59+L59+N59+P59</f>
        <v>5.9857142857142858</v>
      </c>
      <c r="S59" s="406">
        <f>R59*$E59</f>
        <v>89.785714285714292</v>
      </c>
      <c r="T59" s="405">
        <v>0.15</v>
      </c>
    </row>
    <row r="60" spans="2:20" x14ac:dyDescent="0.25">
      <c r="B60" s="60"/>
      <c r="C60" s="75"/>
      <c r="D60" s="75"/>
      <c r="E60" s="75"/>
      <c r="F60" s="60"/>
      <c r="G60" s="60"/>
      <c r="J60" s="406"/>
      <c r="K60" s="406"/>
      <c r="L60" s="406"/>
      <c r="M60" s="406"/>
      <c r="N60" s="406"/>
      <c r="O60" s="406"/>
      <c r="P60" s="406"/>
      <c r="Q60" s="406"/>
      <c r="R60" s="406"/>
      <c r="S60" s="406"/>
      <c r="T60" s="74"/>
    </row>
    <row r="61" spans="2:20" x14ac:dyDescent="0.25">
      <c r="B61" s="60"/>
      <c r="C61" s="75" t="s">
        <v>52</v>
      </c>
      <c r="D61" s="75"/>
      <c r="E61" s="75"/>
      <c r="F61" s="60"/>
      <c r="G61" s="60"/>
      <c r="J61" s="406"/>
      <c r="K61" s="406"/>
      <c r="L61" s="406"/>
      <c r="M61" s="406"/>
      <c r="N61" s="406"/>
      <c r="O61" s="406"/>
      <c r="P61" s="406"/>
      <c r="Q61" s="406"/>
      <c r="R61" s="406"/>
      <c r="S61" s="406"/>
      <c r="T61" s="74"/>
    </row>
    <row r="62" spans="2:20" x14ac:dyDescent="0.25">
      <c r="B62" s="60"/>
      <c r="C62" s="75" t="s">
        <v>53</v>
      </c>
      <c r="D62" s="69" t="s">
        <v>20</v>
      </c>
      <c r="E62" s="69">
        <v>106</v>
      </c>
      <c r="F62" s="66">
        <f>R62+R62*0.15</f>
        <v>8.0335714285714293</v>
      </c>
      <c r="G62" s="67">
        <f>F62*E62</f>
        <v>851.55857142857155</v>
      </c>
      <c r="J62" s="406">
        <v>0</v>
      </c>
      <c r="K62" s="406">
        <f>J62*$E62</f>
        <v>0</v>
      </c>
      <c r="L62" s="406">
        <v>3</v>
      </c>
      <c r="M62" s="406">
        <f>L62*$E62</f>
        <v>318</v>
      </c>
      <c r="N62" s="406">
        <f>' LABOUR BUILD-UP RATES'!F62</f>
        <v>3.9857142857142858</v>
      </c>
      <c r="O62" s="406">
        <f>N62*$E62</f>
        <v>422.48571428571427</v>
      </c>
      <c r="P62" s="406">
        <v>0</v>
      </c>
      <c r="Q62" s="406">
        <v>0</v>
      </c>
      <c r="R62" s="406">
        <f>J62+L62+N62+P62</f>
        <v>6.9857142857142858</v>
      </c>
      <c r="S62" s="406">
        <f>R62*$E62</f>
        <v>740.48571428571427</v>
      </c>
      <c r="T62" s="405">
        <v>0.15</v>
      </c>
    </row>
    <row r="63" spans="2:20" x14ac:dyDescent="0.25">
      <c r="B63" s="60"/>
      <c r="C63" s="75"/>
      <c r="D63" s="75"/>
      <c r="E63" s="75"/>
      <c r="F63" s="60"/>
      <c r="G63" s="60"/>
      <c r="J63" s="406"/>
      <c r="K63" s="406"/>
      <c r="L63" s="406"/>
      <c r="M63" s="406"/>
      <c r="N63" s="406"/>
      <c r="O63" s="406"/>
      <c r="P63" s="406"/>
      <c r="Q63" s="406"/>
      <c r="R63" s="406"/>
      <c r="S63" s="406"/>
      <c r="T63" s="74"/>
    </row>
    <row r="64" spans="2:20" x14ac:dyDescent="0.25">
      <c r="B64" s="185"/>
      <c r="C64" s="178" t="s">
        <v>32</v>
      </c>
      <c r="D64" s="184"/>
      <c r="E64" s="197"/>
      <c r="F64" s="185"/>
      <c r="G64" s="185"/>
      <c r="J64" s="406"/>
      <c r="K64" s="406"/>
      <c r="L64" s="406"/>
      <c r="M64" s="406"/>
      <c r="N64" s="406"/>
      <c r="O64" s="406"/>
      <c r="P64" s="406"/>
      <c r="Q64" s="406"/>
      <c r="R64" s="406"/>
      <c r="S64" s="406"/>
      <c r="T64" s="74"/>
    </row>
    <row r="65" spans="2:20" x14ac:dyDescent="0.25">
      <c r="B65" s="60"/>
      <c r="C65" s="75" t="s">
        <v>57</v>
      </c>
      <c r="D65" s="69" t="s">
        <v>20</v>
      </c>
      <c r="E65" s="69">
        <v>15</v>
      </c>
      <c r="F65" s="66">
        <f>R65+R65*0.15</f>
        <v>6.8835714285714289</v>
      </c>
      <c r="G65" s="67">
        <f>F65*E65</f>
        <v>103.25357142857143</v>
      </c>
      <c r="J65" s="406">
        <v>0</v>
      </c>
      <c r="K65" s="406">
        <f>J65*$E65</f>
        <v>0</v>
      </c>
      <c r="L65" s="406">
        <v>2</v>
      </c>
      <c r="M65" s="406">
        <f>L65*$E65</f>
        <v>30</v>
      </c>
      <c r="N65" s="406">
        <f>' LABOUR BUILD-UP RATES'!F62</f>
        <v>3.9857142857142858</v>
      </c>
      <c r="O65" s="406">
        <f>N65*$E65</f>
        <v>59.785714285714285</v>
      </c>
      <c r="P65" s="406">
        <v>0</v>
      </c>
      <c r="Q65" s="406">
        <v>0</v>
      </c>
      <c r="R65" s="406">
        <f>J65+L65+N65+P65</f>
        <v>5.9857142857142858</v>
      </c>
      <c r="S65" s="406">
        <f>R65*$E65</f>
        <v>89.785714285714292</v>
      </c>
      <c r="T65" s="405">
        <v>0.15</v>
      </c>
    </row>
    <row r="66" spans="2:20" x14ac:dyDescent="0.25">
      <c r="B66" s="60"/>
      <c r="C66" s="75"/>
      <c r="D66" s="69"/>
      <c r="E66" s="69"/>
      <c r="F66" s="60"/>
      <c r="G66" s="60"/>
      <c r="J66" s="406"/>
      <c r="K66" s="406"/>
      <c r="L66" s="406"/>
      <c r="M66" s="406"/>
      <c r="N66" s="406"/>
      <c r="O66" s="406"/>
      <c r="P66" s="406"/>
      <c r="Q66" s="406"/>
      <c r="R66" s="406"/>
      <c r="S66" s="406"/>
      <c r="T66" s="74"/>
    </row>
    <row r="67" spans="2:20" x14ac:dyDescent="0.25">
      <c r="B67" s="60"/>
      <c r="C67" s="354" t="s">
        <v>386</v>
      </c>
      <c r="D67" s="359"/>
      <c r="E67" s="359"/>
      <c r="F67" s="355"/>
      <c r="G67" s="362">
        <f>SUM(G10:G66)</f>
        <v>10277.10314285714</v>
      </c>
      <c r="J67" s="406"/>
      <c r="K67" s="362">
        <f>SUM(K10:K66)</f>
        <v>315</v>
      </c>
      <c r="L67" s="406"/>
      <c r="M67" s="362">
        <f>SUM(M10:M66)</f>
        <v>5818</v>
      </c>
      <c r="N67" s="406"/>
      <c r="O67" s="362">
        <f>SUM(O10:O66)</f>
        <v>2803.6114285714289</v>
      </c>
      <c r="P67" s="406"/>
      <c r="Q67" s="362">
        <f>SUM(Q10:Q66)</f>
        <v>0</v>
      </c>
      <c r="R67" s="406"/>
      <c r="S67" s="362">
        <f>SUM(S10:S66)</f>
        <v>8936.6114285714284</v>
      </c>
      <c r="T67" s="74"/>
    </row>
    <row r="68" spans="2:20" x14ac:dyDescent="0.25">
      <c r="B68" s="60"/>
      <c r="C68" s="75"/>
      <c r="D68" s="69"/>
      <c r="E68" s="69"/>
      <c r="F68" s="60"/>
      <c r="G68" s="60"/>
      <c r="J68" s="406"/>
      <c r="K68" s="406"/>
      <c r="L68" s="406"/>
      <c r="M68" s="406"/>
      <c r="N68" s="406"/>
      <c r="O68" s="406"/>
      <c r="P68" s="406"/>
      <c r="Q68" s="406"/>
      <c r="R68" s="406"/>
      <c r="S68" s="406"/>
      <c r="T68" s="74"/>
    </row>
    <row r="69" spans="2:20" x14ac:dyDescent="0.25">
      <c r="B69" s="149" t="s">
        <v>217</v>
      </c>
      <c r="C69" s="150" t="s">
        <v>218</v>
      </c>
      <c r="D69" s="69"/>
      <c r="E69" s="69"/>
      <c r="F69" s="60"/>
      <c r="G69" s="60"/>
      <c r="J69" s="406"/>
      <c r="K69" s="406"/>
      <c r="L69" s="406"/>
      <c r="M69" s="406"/>
      <c r="N69" s="406"/>
      <c r="O69" s="406"/>
      <c r="P69" s="406"/>
      <c r="Q69" s="406"/>
      <c r="R69" s="406"/>
      <c r="S69" s="406"/>
      <c r="T69" s="74"/>
    </row>
    <row r="70" spans="2:20" x14ac:dyDescent="0.25">
      <c r="B70" s="60"/>
      <c r="C70" s="75"/>
      <c r="D70" s="69"/>
      <c r="E70" s="69"/>
      <c r="F70" s="60"/>
      <c r="G70" s="60"/>
      <c r="J70" s="406"/>
      <c r="K70" s="406"/>
      <c r="L70" s="406"/>
      <c r="M70" s="406"/>
      <c r="N70" s="406"/>
      <c r="O70" s="406"/>
      <c r="P70" s="406"/>
      <c r="Q70" s="406"/>
      <c r="R70" s="406"/>
      <c r="S70" s="406"/>
      <c r="T70" s="74"/>
    </row>
    <row r="71" spans="2:20" x14ac:dyDescent="0.25">
      <c r="B71" s="60"/>
      <c r="C71" s="75" t="s">
        <v>54</v>
      </c>
      <c r="D71" s="69" t="s">
        <v>45</v>
      </c>
      <c r="E71" s="69">
        <v>11</v>
      </c>
      <c r="F71" s="66">
        <f>R71+R71*0.15</f>
        <v>95.499853246753275</v>
      </c>
      <c r="G71" s="67">
        <f>F71*E71</f>
        <v>1050.4983857142861</v>
      </c>
      <c r="J71" s="406">
        <f>'MATERIAL BUILD-UP RATES'!F47</f>
        <v>76.803090909090926</v>
      </c>
      <c r="K71" s="406">
        <f>J71*$E71</f>
        <v>844.83400000000017</v>
      </c>
      <c r="L71" s="406">
        <v>2</v>
      </c>
      <c r="M71" s="406">
        <f>L71*$E71</f>
        <v>22</v>
      </c>
      <c r="N71" s="406">
        <f>' LABOUR BUILD-UP RATES'!F72</f>
        <v>4.2402597402597397</v>
      </c>
      <c r="O71" s="406">
        <f>N71*$E71</f>
        <v>46.642857142857139</v>
      </c>
      <c r="P71" s="406">
        <v>0</v>
      </c>
      <c r="Q71" s="406">
        <v>0</v>
      </c>
      <c r="R71" s="406">
        <f>J71+L71+N71+P71</f>
        <v>83.043350649350671</v>
      </c>
      <c r="S71" s="406">
        <f t="shared" ref="S71:S77" si="0">R71*$E71</f>
        <v>913.4768571428574</v>
      </c>
      <c r="T71" s="405">
        <v>0.15</v>
      </c>
    </row>
    <row r="72" spans="2:20" x14ac:dyDescent="0.25">
      <c r="B72" s="60"/>
      <c r="C72" s="75"/>
      <c r="D72" s="75"/>
      <c r="E72" s="69"/>
      <c r="F72" s="60"/>
      <c r="G72" s="60"/>
      <c r="J72" s="406"/>
      <c r="K72" s="406"/>
      <c r="L72" s="406"/>
      <c r="M72" s="406"/>
      <c r="N72" s="406"/>
      <c r="O72" s="406"/>
      <c r="P72" s="406"/>
      <c r="Q72" s="406"/>
      <c r="R72" s="406"/>
      <c r="S72" s="406"/>
      <c r="T72" s="74"/>
    </row>
    <row r="73" spans="2:20" x14ac:dyDescent="0.25">
      <c r="B73" s="60"/>
      <c r="C73" s="75" t="s">
        <v>55</v>
      </c>
      <c r="D73" s="69" t="s">
        <v>45</v>
      </c>
      <c r="E73" s="69">
        <v>8</v>
      </c>
      <c r="F73" s="66">
        <f>R73+R73*0.15</f>
        <v>99.341898701298717</v>
      </c>
      <c r="G73" s="67">
        <f>F73*E73</f>
        <v>794.73518961038974</v>
      </c>
      <c r="J73" s="406">
        <f>'MATERIAL BUILD-UP RATES'!F63</f>
        <v>77.144000000000005</v>
      </c>
      <c r="K73" s="406">
        <f>J73*$E73</f>
        <v>617.15200000000004</v>
      </c>
      <c r="L73" s="406">
        <v>5</v>
      </c>
      <c r="M73" s="406">
        <f>L73*$E73</f>
        <v>40</v>
      </c>
      <c r="N73" s="406">
        <f>' LABOUR BUILD-UP RATES'!F72</f>
        <v>4.2402597402597397</v>
      </c>
      <c r="O73" s="406">
        <f>N73*$E73</f>
        <v>33.922077922077918</v>
      </c>
      <c r="P73" s="406">
        <v>0</v>
      </c>
      <c r="Q73" s="406">
        <v>0</v>
      </c>
      <c r="R73" s="406">
        <f>J73+L73+N73+P73</f>
        <v>86.384259740259751</v>
      </c>
      <c r="S73" s="406">
        <f t="shared" si="0"/>
        <v>691.074077922078</v>
      </c>
      <c r="T73" s="405">
        <v>0.15</v>
      </c>
    </row>
    <row r="74" spans="2:20" x14ac:dyDescent="0.25">
      <c r="B74" s="60"/>
      <c r="C74" s="75"/>
      <c r="D74" s="75"/>
      <c r="E74" s="69"/>
      <c r="F74" s="60"/>
      <c r="G74" s="60"/>
      <c r="J74" s="406"/>
      <c r="K74" s="406"/>
      <c r="L74" s="406"/>
      <c r="M74" s="406"/>
      <c r="N74" s="406"/>
      <c r="O74" s="406"/>
      <c r="P74" s="406"/>
      <c r="Q74" s="406"/>
      <c r="R74" s="406"/>
      <c r="S74" s="406"/>
      <c r="T74" s="74"/>
    </row>
    <row r="75" spans="2:20" x14ac:dyDescent="0.25">
      <c r="B75" s="60"/>
      <c r="C75" t="s">
        <v>267</v>
      </c>
      <c r="D75" s="69" t="s">
        <v>20</v>
      </c>
      <c r="E75" s="69">
        <v>15</v>
      </c>
      <c r="F75" s="66">
        <f>R75+R75*0.15</f>
        <v>10.1614</v>
      </c>
      <c r="G75" s="67">
        <f>F75*E75</f>
        <v>152.42099999999999</v>
      </c>
      <c r="J75" s="406">
        <f>'MATERIAL BUILD-UP RATES'!F87</f>
        <v>4</v>
      </c>
      <c r="K75" s="406">
        <f>J75*$E75</f>
        <v>60</v>
      </c>
      <c r="L75" s="406">
        <v>1</v>
      </c>
      <c r="M75" s="406">
        <f>L75*$E75</f>
        <v>15</v>
      </c>
      <c r="N75" s="406">
        <f>' LABOUR BUILD-UP RATES'!F81</f>
        <v>3.8359999999999999</v>
      </c>
      <c r="O75" s="406">
        <f>N75*$E75</f>
        <v>57.54</v>
      </c>
      <c r="P75" s="406">
        <v>0</v>
      </c>
      <c r="Q75" s="406">
        <v>0</v>
      </c>
      <c r="R75" s="406">
        <f>J75+L75+N75+P75</f>
        <v>8.8360000000000003</v>
      </c>
      <c r="S75" s="406">
        <f t="shared" si="0"/>
        <v>132.54</v>
      </c>
      <c r="T75" s="405">
        <v>0.15</v>
      </c>
    </row>
    <row r="76" spans="2:20" x14ac:dyDescent="0.25">
      <c r="B76" s="60"/>
      <c r="C76" s="75"/>
      <c r="D76" s="75"/>
      <c r="E76" s="69"/>
      <c r="F76" s="60"/>
      <c r="G76" s="60"/>
      <c r="J76" s="406"/>
      <c r="K76" s="406"/>
      <c r="L76" s="406"/>
      <c r="M76" s="406"/>
      <c r="N76" s="406"/>
      <c r="O76" s="406"/>
      <c r="P76" s="406"/>
      <c r="Q76" s="406"/>
      <c r="R76" s="406"/>
      <c r="S76" s="406"/>
      <c r="T76" s="74"/>
    </row>
    <row r="77" spans="2:20" x14ac:dyDescent="0.25">
      <c r="B77" s="60"/>
      <c r="C77" s="75" t="s">
        <v>220</v>
      </c>
      <c r="D77" s="69" t="s">
        <v>20</v>
      </c>
      <c r="E77" s="69">
        <v>15</v>
      </c>
      <c r="F77" s="66">
        <f>R77+R77*0.15</f>
        <v>6.9989000000000008</v>
      </c>
      <c r="G77" s="67">
        <f>F77*E77</f>
        <v>104.98350000000001</v>
      </c>
      <c r="J77" s="406">
        <f>'MATERIAL BUILD-UP RATES'!F122</f>
        <v>1.25</v>
      </c>
      <c r="K77" s="406">
        <f>J77*$E77</f>
        <v>18.75</v>
      </c>
      <c r="L77" s="406">
        <v>1</v>
      </c>
      <c r="M77" s="406">
        <f>L77*$E77</f>
        <v>15</v>
      </c>
      <c r="N77" s="406">
        <f>' LABOUR BUILD-UP RATES'!F81</f>
        <v>3.8359999999999999</v>
      </c>
      <c r="O77" s="406">
        <f>N77*$E77</f>
        <v>57.54</v>
      </c>
      <c r="P77" s="406">
        <v>0</v>
      </c>
      <c r="Q77" s="406">
        <v>0</v>
      </c>
      <c r="R77" s="406">
        <f>J77+L77+N77+P77</f>
        <v>6.0860000000000003</v>
      </c>
      <c r="S77" s="406">
        <f t="shared" si="0"/>
        <v>91.29</v>
      </c>
      <c r="T77" s="405">
        <v>0.15</v>
      </c>
    </row>
    <row r="78" spans="2:20" x14ac:dyDescent="0.25">
      <c r="B78" s="60"/>
      <c r="C78" s="75"/>
      <c r="D78" s="69"/>
      <c r="E78" s="69"/>
      <c r="F78" s="60"/>
      <c r="G78" s="60"/>
      <c r="J78" s="406"/>
      <c r="K78" s="406"/>
      <c r="L78" s="406"/>
      <c r="M78" s="406"/>
      <c r="N78" s="406"/>
      <c r="O78" s="406"/>
      <c r="P78" s="406"/>
      <c r="Q78" s="406"/>
      <c r="R78" s="406"/>
      <c r="S78" s="406"/>
      <c r="T78" s="74"/>
    </row>
    <row r="79" spans="2:20" x14ac:dyDescent="0.25">
      <c r="B79" s="60"/>
      <c r="C79" s="75" t="s">
        <v>151</v>
      </c>
      <c r="D79" s="69"/>
      <c r="E79" s="69"/>
      <c r="F79" s="60"/>
      <c r="G79" s="60"/>
      <c r="J79" s="406"/>
      <c r="K79" s="406"/>
      <c r="L79" s="406"/>
      <c r="M79" s="406"/>
      <c r="N79" s="406"/>
      <c r="O79" s="406"/>
      <c r="P79" s="406"/>
      <c r="Q79" s="406"/>
      <c r="R79" s="406"/>
      <c r="S79" s="406"/>
      <c r="T79" s="74"/>
    </row>
    <row r="80" spans="2:20" x14ac:dyDescent="0.25">
      <c r="B80" s="60"/>
      <c r="C80" s="75" t="s">
        <v>152</v>
      </c>
      <c r="D80" s="69" t="s">
        <v>45</v>
      </c>
      <c r="E80" s="69">
        <v>0.41</v>
      </c>
      <c r="F80" s="66">
        <f>R80+R80*0.15</f>
        <v>125.95317918910359</v>
      </c>
      <c r="G80" s="67">
        <f>F80*E80</f>
        <v>51.640803467532471</v>
      </c>
      <c r="J80" s="406">
        <f>'MATERIAL BUILD-UP RATES'!F79</f>
        <v>100.28424390243903</v>
      </c>
      <c r="K80" s="406">
        <f>J80*$E80</f>
        <v>41.116540000000001</v>
      </c>
      <c r="L80" s="406">
        <v>5</v>
      </c>
      <c r="M80" s="406">
        <f>L80*$E80</f>
        <v>2.0499999999999998</v>
      </c>
      <c r="N80" s="406">
        <f>' LABOUR BUILD-UP RATES'!F72</f>
        <v>4.2402597402597397</v>
      </c>
      <c r="O80" s="406">
        <f>N80*$E80</f>
        <v>1.7385064935064931</v>
      </c>
      <c r="P80" s="406">
        <v>0</v>
      </c>
      <c r="Q80" s="406">
        <v>0</v>
      </c>
      <c r="R80" s="406">
        <f t="shared" ref="R80" si="1">J80+L80+N80+P80</f>
        <v>109.52450364269878</v>
      </c>
      <c r="S80" s="406">
        <f t="shared" ref="S80" si="2">R80*$E80</f>
        <v>44.905046493506497</v>
      </c>
      <c r="T80" s="405">
        <v>0.15</v>
      </c>
    </row>
    <row r="81" spans="2:20" x14ac:dyDescent="0.25">
      <c r="B81" s="60"/>
      <c r="C81" s="75"/>
      <c r="D81" s="69"/>
      <c r="E81" s="69"/>
      <c r="F81" s="60"/>
      <c r="G81" s="60"/>
      <c r="J81" s="406"/>
      <c r="K81" s="406"/>
      <c r="L81" s="406"/>
      <c r="M81" s="406"/>
      <c r="N81" s="406"/>
      <c r="O81" s="406"/>
      <c r="P81" s="406"/>
      <c r="Q81" s="406"/>
      <c r="R81" s="406"/>
      <c r="S81" s="406"/>
      <c r="T81" s="74"/>
    </row>
    <row r="82" spans="2:20" x14ac:dyDescent="0.25">
      <c r="B82" s="60"/>
      <c r="C82" s="75" t="s">
        <v>153</v>
      </c>
      <c r="D82" s="69"/>
      <c r="E82" s="69"/>
      <c r="F82" s="60"/>
      <c r="G82" s="60"/>
      <c r="J82" s="406"/>
      <c r="K82" s="406"/>
      <c r="L82" s="406"/>
      <c r="M82" s="406"/>
      <c r="N82" s="406"/>
      <c r="O82" s="406"/>
      <c r="P82" s="406"/>
      <c r="Q82" s="406"/>
      <c r="R82" s="406"/>
      <c r="S82" s="406"/>
      <c r="T82" s="74"/>
    </row>
    <row r="83" spans="2:20" x14ac:dyDescent="0.25">
      <c r="B83" s="60"/>
      <c r="C83" s="75" t="s">
        <v>154</v>
      </c>
      <c r="D83" s="69" t="s">
        <v>20</v>
      </c>
      <c r="E83" s="69">
        <v>1.78</v>
      </c>
      <c r="F83" s="66">
        <f>R83+R83*0.15</f>
        <v>37.911360000000002</v>
      </c>
      <c r="G83" s="67">
        <f>F83*E83</f>
        <v>67.482220800000007</v>
      </c>
      <c r="J83" s="406">
        <f>'MATERIAL BUILD-UP RATES'!F99</f>
        <v>26.130400000000002</v>
      </c>
      <c r="K83" s="406">
        <f>J83*$E83</f>
        <v>46.512112000000002</v>
      </c>
      <c r="L83" s="406">
        <v>3</v>
      </c>
      <c r="M83" s="406">
        <f>L83*$E83</f>
        <v>5.34</v>
      </c>
      <c r="N83" s="406">
        <f>' LABOUR BUILD-UP RATES'!F90</f>
        <v>3.8359999999999999</v>
      </c>
      <c r="O83" s="406">
        <f>N83*$E83</f>
        <v>6.8280799999999999</v>
      </c>
      <c r="P83" s="406">
        <v>0</v>
      </c>
      <c r="Q83" s="406">
        <v>0</v>
      </c>
      <c r="R83" s="406">
        <f t="shared" ref="R83" si="3">J83+L83+N83+P83</f>
        <v>32.9664</v>
      </c>
      <c r="S83" s="406">
        <f t="shared" ref="S83" si="4">R83*$E83</f>
        <v>58.680191999999998</v>
      </c>
      <c r="T83" s="405">
        <v>0.15</v>
      </c>
    </row>
    <row r="84" spans="2:20" x14ac:dyDescent="0.25">
      <c r="B84" s="60"/>
      <c r="C84" s="75"/>
      <c r="D84" s="69"/>
      <c r="E84" s="69"/>
      <c r="F84" s="60"/>
      <c r="G84" s="60"/>
      <c r="J84" s="406"/>
      <c r="K84" s="406"/>
      <c r="L84" s="406"/>
      <c r="M84" s="406"/>
      <c r="N84" s="406"/>
      <c r="O84" s="406"/>
      <c r="P84" s="406"/>
      <c r="Q84" s="406"/>
      <c r="R84" s="406"/>
      <c r="S84" s="406"/>
      <c r="T84" s="74"/>
    </row>
    <row r="85" spans="2:20" x14ac:dyDescent="0.25">
      <c r="B85" s="60"/>
      <c r="C85" s="75" t="s">
        <v>219</v>
      </c>
      <c r="D85" s="69" t="s">
        <v>20</v>
      </c>
      <c r="E85" s="69">
        <v>0.92</v>
      </c>
      <c r="F85" s="66">
        <f>R85+R85*0.15</f>
        <v>17.93356</v>
      </c>
      <c r="G85" s="67">
        <f>F85*E85</f>
        <v>16.498875200000001</v>
      </c>
      <c r="J85" s="406">
        <f>'MATERIAL BUILD-UP RATES'!F106</f>
        <v>8.7584</v>
      </c>
      <c r="K85" s="406">
        <f>J85*$E85</f>
        <v>8.0577280000000009</v>
      </c>
      <c r="L85" s="406">
        <v>3</v>
      </c>
      <c r="M85" s="406">
        <f>L85*$E85</f>
        <v>2.7600000000000002</v>
      </c>
      <c r="N85" s="406">
        <f>' LABOUR BUILD-UP RATES'!F90</f>
        <v>3.8359999999999999</v>
      </c>
      <c r="O85" s="406">
        <f>N85*$E85</f>
        <v>3.5291199999999998</v>
      </c>
      <c r="P85" s="406">
        <v>0</v>
      </c>
      <c r="Q85" s="406">
        <v>0</v>
      </c>
      <c r="R85" s="406">
        <f t="shared" ref="R85" si="5">J85+L85+N85+P85</f>
        <v>15.5944</v>
      </c>
      <c r="S85" s="406">
        <f t="shared" ref="S85" si="6">R85*$E85</f>
        <v>14.346848000000001</v>
      </c>
      <c r="T85" s="405">
        <v>0.15</v>
      </c>
    </row>
    <row r="86" spans="2:20" x14ac:dyDescent="0.25">
      <c r="B86" s="60"/>
      <c r="C86" s="75"/>
      <c r="D86" s="69"/>
      <c r="E86" s="69"/>
      <c r="F86" s="60"/>
      <c r="G86" s="60"/>
      <c r="J86" s="406"/>
      <c r="K86" s="406"/>
      <c r="L86" s="406"/>
      <c r="M86" s="406"/>
      <c r="N86" s="406"/>
      <c r="O86" s="406"/>
      <c r="P86" s="406"/>
      <c r="Q86" s="406"/>
      <c r="R86" s="406"/>
      <c r="S86" s="406"/>
      <c r="T86" s="74"/>
    </row>
    <row r="87" spans="2:20" x14ac:dyDescent="0.25">
      <c r="B87" s="60"/>
      <c r="C87" s="75" t="s">
        <v>155</v>
      </c>
      <c r="D87" s="69" t="s">
        <v>156</v>
      </c>
      <c r="E87" s="69">
        <v>50</v>
      </c>
      <c r="F87" s="66">
        <f>R87+R87*0.15</f>
        <v>79.1614</v>
      </c>
      <c r="G87" s="67">
        <f>F87*E87</f>
        <v>3958.07</v>
      </c>
      <c r="J87" s="406">
        <f>'MATERIAL BUILD-UP RATES'!F114</f>
        <v>60</v>
      </c>
      <c r="K87" s="406">
        <f>J87*$E87</f>
        <v>3000</v>
      </c>
      <c r="L87" s="406">
        <v>5</v>
      </c>
      <c r="M87" s="406">
        <f>L87*$E87</f>
        <v>250</v>
      </c>
      <c r="N87" s="406">
        <f>' LABOUR BUILD-UP RATES'!F81</f>
        <v>3.8359999999999999</v>
      </c>
      <c r="O87" s="406">
        <f>N87*$E87</f>
        <v>191.79999999999998</v>
      </c>
      <c r="P87" s="406">
        <v>0</v>
      </c>
      <c r="Q87" s="406">
        <v>0</v>
      </c>
      <c r="R87" s="406">
        <f t="shared" ref="R87" si="7">J87+L87+N87+P87</f>
        <v>68.835999999999999</v>
      </c>
      <c r="S87" s="406">
        <f t="shared" ref="S87" si="8">R87*$E87</f>
        <v>3441.7999999999997</v>
      </c>
      <c r="T87" s="405">
        <v>0.15</v>
      </c>
    </row>
    <row r="88" spans="2:20" x14ac:dyDescent="0.25">
      <c r="B88" s="60"/>
      <c r="C88" s="75"/>
      <c r="D88" s="69"/>
      <c r="E88" s="69"/>
      <c r="F88" s="60"/>
      <c r="G88" s="60"/>
      <c r="J88" s="406"/>
      <c r="K88" s="406"/>
      <c r="L88" s="406"/>
      <c r="M88" s="406"/>
      <c r="N88" s="406"/>
      <c r="O88" s="406"/>
      <c r="P88" s="406"/>
      <c r="Q88" s="406"/>
      <c r="R88" s="406"/>
      <c r="S88" s="406"/>
      <c r="T88" s="74"/>
    </row>
    <row r="89" spans="2:20" x14ac:dyDescent="0.25">
      <c r="B89" s="60"/>
      <c r="C89" s="75" t="s">
        <v>157</v>
      </c>
      <c r="D89" s="69" t="s">
        <v>39</v>
      </c>
      <c r="E89" s="69"/>
      <c r="F89" s="60"/>
      <c r="G89" s="60"/>
      <c r="J89" s="406"/>
      <c r="K89" s="406"/>
      <c r="L89" s="406"/>
      <c r="M89" s="406"/>
      <c r="N89" s="406"/>
      <c r="O89" s="406"/>
      <c r="P89" s="406"/>
      <c r="Q89" s="406"/>
      <c r="R89" s="406"/>
      <c r="S89" s="406"/>
      <c r="T89" s="74"/>
    </row>
    <row r="90" spans="2:20" x14ac:dyDescent="0.25">
      <c r="B90" s="60"/>
      <c r="C90" s="75"/>
      <c r="D90" s="69"/>
      <c r="E90" s="69"/>
      <c r="F90" s="60"/>
      <c r="G90" s="60"/>
      <c r="J90" s="406"/>
      <c r="K90" s="406"/>
      <c r="L90" s="406"/>
      <c r="M90" s="406"/>
      <c r="N90" s="406"/>
      <c r="O90" s="406"/>
      <c r="P90" s="406"/>
      <c r="Q90" s="406"/>
      <c r="R90" s="406"/>
      <c r="S90" s="406"/>
      <c r="T90" s="74"/>
    </row>
    <row r="91" spans="2:20" x14ac:dyDescent="0.25">
      <c r="B91" s="60"/>
      <c r="C91" s="354" t="s">
        <v>387</v>
      </c>
      <c r="D91" s="359"/>
      <c r="E91" s="359"/>
      <c r="F91" s="355"/>
      <c r="G91" s="362">
        <f>SUM(G71:G90)</f>
        <v>6196.3299747922083</v>
      </c>
      <c r="J91" s="406"/>
      <c r="K91" s="362">
        <f>SUM(K71:K90)</f>
        <v>4636.42238</v>
      </c>
      <c r="L91" s="406"/>
      <c r="M91" s="362">
        <f>SUM(M71:M90)</f>
        <v>352.15</v>
      </c>
      <c r="N91" s="406"/>
      <c r="O91" s="362">
        <f>SUM(O71:O90)</f>
        <v>399.54064155844151</v>
      </c>
      <c r="P91" s="406"/>
      <c r="Q91" s="362">
        <f>SUM(Q71:Q90)</f>
        <v>0</v>
      </c>
      <c r="R91" s="406"/>
      <c r="S91" s="362">
        <f>SUM(S71:S90)</f>
        <v>5388.1130215584417</v>
      </c>
      <c r="T91" s="74"/>
    </row>
    <row r="92" spans="2:20" x14ac:dyDescent="0.25">
      <c r="B92" s="60"/>
      <c r="C92" s="75"/>
      <c r="D92" s="69"/>
      <c r="E92" s="69"/>
      <c r="F92" s="60"/>
      <c r="G92" s="60"/>
      <c r="J92" s="406"/>
      <c r="K92" s="406"/>
      <c r="L92" s="406"/>
      <c r="M92" s="406"/>
      <c r="N92" s="406"/>
      <c r="O92" s="406"/>
      <c r="P92" s="406"/>
      <c r="Q92" s="406"/>
      <c r="R92" s="406"/>
      <c r="S92" s="406"/>
      <c r="T92" s="74"/>
    </row>
    <row r="93" spans="2:20" x14ac:dyDescent="0.25">
      <c r="B93" s="149" t="s">
        <v>277</v>
      </c>
      <c r="C93" s="150" t="s">
        <v>278</v>
      </c>
      <c r="D93" s="69"/>
      <c r="E93" s="69"/>
      <c r="F93" s="60"/>
      <c r="G93" s="60"/>
      <c r="J93" s="406"/>
      <c r="K93" s="406"/>
      <c r="L93" s="406"/>
      <c r="M93" s="406"/>
      <c r="N93" s="406"/>
      <c r="O93" s="406"/>
      <c r="P93" s="406"/>
      <c r="Q93" s="406"/>
      <c r="R93" s="406"/>
      <c r="S93" s="406"/>
      <c r="T93" s="74"/>
    </row>
    <row r="94" spans="2:20" x14ac:dyDescent="0.25">
      <c r="B94" s="60"/>
      <c r="C94" s="75"/>
      <c r="D94" s="69"/>
      <c r="E94" s="69"/>
      <c r="F94" s="60"/>
      <c r="G94" s="60"/>
      <c r="J94" s="406"/>
      <c r="K94" s="406"/>
      <c r="L94" s="406"/>
      <c r="M94" s="406"/>
      <c r="N94" s="406"/>
      <c r="O94" s="406"/>
      <c r="P94" s="406"/>
      <c r="Q94" s="406"/>
      <c r="R94" s="406"/>
      <c r="S94" s="406"/>
      <c r="T94" s="74"/>
    </row>
    <row r="95" spans="2:20" ht="15.75" x14ac:dyDescent="0.25">
      <c r="B95" s="60"/>
      <c r="C95" s="244" t="s">
        <v>67</v>
      </c>
      <c r="D95" s="244"/>
      <c r="E95" s="245"/>
      <c r="F95" s="60"/>
      <c r="G95" s="60"/>
      <c r="J95" s="406"/>
      <c r="K95" s="406"/>
      <c r="L95" s="406"/>
      <c r="M95" s="406"/>
      <c r="N95" s="406"/>
      <c r="O95" s="406"/>
      <c r="P95" s="406"/>
      <c r="Q95" s="406"/>
      <c r="R95" s="406"/>
      <c r="S95" s="406"/>
      <c r="T95" s="74"/>
    </row>
    <row r="96" spans="2:20" ht="15.75" x14ac:dyDescent="0.25">
      <c r="B96" s="60"/>
      <c r="C96" s="244" t="s">
        <v>58</v>
      </c>
      <c r="D96" s="245" t="s">
        <v>20</v>
      </c>
      <c r="E96" s="245">
        <v>27</v>
      </c>
      <c r="F96" s="66">
        <f>R96+R96*0.15</f>
        <v>53.597608157894733</v>
      </c>
      <c r="G96" s="67">
        <f>F96*E96</f>
        <v>1447.1354202631578</v>
      </c>
      <c r="J96" s="406">
        <f>'MATERIAL BUILD-UP RATES'!F140</f>
        <v>41.076315789473682</v>
      </c>
      <c r="K96" s="406">
        <f>J96*$E96</f>
        <v>1109.0605263157895</v>
      </c>
      <c r="L96" s="406">
        <v>4</v>
      </c>
      <c r="M96" s="406">
        <f>L96*$E96</f>
        <v>108</v>
      </c>
      <c r="N96" s="406">
        <f>' LABOUR BUILD-UP RATES'!F101</f>
        <v>1.5303</v>
      </c>
      <c r="O96" s="406">
        <f>N96*$E96</f>
        <v>41.318100000000001</v>
      </c>
      <c r="P96" s="406">
        <v>0</v>
      </c>
      <c r="Q96" s="406">
        <v>0</v>
      </c>
      <c r="R96" s="406">
        <f t="shared" ref="R96" si="9">J96+L96+N96+P96</f>
        <v>46.606615789473679</v>
      </c>
      <c r="S96" s="406">
        <f t="shared" ref="S96" si="10">R96*$E96</f>
        <v>1258.3786263157892</v>
      </c>
      <c r="T96" s="405">
        <v>0.15</v>
      </c>
    </row>
    <row r="97" spans="2:20" ht="15.75" x14ac:dyDescent="0.25">
      <c r="B97" s="60"/>
      <c r="C97" s="244"/>
      <c r="D97" s="245"/>
      <c r="E97" s="245"/>
      <c r="F97" s="60"/>
      <c r="G97" s="60"/>
      <c r="J97" s="406"/>
      <c r="K97" s="406"/>
      <c r="L97" s="406"/>
      <c r="M97" s="406"/>
      <c r="N97" s="406"/>
      <c r="O97" s="406"/>
      <c r="P97" s="406"/>
      <c r="Q97" s="406"/>
      <c r="R97" s="406"/>
      <c r="S97" s="406"/>
      <c r="T97" s="74"/>
    </row>
    <row r="98" spans="2:20" ht="15.75" x14ac:dyDescent="0.25">
      <c r="B98" s="60"/>
      <c r="C98" s="244" t="s">
        <v>291</v>
      </c>
      <c r="D98" s="245"/>
      <c r="E98" s="245"/>
      <c r="F98" s="60"/>
      <c r="G98" s="60"/>
      <c r="J98" s="406"/>
      <c r="K98" s="406"/>
      <c r="L98" s="406"/>
      <c r="M98" s="406"/>
      <c r="N98" s="406"/>
      <c r="O98" s="406"/>
      <c r="P98" s="406"/>
      <c r="Q98" s="406"/>
      <c r="R98" s="406"/>
      <c r="S98" s="406"/>
      <c r="T98" s="74"/>
    </row>
    <row r="99" spans="2:20" ht="15.75" x14ac:dyDescent="0.25">
      <c r="B99" s="60"/>
      <c r="C99" s="244" t="s">
        <v>59</v>
      </c>
      <c r="D99" s="245" t="s">
        <v>20</v>
      </c>
      <c r="E99" s="245">
        <v>17</v>
      </c>
      <c r="F99" s="66">
        <f>R99+R99*0.15</f>
        <v>31.292155876623379</v>
      </c>
      <c r="G99" s="67">
        <f>F99*E99</f>
        <v>531.9666499025974</v>
      </c>
      <c r="J99" s="406">
        <f>'MATERIAL BUILD-UP RATES'!F155</f>
        <v>21.687245652173914</v>
      </c>
      <c r="K99" s="406">
        <f>J99*$E99</f>
        <v>368.68317608695656</v>
      </c>
      <c r="L99" s="406">
        <v>4</v>
      </c>
      <c r="M99" s="406">
        <f>L99*$E99</f>
        <v>68</v>
      </c>
      <c r="N99" s="406">
        <f>' LABOUR BUILD-UP RATES'!F110</f>
        <v>1.5233246753246754</v>
      </c>
      <c r="O99" s="406">
        <f>N99*$E99</f>
        <v>25.896519480519483</v>
      </c>
      <c r="P99" s="406">
        <v>0</v>
      </c>
      <c r="Q99" s="406">
        <v>0</v>
      </c>
      <c r="R99" s="406">
        <f t="shared" ref="R99" si="11">J99+L99+N99+P99</f>
        <v>27.210570327498591</v>
      </c>
      <c r="S99" s="406">
        <f t="shared" ref="S99" si="12">R99*$E99</f>
        <v>462.57969556747605</v>
      </c>
      <c r="T99" s="405">
        <v>0.15</v>
      </c>
    </row>
    <row r="100" spans="2:20" ht="15.75" x14ac:dyDescent="0.25">
      <c r="B100" s="60"/>
      <c r="C100" s="244"/>
      <c r="D100" s="245"/>
      <c r="E100" s="245"/>
      <c r="F100" s="60"/>
      <c r="G100" s="60"/>
      <c r="J100" s="406"/>
      <c r="K100" s="406"/>
      <c r="L100" s="406"/>
      <c r="M100" s="406"/>
      <c r="N100" s="406"/>
      <c r="O100" s="406"/>
      <c r="P100" s="406"/>
      <c r="Q100" s="406"/>
      <c r="R100" s="406"/>
      <c r="S100" s="406"/>
      <c r="T100" s="74"/>
    </row>
    <row r="101" spans="2:20" ht="15.75" x14ac:dyDescent="0.25">
      <c r="B101" s="60"/>
      <c r="C101" s="244" t="s">
        <v>60</v>
      </c>
      <c r="D101" s="245"/>
      <c r="E101" s="245"/>
      <c r="F101" s="60"/>
      <c r="G101" s="60"/>
      <c r="J101" s="406"/>
      <c r="K101" s="406"/>
      <c r="L101" s="406"/>
      <c r="M101" s="406"/>
      <c r="N101" s="406"/>
      <c r="O101" s="406"/>
      <c r="P101" s="406"/>
      <c r="Q101" s="406"/>
      <c r="R101" s="406"/>
      <c r="S101" s="406"/>
      <c r="T101" s="74"/>
    </row>
    <row r="102" spans="2:20" ht="15.75" x14ac:dyDescent="0.25">
      <c r="B102" s="60"/>
      <c r="C102" s="244" t="s">
        <v>61</v>
      </c>
      <c r="D102" s="245" t="s">
        <v>20</v>
      </c>
      <c r="E102" s="245">
        <v>125</v>
      </c>
      <c r="F102" s="66">
        <f>R102+R102*0.15</f>
        <v>53.597608157894733</v>
      </c>
      <c r="G102" s="67">
        <f>F102*E102</f>
        <v>6699.7010197368418</v>
      </c>
      <c r="J102" s="406">
        <f>'MATERIAL BUILD-UP RATES'!F140</f>
        <v>41.076315789473682</v>
      </c>
      <c r="K102" s="406">
        <f>J102*$E102</f>
        <v>5134.53947368421</v>
      </c>
      <c r="L102" s="406">
        <v>4</v>
      </c>
      <c r="M102" s="406">
        <f>L102*$E102</f>
        <v>500</v>
      </c>
      <c r="N102" s="406">
        <f>' LABOUR BUILD-UP RATES'!F101</f>
        <v>1.5303</v>
      </c>
      <c r="O102" s="406">
        <f>N102*$E102</f>
        <v>191.28749999999999</v>
      </c>
      <c r="P102" s="406">
        <v>0</v>
      </c>
      <c r="Q102" s="406">
        <v>0</v>
      </c>
      <c r="R102" s="406">
        <f t="shared" ref="R102" si="13">J102+L102+N102+P102</f>
        <v>46.606615789473679</v>
      </c>
      <c r="S102" s="406">
        <f t="shared" ref="S102" si="14">R102*$E102</f>
        <v>5825.8269736842103</v>
      </c>
      <c r="T102" s="405">
        <v>0.15</v>
      </c>
    </row>
    <row r="103" spans="2:20" ht="15.75" x14ac:dyDescent="0.25">
      <c r="B103" s="60"/>
      <c r="C103" s="244"/>
      <c r="D103" s="245"/>
      <c r="E103" s="245"/>
      <c r="F103" s="60"/>
      <c r="G103" s="60"/>
      <c r="J103" s="406"/>
      <c r="K103" s="406"/>
      <c r="L103" s="406"/>
      <c r="M103" s="406"/>
      <c r="N103" s="406"/>
      <c r="O103" s="406"/>
      <c r="P103" s="406"/>
      <c r="Q103" s="406"/>
      <c r="R103" s="406"/>
      <c r="S103" s="406"/>
      <c r="T103" s="74"/>
    </row>
    <row r="104" spans="2:20" ht="15.75" x14ac:dyDescent="0.25">
      <c r="B104" s="60"/>
      <c r="C104" s="244" t="s">
        <v>147</v>
      </c>
      <c r="D104" s="245"/>
      <c r="E104" s="245"/>
      <c r="F104" s="60"/>
      <c r="G104" s="60"/>
      <c r="J104" s="406"/>
      <c r="K104" s="406"/>
      <c r="L104" s="406"/>
      <c r="M104" s="406"/>
      <c r="N104" s="406"/>
      <c r="O104" s="406"/>
      <c r="P104" s="406"/>
      <c r="Q104" s="406"/>
      <c r="R104" s="406"/>
      <c r="S104" s="406"/>
      <c r="T104" s="74"/>
    </row>
    <row r="105" spans="2:20" ht="15.75" x14ac:dyDescent="0.25">
      <c r="B105" s="60"/>
      <c r="C105" s="244" t="s">
        <v>148</v>
      </c>
      <c r="D105" s="245" t="s">
        <v>20</v>
      </c>
      <c r="E105" s="245">
        <v>75</v>
      </c>
      <c r="F105" s="66">
        <f>R105+R105*0.15</f>
        <v>31.292155876623379</v>
      </c>
      <c r="G105" s="67">
        <f>F105*E105</f>
        <v>2346.9116907467533</v>
      </c>
      <c r="J105" s="406">
        <f>'MATERIAL BUILD-UP RATES'!F155</f>
        <v>21.687245652173914</v>
      </c>
      <c r="K105" s="406">
        <f>J105*$E105</f>
        <v>1626.5434239130436</v>
      </c>
      <c r="L105" s="406">
        <v>4</v>
      </c>
      <c r="M105" s="406">
        <f>L105*$E105</f>
        <v>300</v>
      </c>
      <c r="N105" s="406">
        <f>' LABOUR BUILD-UP RATES'!F110</f>
        <v>1.5233246753246754</v>
      </c>
      <c r="O105" s="406">
        <f>N105*$E105</f>
        <v>114.24935064935066</v>
      </c>
      <c r="P105" s="406">
        <v>0</v>
      </c>
      <c r="Q105" s="406">
        <v>0</v>
      </c>
      <c r="R105" s="406">
        <f t="shared" ref="R105" si="15">J105+L105+N105+P105</f>
        <v>27.210570327498591</v>
      </c>
      <c r="S105" s="406">
        <f t="shared" ref="S105" si="16">R105*$E105</f>
        <v>2040.7927745623942</v>
      </c>
      <c r="T105" s="405">
        <v>0.15</v>
      </c>
    </row>
    <row r="106" spans="2:20" ht="15.75" x14ac:dyDescent="0.25">
      <c r="B106" s="60"/>
      <c r="C106" s="244"/>
      <c r="D106" s="245"/>
      <c r="E106" s="245"/>
      <c r="F106" s="60"/>
      <c r="G106" s="60"/>
      <c r="J106" s="406"/>
      <c r="K106" s="406"/>
      <c r="L106" s="406"/>
      <c r="M106" s="406"/>
      <c r="N106" s="406"/>
      <c r="O106" s="406"/>
      <c r="P106" s="406"/>
      <c r="Q106" s="406"/>
      <c r="R106" s="406"/>
      <c r="S106" s="406"/>
      <c r="T106" s="74"/>
    </row>
    <row r="107" spans="2:20" ht="15.75" x14ac:dyDescent="0.25">
      <c r="B107" s="60"/>
      <c r="C107" s="244" t="s">
        <v>63</v>
      </c>
      <c r="D107" s="245" t="s">
        <v>64</v>
      </c>
      <c r="E107" s="245">
        <v>113</v>
      </c>
      <c r="F107" s="66">
        <f>R107+R107*0.15</f>
        <v>1.8431999999999999</v>
      </c>
      <c r="G107" s="67">
        <f>F107*E107</f>
        <v>208.2816</v>
      </c>
      <c r="J107" s="406">
        <f>'MATERIAL BUILD-UP RATES'!F166</f>
        <v>0.43478260869565216</v>
      </c>
      <c r="K107" s="406">
        <f>J107*$E107</f>
        <v>49.130434782608695</v>
      </c>
      <c r="L107" s="406">
        <v>0</v>
      </c>
      <c r="M107" s="406">
        <f>L107*$E107</f>
        <v>0</v>
      </c>
      <c r="N107" s="406">
        <f>' LABOUR BUILD-UP RATES'!F135</f>
        <v>1.1679999999999999</v>
      </c>
      <c r="O107" s="406">
        <f>N107*$E107</f>
        <v>131.98399999999998</v>
      </c>
      <c r="P107" s="406">
        <v>0</v>
      </c>
      <c r="Q107" s="406">
        <v>0</v>
      </c>
      <c r="R107" s="406">
        <f t="shared" ref="R107" si="17">J107+L107+N107+P107</f>
        <v>1.602782608695652</v>
      </c>
      <c r="S107" s="406">
        <f t="shared" ref="S107" si="18">R107*$E107</f>
        <v>181.11443478260867</v>
      </c>
      <c r="T107" s="405">
        <v>0.15</v>
      </c>
    </row>
    <row r="108" spans="2:20" ht="15.75" x14ac:dyDescent="0.25">
      <c r="B108" s="60"/>
      <c r="C108" s="244"/>
      <c r="D108" s="245"/>
      <c r="E108" s="245"/>
      <c r="F108" s="60"/>
      <c r="G108" s="60"/>
      <c r="J108" s="406"/>
      <c r="K108" s="406"/>
      <c r="L108" s="406"/>
      <c r="M108" s="406"/>
      <c r="N108" s="406"/>
      <c r="O108" s="406"/>
      <c r="P108" s="406"/>
      <c r="Q108" s="406"/>
      <c r="R108" s="406"/>
      <c r="S108" s="406"/>
      <c r="T108" s="74"/>
    </row>
    <row r="109" spans="2:20" ht="15.75" x14ac:dyDescent="0.25">
      <c r="B109" s="60"/>
      <c r="C109" s="244" t="s">
        <v>65</v>
      </c>
      <c r="D109" s="245" t="s">
        <v>64</v>
      </c>
      <c r="E109" s="245">
        <v>69</v>
      </c>
      <c r="F109" s="66">
        <f>R109+R109*0.15</f>
        <v>1.8431999999999999</v>
      </c>
      <c r="G109" s="67">
        <f>F109*E109</f>
        <v>127.18079999999999</v>
      </c>
      <c r="J109" s="406">
        <f>'MATERIAL BUILD-UP RATES'!F166</f>
        <v>0.43478260869565216</v>
      </c>
      <c r="K109" s="406">
        <f>J109*$E109</f>
        <v>30</v>
      </c>
      <c r="L109" s="406">
        <v>0</v>
      </c>
      <c r="M109" s="406">
        <f>L109*$E109</f>
        <v>0</v>
      </c>
      <c r="N109" s="406">
        <f>' LABOUR BUILD-UP RATES'!F135</f>
        <v>1.1679999999999999</v>
      </c>
      <c r="O109" s="406">
        <f>N109*$E109</f>
        <v>80.591999999999999</v>
      </c>
      <c r="P109" s="406">
        <v>0</v>
      </c>
      <c r="Q109" s="406">
        <v>0</v>
      </c>
      <c r="R109" s="406">
        <f t="shared" ref="R109" si="19">J109+L109+N109+P109</f>
        <v>1.602782608695652</v>
      </c>
      <c r="S109" s="406">
        <f t="shared" ref="S109" si="20">R109*$E109</f>
        <v>110.59199999999998</v>
      </c>
      <c r="T109" s="405">
        <v>0.15</v>
      </c>
    </row>
    <row r="110" spans="2:20" ht="15.75" x14ac:dyDescent="0.25">
      <c r="B110" s="60"/>
      <c r="C110" s="244"/>
      <c r="D110" s="245"/>
      <c r="E110" s="245"/>
      <c r="F110" s="60"/>
      <c r="G110" s="60"/>
      <c r="J110" s="406"/>
      <c r="K110" s="406"/>
      <c r="L110" s="406"/>
      <c r="M110" s="406"/>
      <c r="N110" s="406"/>
      <c r="O110" s="406"/>
      <c r="P110" s="406"/>
      <c r="Q110" s="406"/>
      <c r="R110" s="406"/>
      <c r="S110" s="406"/>
      <c r="T110" s="74"/>
    </row>
    <row r="111" spans="2:20" ht="15.75" x14ac:dyDescent="0.25">
      <c r="B111" s="185"/>
      <c r="C111" s="294" t="s">
        <v>32</v>
      </c>
      <c r="D111" s="295"/>
      <c r="E111" s="295"/>
      <c r="F111" s="185"/>
      <c r="G111" s="185"/>
      <c r="J111" s="406"/>
      <c r="K111" s="406"/>
      <c r="L111" s="406"/>
      <c r="M111" s="406"/>
      <c r="N111" s="406"/>
      <c r="O111" s="406"/>
      <c r="P111" s="406"/>
      <c r="Q111" s="406"/>
      <c r="R111" s="406"/>
      <c r="S111" s="406"/>
      <c r="T111" s="74"/>
    </row>
    <row r="112" spans="2:20" ht="15.75" x14ac:dyDescent="0.25">
      <c r="B112" s="60"/>
      <c r="C112" s="244" t="s">
        <v>271</v>
      </c>
      <c r="D112" s="245"/>
      <c r="E112" s="245"/>
      <c r="F112" s="60"/>
      <c r="G112" s="60"/>
      <c r="J112" s="406"/>
      <c r="K112" s="406"/>
      <c r="L112" s="406"/>
      <c r="M112" s="406"/>
      <c r="N112" s="406"/>
      <c r="O112" s="406"/>
      <c r="P112" s="406"/>
      <c r="Q112" s="406"/>
      <c r="R112" s="406"/>
      <c r="S112" s="406"/>
      <c r="T112" s="74"/>
    </row>
    <row r="113" spans="2:20" ht="17.25" customHeight="1" x14ac:dyDescent="0.25">
      <c r="B113" s="60"/>
      <c r="C113" s="244" t="s">
        <v>272</v>
      </c>
      <c r="D113" s="245" t="s">
        <v>20</v>
      </c>
      <c r="E113" s="245">
        <v>12</v>
      </c>
      <c r="F113" s="66">
        <f>R113+R113*0.15</f>
        <v>5.9432</v>
      </c>
      <c r="G113" s="67">
        <f>F113*E113</f>
        <v>71.318399999999997</v>
      </c>
      <c r="J113" s="406">
        <f>'MATERIAL BUILD-UP RATES'!F197</f>
        <v>3</v>
      </c>
      <c r="K113" s="406">
        <f>J113*$E113</f>
        <v>36</v>
      </c>
      <c r="L113" s="406">
        <v>1</v>
      </c>
      <c r="M113" s="406">
        <f>L113*$E113</f>
        <v>12</v>
      </c>
      <c r="N113" s="406">
        <f>' LABOUR BUILD-UP RATES'!F135</f>
        <v>1.1679999999999999</v>
      </c>
      <c r="O113" s="406">
        <f>N113*$E113</f>
        <v>14.015999999999998</v>
      </c>
      <c r="P113" s="406">
        <v>0</v>
      </c>
      <c r="Q113" s="406">
        <v>0</v>
      </c>
      <c r="R113" s="406">
        <f t="shared" ref="R113" si="21">J113+L113+N113+P113</f>
        <v>5.1680000000000001</v>
      </c>
      <c r="S113" s="406">
        <f t="shared" ref="S113" si="22">R113*$E113</f>
        <v>62.016000000000005</v>
      </c>
      <c r="T113" s="405">
        <v>0.15</v>
      </c>
    </row>
    <row r="114" spans="2:20" ht="15" customHeight="1" x14ac:dyDescent="0.25">
      <c r="B114" s="60"/>
      <c r="C114" s="244"/>
      <c r="D114" s="245"/>
      <c r="E114" s="245"/>
      <c r="F114" s="60"/>
      <c r="G114" s="60"/>
      <c r="J114" s="406"/>
      <c r="K114" s="406"/>
      <c r="L114" s="406"/>
      <c r="M114" s="406"/>
      <c r="N114" s="406"/>
      <c r="O114" s="406"/>
      <c r="P114" s="406"/>
      <c r="Q114" s="406"/>
      <c r="R114" s="406"/>
      <c r="S114" s="406"/>
      <c r="T114" s="74"/>
    </row>
    <row r="115" spans="2:20" ht="15" customHeight="1" x14ac:dyDescent="0.25">
      <c r="B115" s="60"/>
      <c r="C115" s="244" t="s">
        <v>66</v>
      </c>
      <c r="D115" s="245" t="s">
        <v>15</v>
      </c>
      <c r="E115" s="245">
        <v>16</v>
      </c>
      <c r="F115" s="66">
        <f>R115+R115*0.15</f>
        <v>2.1481999999999997</v>
      </c>
      <c r="G115" s="67">
        <f>F115*E115</f>
        <v>34.371199999999995</v>
      </c>
      <c r="J115" s="406">
        <v>0.7</v>
      </c>
      <c r="K115" s="406">
        <f>J115*$E115</f>
        <v>11.2</v>
      </c>
      <c r="L115" s="406">
        <v>0</v>
      </c>
      <c r="M115" s="406">
        <f>L115*$E115</f>
        <v>0</v>
      </c>
      <c r="N115" s="406">
        <f>' LABOUR BUILD-UP RATES'!F135</f>
        <v>1.1679999999999999</v>
      </c>
      <c r="O115" s="406">
        <f>N115*$E115</f>
        <v>18.687999999999999</v>
      </c>
      <c r="P115" s="406">
        <v>0</v>
      </c>
      <c r="Q115" s="406">
        <v>0</v>
      </c>
      <c r="R115" s="406">
        <f t="shared" ref="R115" si="23">J115+L115+N115+P115</f>
        <v>1.8679999999999999</v>
      </c>
      <c r="S115" s="406">
        <f t="shared" ref="S115" si="24">R115*$E115</f>
        <v>29.887999999999998</v>
      </c>
      <c r="T115" s="405">
        <v>0.15</v>
      </c>
    </row>
    <row r="116" spans="2:20" ht="15.75" x14ac:dyDescent="0.25">
      <c r="B116" s="60"/>
      <c r="C116" s="244"/>
      <c r="D116" s="245"/>
      <c r="E116" s="245"/>
      <c r="F116" s="60"/>
      <c r="G116" s="60"/>
      <c r="J116" s="406"/>
      <c r="K116" s="406"/>
      <c r="L116" s="406"/>
      <c r="M116" s="406"/>
      <c r="N116" s="406"/>
      <c r="O116" s="406"/>
      <c r="P116" s="406"/>
      <c r="Q116" s="406"/>
      <c r="R116" s="406"/>
      <c r="S116" s="406"/>
      <c r="T116" s="74"/>
    </row>
    <row r="117" spans="2:20" ht="15.75" x14ac:dyDescent="0.25">
      <c r="B117" s="60"/>
      <c r="C117" s="246" t="s">
        <v>68</v>
      </c>
      <c r="D117" s="245" t="s">
        <v>20</v>
      </c>
      <c r="E117" s="245">
        <v>11</v>
      </c>
      <c r="F117" s="66">
        <f>R117+R117*0.15</f>
        <v>2.3289142857142853</v>
      </c>
      <c r="G117" s="67">
        <f>F117*E117</f>
        <v>25.61805714285714</v>
      </c>
      <c r="J117" s="406">
        <f>'MATERIAL BUILD-UP RATES'!F177</f>
        <v>0.8571428571428571</v>
      </c>
      <c r="K117" s="406">
        <f>J117*$E117</f>
        <v>9.4285714285714288</v>
      </c>
      <c r="L117" s="406">
        <v>0</v>
      </c>
      <c r="M117" s="406">
        <f>L117*$E117</f>
        <v>0</v>
      </c>
      <c r="N117" s="406">
        <f>' LABOUR BUILD-UP RATES'!F135</f>
        <v>1.1679999999999999</v>
      </c>
      <c r="O117" s="406">
        <f>N117*$E117</f>
        <v>12.847999999999999</v>
      </c>
      <c r="P117" s="406">
        <v>0</v>
      </c>
      <c r="Q117" s="406">
        <v>0</v>
      </c>
      <c r="R117" s="406">
        <f t="shared" ref="R117" si="25">J117+L117+N117+P117</f>
        <v>2.0251428571428569</v>
      </c>
      <c r="S117" s="406">
        <f t="shared" ref="S117" si="26">R117*$E117</f>
        <v>22.276571428571426</v>
      </c>
      <c r="T117" s="405">
        <v>0.15</v>
      </c>
    </row>
    <row r="118" spans="2:20" ht="15.75" x14ac:dyDescent="0.25">
      <c r="B118" s="60"/>
      <c r="C118" s="244"/>
      <c r="D118" s="245"/>
      <c r="E118" s="245"/>
      <c r="F118" s="60"/>
      <c r="G118" s="60"/>
      <c r="J118" s="406"/>
      <c r="K118" s="406"/>
      <c r="L118" s="406"/>
      <c r="M118" s="406"/>
      <c r="N118" s="406"/>
      <c r="O118" s="406"/>
      <c r="P118" s="406"/>
      <c r="Q118" s="406"/>
      <c r="R118" s="406"/>
      <c r="S118" s="406"/>
      <c r="T118" s="74"/>
    </row>
    <row r="119" spans="2:20" ht="15.75" x14ac:dyDescent="0.25">
      <c r="B119" s="60"/>
      <c r="C119" s="244" t="s">
        <v>69</v>
      </c>
      <c r="D119" s="245" t="s">
        <v>20</v>
      </c>
      <c r="E119" s="245">
        <v>7</v>
      </c>
      <c r="F119" s="66">
        <f>R119+R119*0.15</f>
        <v>2.3289142857142853</v>
      </c>
      <c r="G119" s="67">
        <f>F119*E119</f>
        <v>16.302399999999999</v>
      </c>
      <c r="J119" s="406">
        <f>'MATERIAL BUILD-UP RATES'!F177</f>
        <v>0.8571428571428571</v>
      </c>
      <c r="K119" s="406">
        <f>J119*$E119</f>
        <v>6</v>
      </c>
      <c r="L119" s="406">
        <v>0</v>
      </c>
      <c r="M119" s="406">
        <f>L119*$E119</f>
        <v>0</v>
      </c>
      <c r="N119" s="406">
        <f>' LABOUR BUILD-UP RATES'!F135</f>
        <v>1.1679999999999999</v>
      </c>
      <c r="O119" s="406">
        <f>N119*$E119</f>
        <v>8.1760000000000002</v>
      </c>
      <c r="P119" s="406">
        <v>0</v>
      </c>
      <c r="Q119" s="406">
        <v>0</v>
      </c>
      <c r="R119" s="406">
        <f t="shared" ref="R119" si="27">J119+L119+N119+P119</f>
        <v>2.0251428571428569</v>
      </c>
      <c r="S119" s="406">
        <f t="shared" ref="S119" si="28">R119*$E119</f>
        <v>14.175999999999998</v>
      </c>
      <c r="T119" s="405">
        <v>0.15</v>
      </c>
    </row>
    <row r="120" spans="2:20" ht="15.75" x14ac:dyDescent="0.25">
      <c r="B120" s="60"/>
      <c r="C120" s="244"/>
      <c r="D120" s="244"/>
      <c r="E120" s="245"/>
      <c r="F120" s="60"/>
      <c r="G120" s="60"/>
      <c r="J120" s="406"/>
      <c r="K120" s="406"/>
      <c r="L120" s="406"/>
      <c r="M120" s="406"/>
      <c r="N120" s="406"/>
      <c r="O120" s="406"/>
      <c r="P120" s="406"/>
      <c r="Q120" s="406"/>
      <c r="R120" s="406"/>
      <c r="S120" s="406"/>
      <c r="T120" s="74"/>
    </row>
    <row r="121" spans="2:20" ht="15.75" x14ac:dyDescent="0.25">
      <c r="B121" s="60"/>
      <c r="C121" s="244" t="s">
        <v>62</v>
      </c>
      <c r="D121" s="244"/>
      <c r="E121" s="245"/>
      <c r="F121" s="60"/>
      <c r="G121" s="60"/>
      <c r="J121" s="406"/>
      <c r="K121" s="406"/>
      <c r="L121" s="406"/>
      <c r="M121" s="406"/>
      <c r="N121" s="406"/>
      <c r="O121" s="406"/>
      <c r="P121" s="406"/>
      <c r="Q121" s="406"/>
      <c r="R121" s="406"/>
      <c r="S121" s="406"/>
      <c r="T121" s="74"/>
    </row>
    <row r="122" spans="2:20" ht="15.75" x14ac:dyDescent="0.25">
      <c r="B122" s="60"/>
      <c r="C122" s="244" t="s">
        <v>117</v>
      </c>
      <c r="D122" s="244"/>
      <c r="E122" s="245"/>
      <c r="F122" s="60"/>
      <c r="G122" s="60"/>
      <c r="J122" s="406"/>
      <c r="K122" s="406"/>
      <c r="L122" s="406"/>
      <c r="M122" s="406"/>
      <c r="N122" s="406"/>
      <c r="O122" s="406"/>
      <c r="P122" s="406"/>
      <c r="Q122" s="406"/>
      <c r="R122" s="406"/>
      <c r="S122" s="406"/>
      <c r="T122" s="74"/>
    </row>
    <row r="123" spans="2:20" ht="15.75" x14ac:dyDescent="0.25">
      <c r="B123" s="60"/>
      <c r="C123" s="244" t="s">
        <v>118</v>
      </c>
      <c r="D123" s="245" t="s">
        <v>20</v>
      </c>
      <c r="E123" s="245">
        <v>4</v>
      </c>
      <c r="F123" s="66">
        <f>R123+R123*0.15</f>
        <v>25.493199999999998</v>
      </c>
      <c r="G123" s="67">
        <f>F123*E123</f>
        <v>101.97279999999999</v>
      </c>
      <c r="J123" s="406">
        <f>'MATERIAL BUILD-UP RATES'!F211</f>
        <v>21</v>
      </c>
      <c r="K123" s="406">
        <f>J123*$E123</f>
        <v>84</v>
      </c>
      <c r="L123" s="406">
        <v>0</v>
      </c>
      <c r="M123" s="406">
        <f>L123*$E123</f>
        <v>0</v>
      </c>
      <c r="N123" s="406">
        <f>' LABOUR BUILD-UP RATES'!F135</f>
        <v>1.1679999999999999</v>
      </c>
      <c r="O123" s="406">
        <f>N123*$E123</f>
        <v>4.6719999999999997</v>
      </c>
      <c r="P123" s="406">
        <v>0</v>
      </c>
      <c r="Q123" s="406">
        <v>0</v>
      </c>
      <c r="R123" s="406">
        <f t="shared" ref="R123" si="29">J123+L123+N123+P123</f>
        <v>22.167999999999999</v>
      </c>
      <c r="S123" s="406">
        <f t="shared" ref="S123" si="30">R123*$E123</f>
        <v>88.671999999999997</v>
      </c>
      <c r="T123" s="405">
        <v>0.15</v>
      </c>
    </row>
    <row r="124" spans="2:20" ht="15.75" x14ac:dyDescent="0.25">
      <c r="B124" s="60"/>
      <c r="C124" s="244"/>
      <c r="D124" s="244"/>
      <c r="E124" s="245"/>
      <c r="F124" s="60"/>
      <c r="G124" s="60"/>
      <c r="J124" s="406"/>
      <c r="K124" s="406"/>
      <c r="L124" s="406"/>
      <c r="M124" s="406"/>
      <c r="N124" s="406"/>
      <c r="O124" s="406"/>
      <c r="P124" s="406"/>
      <c r="Q124" s="406"/>
      <c r="R124" s="406"/>
      <c r="S124" s="406"/>
      <c r="T124" s="74"/>
    </row>
    <row r="125" spans="2:20" ht="15.75" x14ac:dyDescent="0.25">
      <c r="B125" s="60"/>
      <c r="C125" s="244" t="s">
        <v>273</v>
      </c>
      <c r="D125" s="244"/>
      <c r="E125" s="245"/>
      <c r="F125" s="60"/>
      <c r="G125" s="60"/>
      <c r="J125" s="406"/>
      <c r="K125" s="406"/>
      <c r="L125" s="406"/>
      <c r="M125" s="406"/>
      <c r="N125" s="406"/>
      <c r="O125" s="406"/>
      <c r="P125" s="406"/>
      <c r="Q125" s="406"/>
      <c r="R125" s="406"/>
      <c r="S125" s="406"/>
      <c r="T125" s="74"/>
    </row>
    <row r="126" spans="2:20" ht="15.75" x14ac:dyDescent="0.25">
      <c r="B126" s="60"/>
      <c r="C126" s="244" t="s">
        <v>274</v>
      </c>
      <c r="D126" s="245" t="s">
        <v>20</v>
      </c>
      <c r="E126" s="245">
        <v>2</v>
      </c>
      <c r="F126" s="66">
        <f>R126+R126*0.15</f>
        <v>4.7932000000000006</v>
      </c>
      <c r="G126" s="67">
        <f>F126*E126</f>
        <v>9.5864000000000011</v>
      </c>
      <c r="J126" s="406">
        <f>'MATERIAL BUILD-UP RATES'!F197</f>
        <v>3</v>
      </c>
      <c r="K126" s="406">
        <f>J126*$E126</f>
        <v>6</v>
      </c>
      <c r="L126" s="406">
        <v>0</v>
      </c>
      <c r="M126" s="406">
        <f>L126*$E126</f>
        <v>0</v>
      </c>
      <c r="N126" s="406">
        <f>' LABOUR BUILD-UP RATES'!F135</f>
        <v>1.1679999999999999</v>
      </c>
      <c r="O126" s="406">
        <f>N126*$E126</f>
        <v>2.3359999999999999</v>
      </c>
      <c r="P126" s="406">
        <v>0</v>
      </c>
      <c r="Q126" s="406">
        <v>0</v>
      </c>
      <c r="R126" s="406">
        <f t="shared" ref="R126" si="31">J126+L126+N126+P126</f>
        <v>4.1680000000000001</v>
      </c>
      <c r="S126" s="406">
        <f t="shared" ref="S126" si="32">R126*$E126</f>
        <v>8.3360000000000003</v>
      </c>
      <c r="T126" s="405">
        <v>0.15</v>
      </c>
    </row>
    <row r="127" spans="2:20" ht="15.75" x14ac:dyDescent="0.25">
      <c r="B127" s="60"/>
      <c r="C127" s="244"/>
      <c r="D127" s="244"/>
      <c r="E127" s="245"/>
      <c r="F127" s="60"/>
      <c r="G127" s="60"/>
      <c r="J127" s="406"/>
      <c r="K127" s="406"/>
      <c r="L127" s="406"/>
      <c r="M127" s="406"/>
      <c r="N127" s="406"/>
      <c r="O127" s="406"/>
      <c r="P127" s="406"/>
      <c r="Q127" s="406"/>
      <c r="R127" s="406"/>
      <c r="S127" s="406"/>
      <c r="T127" s="74"/>
    </row>
    <row r="128" spans="2:20" ht="15.75" x14ac:dyDescent="0.25">
      <c r="B128" s="60"/>
      <c r="C128" s="244" t="s">
        <v>119</v>
      </c>
      <c r="D128" s="245" t="s">
        <v>20</v>
      </c>
      <c r="E128" s="245">
        <v>5</v>
      </c>
      <c r="F128" s="66">
        <f>R128+R128*0.15</f>
        <v>8.2431999999999999</v>
      </c>
      <c r="G128" s="67">
        <f>F128*E128</f>
        <v>41.216000000000001</v>
      </c>
      <c r="J128" s="406">
        <f>'MATERIAL BUILD-UP RATES'!F187</f>
        <v>6</v>
      </c>
      <c r="K128" s="406">
        <f>J128*$E128</f>
        <v>30</v>
      </c>
      <c r="L128" s="406">
        <v>0</v>
      </c>
      <c r="M128" s="406">
        <f>L128*$E128</f>
        <v>0</v>
      </c>
      <c r="N128" s="406">
        <f>' LABOUR BUILD-UP RATES'!F135</f>
        <v>1.1679999999999999</v>
      </c>
      <c r="O128" s="406">
        <f>N128*$E128</f>
        <v>5.84</v>
      </c>
      <c r="P128" s="406">
        <v>0</v>
      </c>
      <c r="Q128" s="406">
        <v>0</v>
      </c>
      <c r="R128" s="406">
        <f t="shared" ref="R128" si="33">J128+L128+N128+P128</f>
        <v>7.1680000000000001</v>
      </c>
      <c r="S128" s="406">
        <f t="shared" ref="S128" si="34">R128*$E128</f>
        <v>35.840000000000003</v>
      </c>
      <c r="T128" s="405">
        <v>0.15</v>
      </c>
    </row>
    <row r="129" spans="2:20" ht="15.75" x14ac:dyDescent="0.25">
      <c r="B129" s="60"/>
      <c r="C129" s="244"/>
      <c r="D129" s="244"/>
      <c r="E129" s="245"/>
      <c r="F129" s="60"/>
      <c r="G129" s="60"/>
      <c r="J129" s="406"/>
      <c r="K129" s="406"/>
      <c r="L129" s="406"/>
      <c r="M129" s="406"/>
      <c r="N129" s="406"/>
      <c r="O129" s="406"/>
      <c r="P129" s="406"/>
      <c r="Q129" s="406"/>
      <c r="R129" s="406"/>
      <c r="S129" s="406"/>
      <c r="T129" s="74"/>
    </row>
    <row r="130" spans="2:20" ht="15.75" x14ac:dyDescent="0.25">
      <c r="B130" s="60"/>
      <c r="C130" s="244" t="s">
        <v>275</v>
      </c>
      <c r="D130" s="244"/>
      <c r="E130" s="245"/>
      <c r="F130" s="60"/>
      <c r="G130" s="60"/>
      <c r="J130" s="406"/>
      <c r="K130" s="406"/>
      <c r="L130" s="406"/>
      <c r="M130" s="406"/>
      <c r="N130" s="406"/>
      <c r="O130" s="406"/>
      <c r="P130" s="406"/>
      <c r="Q130" s="406"/>
      <c r="R130" s="406"/>
      <c r="S130" s="406"/>
      <c r="T130" s="74"/>
    </row>
    <row r="131" spans="2:20" ht="15.75" x14ac:dyDescent="0.25">
      <c r="B131" s="60"/>
      <c r="C131" s="244" t="s">
        <v>276</v>
      </c>
      <c r="D131" s="245" t="s">
        <v>15</v>
      </c>
      <c r="E131" s="245">
        <v>10</v>
      </c>
      <c r="F131" s="66">
        <f>R131+R131*0.15</f>
        <v>5.9432</v>
      </c>
      <c r="G131" s="67">
        <f>F131*E131</f>
        <v>59.432000000000002</v>
      </c>
      <c r="J131" s="406">
        <v>4</v>
      </c>
      <c r="K131" s="406">
        <f>J131*$E131</f>
        <v>40</v>
      </c>
      <c r="L131" s="406">
        <v>0</v>
      </c>
      <c r="M131" s="406">
        <f>L131*$E131</f>
        <v>0</v>
      </c>
      <c r="N131" s="406">
        <f>' LABOUR BUILD-UP RATES'!F135</f>
        <v>1.1679999999999999</v>
      </c>
      <c r="O131" s="406">
        <f>N131*$E131</f>
        <v>11.68</v>
      </c>
      <c r="P131" s="406">
        <v>0</v>
      </c>
      <c r="Q131" s="406">
        <v>0</v>
      </c>
      <c r="R131" s="406">
        <f t="shared" ref="R131" si="35">J131+L131+N131+P131</f>
        <v>5.1680000000000001</v>
      </c>
      <c r="S131" s="406">
        <f t="shared" ref="S131" si="36">R131*$E131</f>
        <v>51.68</v>
      </c>
      <c r="T131" s="405">
        <v>0.15</v>
      </c>
    </row>
    <row r="132" spans="2:20" ht="15.75" x14ac:dyDescent="0.25">
      <c r="B132" s="60"/>
      <c r="C132" s="244"/>
      <c r="D132" s="245"/>
      <c r="E132" s="245"/>
      <c r="F132" s="66"/>
      <c r="G132" s="67"/>
      <c r="J132" s="406"/>
      <c r="K132" s="406"/>
      <c r="L132" s="406"/>
      <c r="M132" s="406"/>
      <c r="N132" s="406"/>
      <c r="O132" s="406"/>
      <c r="P132" s="406"/>
      <c r="Q132" s="406"/>
      <c r="R132" s="406"/>
      <c r="S132" s="406"/>
      <c r="T132" s="405"/>
    </row>
    <row r="133" spans="2:20" ht="15.75" x14ac:dyDescent="0.25">
      <c r="B133" s="60"/>
      <c r="C133" s="354" t="s">
        <v>388</v>
      </c>
      <c r="D133" s="358"/>
      <c r="E133" s="358"/>
      <c r="F133" s="360"/>
      <c r="G133" s="356">
        <f>SUM(G96:G132)</f>
        <v>11720.994437792211</v>
      </c>
      <c r="J133" s="406"/>
      <c r="K133" s="356">
        <f>SUM(K96:K132)</f>
        <v>8540.5856062111798</v>
      </c>
      <c r="L133" s="406"/>
      <c r="M133" s="356">
        <f>SUM(M96:M132)</f>
        <v>988</v>
      </c>
      <c r="N133" s="406"/>
      <c r="O133" s="356">
        <f>SUM(O96:O132)</f>
        <v>663.58347012987008</v>
      </c>
      <c r="P133" s="406"/>
      <c r="Q133" s="356">
        <f>SUM(Q96:Q132)</f>
        <v>0</v>
      </c>
      <c r="R133" s="406"/>
      <c r="S133" s="356">
        <f>SUM(S96:S132)</f>
        <v>10192.16907634105</v>
      </c>
      <c r="T133" s="405"/>
    </row>
    <row r="134" spans="2:20" x14ac:dyDescent="0.25">
      <c r="B134" s="60"/>
      <c r="C134" s="75"/>
      <c r="D134" s="69"/>
      <c r="E134" s="69"/>
      <c r="F134" s="60"/>
      <c r="G134" s="60"/>
      <c r="J134" s="406"/>
      <c r="K134" s="406"/>
      <c r="L134" s="406"/>
      <c r="M134" s="406"/>
      <c r="N134" s="406"/>
      <c r="O134" s="406"/>
      <c r="P134" s="406"/>
      <c r="Q134" s="406"/>
      <c r="R134" s="406"/>
      <c r="S134" s="406"/>
      <c r="T134" s="405"/>
    </row>
    <row r="135" spans="2:20" x14ac:dyDescent="0.25">
      <c r="B135" s="149" t="s">
        <v>301</v>
      </c>
      <c r="C135" s="150" t="s">
        <v>302</v>
      </c>
      <c r="D135" s="69"/>
      <c r="E135" s="69"/>
      <c r="F135" s="60"/>
      <c r="G135" s="60"/>
      <c r="J135" s="406"/>
      <c r="K135" s="406"/>
      <c r="L135" s="406"/>
      <c r="M135" s="406"/>
      <c r="N135" s="406"/>
      <c r="O135" s="406"/>
      <c r="P135" s="406"/>
      <c r="Q135" s="406"/>
      <c r="R135" s="406"/>
      <c r="S135" s="406"/>
      <c r="T135" s="74"/>
    </row>
    <row r="136" spans="2:20" x14ac:dyDescent="0.25">
      <c r="B136" s="60"/>
      <c r="C136" s="75"/>
      <c r="D136" s="69"/>
      <c r="E136" s="69"/>
      <c r="F136" s="60"/>
      <c r="G136" s="60"/>
      <c r="J136" s="406"/>
      <c r="K136" s="406"/>
      <c r="L136" s="406"/>
      <c r="M136" s="406"/>
      <c r="N136" s="406"/>
      <c r="O136" s="406"/>
      <c r="P136" s="406"/>
      <c r="Q136" s="406"/>
      <c r="R136" s="406"/>
      <c r="S136" s="406"/>
      <c r="T136" s="74"/>
    </row>
    <row r="137" spans="2:20" ht="15.75" x14ac:dyDescent="0.25">
      <c r="B137" s="60"/>
      <c r="C137" s="243" t="s">
        <v>70</v>
      </c>
      <c r="D137" s="306"/>
      <c r="E137" s="306"/>
      <c r="F137" s="60"/>
      <c r="G137" s="60"/>
      <c r="J137" s="406"/>
      <c r="K137" s="406"/>
      <c r="L137" s="406"/>
      <c r="M137" s="406"/>
      <c r="N137" s="406"/>
      <c r="O137" s="406"/>
      <c r="P137" s="406"/>
      <c r="Q137" s="406"/>
      <c r="R137" s="406"/>
      <c r="S137" s="406"/>
      <c r="T137" s="74"/>
    </row>
    <row r="138" spans="2:20" ht="15.75" x14ac:dyDescent="0.25">
      <c r="B138" s="60"/>
      <c r="C138" s="244" t="s">
        <v>71</v>
      </c>
      <c r="D138" s="245" t="s">
        <v>20</v>
      </c>
      <c r="E138" s="245">
        <v>143</v>
      </c>
      <c r="F138" s="66">
        <f>R138+R138*0.15</f>
        <v>40.3641576923077</v>
      </c>
      <c r="G138" s="67">
        <f>F138*E138</f>
        <v>5772.0745500000012</v>
      </c>
      <c r="J138" s="406">
        <f>'MATERIAL BUILD-UP RATES'!F238</f>
        <v>25.899267558528429</v>
      </c>
      <c r="K138" s="406">
        <f>J138*$E138</f>
        <v>3703.5952608695652</v>
      </c>
      <c r="L138" s="406">
        <v>6</v>
      </c>
      <c r="M138" s="406">
        <f>L138*$E138</f>
        <v>858</v>
      </c>
      <c r="N138" s="406">
        <f>' LABOUR BUILD-UP RATES'!F146</f>
        <v>3.2</v>
      </c>
      <c r="O138" s="406">
        <f>N138*$E138</f>
        <v>457.6</v>
      </c>
      <c r="P138" s="406">
        <v>0</v>
      </c>
      <c r="Q138" s="406">
        <v>0</v>
      </c>
      <c r="R138" s="406">
        <f t="shared" ref="R138" si="37">J138+L138+N138+P138</f>
        <v>35.099267558528432</v>
      </c>
      <c r="S138" s="406">
        <f t="shared" ref="S138" si="38">R138*$E138</f>
        <v>5019.1952608695656</v>
      </c>
      <c r="T138" s="405">
        <v>0.15</v>
      </c>
    </row>
    <row r="139" spans="2:20" ht="15.75" x14ac:dyDescent="0.25">
      <c r="B139" s="60"/>
      <c r="C139" s="244"/>
      <c r="D139" s="245"/>
      <c r="E139" s="245"/>
      <c r="F139" s="60"/>
      <c r="G139" s="60"/>
      <c r="J139" s="406"/>
      <c r="K139" s="406"/>
      <c r="L139" s="406"/>
      <c r="M139" s="406"/>
      <c r="N139" s="406"/>
      <c r="O139" s="406"/>
      <c r="P139" s="406"/>
      <c r="Q139" s="406"/>
      <c r="R139" s="406"/>
      <c r="S139" s="406"/>
      <c r="T139" s="74"/>
    </row>
    <row r="140" spans="2:20" ht="15.75" x14ac:dyDescent="0.25">
      <c r="B140" s="60"/>
      <c r="C140" s="244" t="s">
        <v>72</v>
      </c>
      <c r="D140" s="245"/>
      <c r="E140" s="245"/>
      <c r="F140" s="60"/>
      <c r="G140" s="60"/>
      <c r="J140" s="406"/>
      <c r="K140" s="406"/>
      <c r="L140" s="406"/>
      <c r="M140" s="406"/>
      <c r="N140" s="406"/>
      <c r="O140" s="406"/>
      <c r="P140" s="406"/>
      <c r="Q140" s="406"/>
      <c r="R140" s="406"/>
      <c r="S140" s="406"/>
      <c r="T140" s="74"/>
    </row>
    <row r="141" spans="2:20" ht="15.75" x14ac:dyDescent="0.25">
      <c r="B141" s="60"/>
      <c r="C141" s="244" t="s">
        <v>73</v>
      </c>
      <c r="D141" s="245" t="s">
        <v>64</v>
      </c>
      <c r="E141" s="245">
        <v>15</v>
      </c>
      <c r="F141" s="66">
        <f>R141+R141*0.15</f>
        <v>15.041999999999998</v>
      </c>
      <c r="G141" s="67">
        <f>F141*E141</f>
        <v>225.62999999999997</v>
      </c>
      <c r="J141" s="406">
        <f>'MATERIAL BUILD-UP RATES'!F265</f>
        <v>8.36</v>
      </c>
      <c r="K141" s="406">
        <f>J141*$E141</f>
        <v>125.39999999999999</v>
      </c>
      <c r="L141" s="406">
        <v>2</v>
      </c>
      <c r="M141" s="406">
        <f>L141*$E141</f>
        <v>30</v>
      </c>
      <c r="N141" s="406">
        <f>' LABOUR BUILD-UP RATES'!F153</f>
        <v>2.7199999999999998</v>
      </c>
      <c r="O141" s="406">
        <f>N141*$E141</f>
        <v>40.799999999999997</v>
      </c>
      <c r="P141" s="406">
        <v>0</v>
      </c>
      <c r="Q141" s="406">
        <v>0</v>
      </c>
      <c r="R141" s="406">
        <f t="shared" ref="R141" si="39">J141+L141+N141+P141</f>
        <v>13.079999999999998</v>
      </c>
      <c r="S141" s="406">
        <f t="shared" ref="S141" si="40">R141*$E141</f>
        <v>196.2</v>
      </c>
      <c r="T141" s="405">
        <v>0.15</v>
      </c>
    </row>
    <row r="142" spans="2:20" ht="15.75" x14ac:dyDescent="0.25">
      <c r="B142" s="60"/>
      <c r="C142" s="244"/>
      <c r="D142" s="245"/>
      <c r="E142" s="245"/>
      <c r="F142" s="60"/>
      <c r="G142" s="60"/>
      <c r="J142" s="406"/>
      <c r="K142" s="406"/>
      <c r="L142" s="406"/>
      <c r="M142" s="406"/>
      <c r="N142" s="406"/>
      <c r="O142" s="406"/>
      <c r="P142" s="406"/>
      <c r="Q142" s="406"/>
      <c r="R142" s="406"/>
      <c r="S142" s="406"/>
      <c r="T142" s="74"/>
    </row>
    <row r="143" spans="2:20" ht="15.75" x14ac:dyDescent="0.25">
      <c r="B143" s="60"/>
      <c r="C143" s="244" t="s">
        <v>74</v>
      </c>
      <c r="D143" s="245" t="s">
        <v>64</v>
      </c>
      <c r="E143" s="245">
        <v>50</v>
      </c>
      <c r="F143" s="66">
        <f>R143+R143*0.15</f>
        <v>13.225</v>
      </c>
      <c r="G143" s="67">
        <f>F143*E143</f>
        <v>661.25</v>
      </c>
      <c r="J143" s="406">
        <f>'MATERIAL BUILD-UP RATES'!F251</f>
        <v>3.5</v>
      </c>
      <c r="K143" s="406">
        <f>J143*$E143</f>
        <v>175</v>
      </c>
      <c r="L143" s="406">
        <v>5</v>
      </c>
      <c r="M143" s="406">
        <f>L143*$E143</f>
        <v>250</v>
      </c>
      <c r="N143" s="406">
        <f>' LABOUR BUILD-UP RATES'!F160</f>
        <v>3</v>
      </c>
      <c r="O143" s="406">
        <f>N143*$E143</f>
        <v>150</v>
      </c>
      <c r="P143" s="406">
        <v>0</v>
      </c>
      <c r="Q143" s="406">
        <v>0</v>
      </c>
      <c r="R143" s="406">
        <f t="shared" ref="R143" si="41">J143+L143+N143+P143</f>
        <v>11.5</v>
      </c>
      <c r="S143" s="406">
        <f t="shared" ref="S143" si="42">R143*$E143</f>
        <v>575</v>
      </c>
      <c r="T143" s="405">
        <v>0.15</v>
      </c>
    </row>
    <row r="144" spans="2:20" ht="15.75" x14ac:dyDescent="0.25">
      <c r="B144" s="60"/>
      <c r="C144" s="244"/>
      <c r="D144" s="245"/>
      <c r="E144" s="245"/>
      <c r="F144" s="66"/>
      <c r="G144" s="67"/>
      <c r="J144" s="406"/>
      <c r="K144" s="406"/>
      <c r="L144" s="406"/>
      <c r="M144" s="406"/>
      <c r="N144" s="406"/>
      <c r="O144" s="406"/>
      <c r="P144" s="406"/>
      <c r="Q144" s="406"/>
      <c r="R144" s="406"/>
      <c r="S144" s="406"/>
      <c r="T144" s="405"/>
    </row>
    <row r="145" spans="2:20" ht="15.75" x14ac:dyDescent="0.25">
      <c r="B145" s="60"/>
      <c r="C145" s="354" t="s">
        <v>418</v>
      </c>
      <c r="D145" s="358"/>
      <c r="E145" s="358"/>
      <c r="F145" s="360"/>
      <c r="G145" s="356">
        <f>SUM(G138:G144)</f>
        <v>6658.9545500000013</v>
      </c>
      <c r="J145" s="406"/>
      <c r="K145" s="356">
        <f>SUM(K138:K144)</f>
        <v>4003.9952608695653</v>
      </c>
      <c r="L145" s="406"/>
      <c r="M145" s="356">
        <f>SUM(M138:M144)</f>
        <v>1138</v>
      </c>
      <c r="N145" s="406"/>
      <c r="O145" s="356">
        <f>SUM(O138:O144)</f>
        <v>648.40000000000009</v>
      </c>
      <c r="P145" s="406"/>
      <c r="Q145" s="356">
        <f>SUM(Q138:Q144)</f>
        <v>0</v>
      </c>
      <c r="R145" s="406"/>
      <c r="S145" s="356">
        <f>SUM(S138:S144)</f>
        <v>5790.3952608695654</v>
      </c>
      <c r="T145" s="405"/>
    </row>
    <row r="146" spans="2:20" ht="15.75" x14ac:dyDescent="0.25">
      <c r="B146" s="60"/>
      <c r="C146" s="244"/>
      <c r="D146" s="245"/>
      <c r="E146" s="245"/>
      <c r="F146" s="66"/>
      <c r="G146" s="67"/>
      <c r="J146" s="406"/>
      <c r="K146" s="406"/>
      <c r="L146" s="406"/>
      <c r="M146" s="406"/>
      <c r="N146" s="406"/>
      <c r="O146" s="406"/>
      <c r="P146" s="406"/>
      <c r="Q146" s="406"/>
      <c r="R146" s="406"/>
      <c r="S146" s="406"/>
      <c r="T146" s="405"/>
    </row>
    <row r="147" spans="2:20" x14ac:dyDescent="0.25">
      <c r="B147" s="149" t="s">
        <v>338</v>
      </c>
      <c r="C147" s="150" t="s">
        <v>337</v>
      </c>
      <c r="D147" s="69"/>
      <c r="E147" s="69"/>
      <c r="F147" s="60"/>
      <c r="G147" s="60"/>
      <c r="J147" s="406"/>
      <c r="K147" s="406"/>
      <c r="L147" s="406"/>
      <c r="M147" s="406"/>
      <c r="N147" s="406"/>
      <c r="O147" s="406"/>
      <c r="P147" s="406"/>
      <c r="Q147" s="406"/>
      <c r="R147" s="406"/>
      <c r="S147" s="406"/>
      <c r="T147" s="74"/>
    </row>
    <row r="148" spans="2:20" x14ac:dyDescent="0.25">
      <c r="B148" s="60"/>
      <c r="C148" s="75"/>
      <c r="D148" s="69"/>
      <c r="E148" s="69"/>
      <c r="F148" s="60"/>
      <c r="G148" s="60"/>
      <c r="J148" s="406"/>
      <c r="K148" s="406"/>
      <c r="L148" s="406"/>
      <c r="M148" s="406"/>
      <c r="N148" s="406"/>
      <c r="O148" s="406"/>
      <c r="P148" s="406"/>
      <c r="Q148" s="406"/>
      <c r="R148" s="406"/>
      <c r="S148" s="406"/>
      <c r="T148" s="74"/>
    </row>
    <row r="149" spans="2:20" ht="15.75" x14ac:dyDescent="0.25">
      <c r="B149" s="60"/>
      <c r="C149" s="244" t="s">
        <v>75</v>
      </c>
      <c r="D149" s="244"/>
      <c r="E149" s="244"/>
      <c r="F149" s="60"/>
      <c r="G149" s="60"/>
      <c r="J149" s="406"/>
      <c r="K149" s="406"/>
      <c r="L149" s="406"/>
      <c r="M149" s="406"/>
      <c r="N149" s="406"/>
      <c r="O149" s="406"/>
      <c r="P149" s="406"/>
      <c r="Q149" s="406"/>
      <c r="R149" s="406"/>
      <c r="S149" s="406"/>
      <c r="T149" s="74"/>
    </row>
    <row r="150" spans="2:20" ht="15.75" x14ac:dyDescent="0.25">
      <c r="B150" s="60"/>
      <c r="C150" s="244" t="s">
        <v>76</v>
      </c>
      <c r="D150" s="245" t="s">
        <v>64</v>
      </c>
      <c r="E150" s="245">
        <v>45</v>
      </c>
      <c r="F150" s="66">
        <f>R150+R150*0.15</f>
        <v>10.01918831168831</v>
      </c>
      <c r="G150" s="67">
        <f>F150*E150</f>
        <v>450.86347402597397</v>
      </c>
      <c r="J150" s="406">
        <f>'MATERIAL BUILD-UP RATES'!F278</f>
        <v>1.0909090909090908</v>
      </c>
      <c r="K150" s="406">
        <f>J150*$E150</f>
        <v>49.090909090909086</v>
      </c>
      <c r="L150" s="406">
        <v>5</v>
      </c>
      <c r="M150" s="406">
        <f>L150*$E150</f>
        <v>225</v>
      </c>
      <c r="N150" s="406">
        <f>' LABOUR BUILD-UP RATES'!F189</f>
        <v>2.6214285714285714</v>
      </c>
      <c r="O150" s="406">
        <f>N150*$E150</f>
        <v>117.96428571428571</v>
      </c>
      <c r="P150" s="406">
        <v>0</v>
      </c>
      <c r="Q150" s="406">
        <v>0</v>
      </c>
      <c r="R150" s="406">
        <f t="shared" ref="R150" si="43">J150+L150+N150+P150</f>
        <v>8.7123376623376618</v>
      </c>
      <c r="S150" s="406">
        <f t="shared" ref="S150" si="44">R150*$E150</f>
        <v>392.05519480519479</v>
      </c>
      <c r="T150" s="405">
        <v>0.15</v>
      </c>
    </row>
    <row r="151" spans="2:20" ht="15.75" x14ac:dyDescent="0.25">
      <c r="B151" s="60"/>
      <c r="C151" s="244"/>
      <c r="D151" s="245"/>
      <c r="E151" s="245"/>
      <c r="F151" s="60"/>
      <c r="G151" s="60"/>
      <c r="J151" s="406"/>
      <c r="K151" s="406"/>
      <c r="L151" s="406"/>
      <c r="M151" s="406"/>
      <c r="N151" s="406"/>
      <c r="O151" s="406"/>
      <c r="P151" s="406"/>
      <c r="Q151" s="406"/>
      <c r="R151" s="406"/>
      <c r="S151" s="406"/>
      <c r="T151" s="74"/>
    </row>
    <row r="152" spans="2:20" ht="15.75" x14ac:dyDescent="0.25">
      <c r="B152" s="60"/>
      <c r="C152" s="244" t="s">
        <v>77</v>
      </c>
      <c r="D152" s="245" t="s">
        <v>64</v>
      </c>
      <c r="E152" s="245">
        <v>419</v>
      </c>
      <c r="F152" s="66">
        <f>R152+R152*0.15</f>
        <v>10.880668738613224</v>
      </c>
      <c r="G152" s="67">
        <f>F152*E152</f>
        <v>4559.0002014789407</v>
      </c>
      <c r="J152" s="406">
        <f>'MATERIAL BUILD-UP RATES'!F291</f>
        <v>1.8400225056264066</v>
      </c>
      <c r="K152" s="406">
        <f>J152*$E152</f>
        <v>770.96942985746432</v>
      </c>
      <c r="L152" s="406">
        <v>5</v>
      </c>
      <c r="M152" s="406">
        <f>L152*$E152</f>
        <v>2095</v>
      </c>
      <c r="N152" s="406">
        <f>' LABOUR BUILD-UP RATES'!F189</f>
        <v>2.6214285714285714</v>
      </c>
      <c r="O152" s="406">
        <f>N152*$E152</f>
        <v>1098.3785714285714</v>
      </c>
      <c r="P152" s="406">
        <v>0</v>
      </c>
      <c r="Q152" s="406">
        <v>0</v>
      </c>
      <c r="R152" s="406">
        <f t="shared" ref="R152" si="45">J152+L152+N152+P152</f>
        <v>9.4614510770549778</v>
      </c>
      <c r="S152" s="406">
        <f t="shared" ref="S152" si="46">R152*$E152</f>
        <v>3964.3480012860355</v>
      </c>
      <c r="T152" s="405">
        <v>0.15</v>
      </c>
    </row>
    <row r="153" spans="2:20" ht="15.75" x14ac:dyDescent="0.25">
      <c r="B153" s="60"/>
      <c r="C153" s="244"/>
      <c r="D153" s="245"/>
      <c r="E153" s="245"/>
      <c r="F153" s="60"/>
      <c r="G153" s="60"/>
      <c r="J153" s="406"/>
      <c r="K153" s="406"/>
      <c r="L153" s="406"/>
      <c r="M153" s="406"/>
      <c r="N153" s="406"/>
      <c r="O153" s="406"/>
      <c r="P153" s="406"/>
      <c r="Q153" s="406"/>
      <c r="R153" s="406"/>
      <c r="S153" s="406"/>
      <c r="T153" s="74"/>
    </row>
    <row r="154" spans="2:20" ht="15.75" x14ac:dyDescent="0.25">
      <c r="B154" s="60"/>
      <c r="C154" s="244" t="s">
        <v>78</v>
      </c>
      <c r="D154" s="245"/>
      <c r="E154" s="245"/>
      <c r="F154" s="60"/>
      <c r="G154" s="60"/>
      <c r="J154" s="406"/>
      <c r="K154" s="406"/>
      <c r="L154" s="406"/>
      <c r="M154" s="406"/>
      <c r="N154" s="406"/>
      <c r="O154" s="406"/>
      <c r="P154" s="406"/>
      <c r="Q154" s="406"/>
      <c r="R154" s="406"/>
      <c r="S154" s="406"/>
      <c r="T154" s="74"/>
    </row>
    <row r="155" spans="2:20" ht="15.75" x14ac:dyDescent="0.25">
      <c r="B155" s="60"/>
      <c r="C155" s="244" t="s">
        <v>79</v>
      </c>
      <c r="D155" s="245" t="s">
        <v>64</v>
      </c>
      <c r="E155" s="245">
        <v>321</v>
      </c>
      <c r="F155" s="66">
        <f>R155+R155*0.15</f>
        <v>10.880668738613224</v>
      </c>
      <c r="G155" s="67">
        <f>F155*E155</f>
        <v>3492.6946650948448</v>
      </c>
      <c r="J155" s="406">
        <f>'MATERIAL BUILD-UP RATES'!F291</f>
        <v>1.8400225056264066</v>
      </c>
      <c r="K155" s="406">
        <f>J155*$E155</f>
        <v>590.64722430607651</v>
      </c>
      <c r="L155" s="406">
        <v>5</v>
      </c>
      <c r="M155" s="406">
        <f>L155*$E155</f>
        <v>1605</v>
      </c>
      <c r="N155" s="406">
        <f>' LABOUR BUILD-UP RATES'!F189</f>
        <v>2.6214285714285714</v>
      </c>
      <c r="O155" s="406">
        <f>N155*$E155</f>
        <v>841.4785714285714</v>
      </c>
      <c r="P155" s="406">
        <v>0</v>
      </c>
      <c r="Q155" s="406">
        <v>0</v>
      </c>
      <c r="R155" s="406">
        <f t="shared" ref="R155" si="47">J155+L155+N155+P155</f>
        <v>9.4614510770549778</v>
      </c>
      <c r="S155" s="406">
        <f t="shared" ref="S155" si="48">R155*$E155</f>
        <v>3037.1257957346479</v>
      </c>
      <c r="T155" s="405">
        <v>0.15</v>
      </c>
    </row>
    <row r="156" spans="2:20" ht="15.75" x14ac:dyDescent="0.25">
      <c r="B156" s="60"/>
      <c r="C156" s="244"/>
      <c r="D156" s="245"/>
      <c r="E156" s="245"/>
      <c r="F156" s="60"/>
      <c r="G156" s="60"/>
      <c r="J156" s="406"/>
      <c r="K156" s="406"/>
      <c r="L156" s="406"/>
      <c r="M156" s="406"/>
      <c r="N156" s="406"/>
      <c r="O156" s="406"/>
      <c r="P156" s="406"/>
      <c r="Q156" s="406"/>
      <c r="R156" s="406"/>
      <c r="S156" s="406"/>
      <c r="T156" s="74"/>
    </row>
    <row r="157" spans="2:20" ht="15.75" x14ac:dyDescent="0.25">
      <c r="B157" s="60"/>
      <c r="C157" s="244" t="s">
        <v>78</v>
      </c>
      <c r="D157" s="245"/>
      <c r="E157" s="245"/>
      <c r="F157" s="60"/>
      <c r="G157" s="60"/>
      <c r="J157" s="406"/>
      <c r="K157" s="406"/>
      <c r="L157" s="406"/>
      <c r="M157" s="406"/>
      <c r="N157" s="406"/>
      <c r="O157" s="406"/>
      <c r="P157" s="406"/>
      <c r="Q157" s="406"/>
      <c r="R157" s="406"/>
      <c r="S157" s="406"/>
      <c r="T157" s="74"/>
    </row>
    <row r="158" spans="2:20" ht="15.75" x14ac:dyDescent="0.25">
      <c r="B158" s="60"/>
      <c r="C158" s="244" t="s">
        <v>80</v>
      </c>
      <c r="D158" s="245" t="s">
        <v>64</v>
      </c>
      <c r="E158" s="245">
        <v>534</v>
      </c>
      <c r="F158" s="66">
        <f>R158+R158*0.15</f>
        <v>10.880668738613224</v>
      </c>
      <c r="G158" s="67">
        <f>F158*E158</f>
        <v>5810.2771064194612</v>
      </c>
      <c r="J158" s="406">
        <f>'MATERIAL BUILD-UP RATES'!F291</f>
        <v>1.8400225056264066</v>
      </c>
      <c r="K158" s="406">
        <f>J158*$E158</f>
        <v>982.57201800450116</v>
      </c>
      <c r="L158" s="406">
        <v>5</v>
      </c>
      <c r="M158" s="406">
        <f>L158*$E158</f>
        <v>2670</v>
      </c>
      <c r="N158" s="406">
        <f>' LABOUR BUILD-UP RATES'!F189</f>
        <v>2.6214285714285714</v>
      </c>
      <c r="O158" s="406">
        <f>N158*$E158</f>
        <v>1399.8428571428572</v>
      </c>
      <c r="P158" s="406">
        <v>0</v>
      </c>
      <c r="Q158" s="406">
        <v>0</v>
      </c>
      <c r="R158" s="406">
        <f t="shared" ref="R158" si="49">J158+L158+N158+P158</f>
        <v>9.4614510770549778</v>
      </c>
      <c r="S158" s="406">
        <f t="shared" ref="S158" si="50">R158*$E158</f>
        <v>5052.4148751473585</v>
      </c>
      <c r="T158" s="405">
        <v>0.15</v>
      </c>
    </row>
    <row r="159" spans="2:20" ht="15.75" x14ac:dyDescent="0.25">
      <c r="B159" s="60"/>
      <c r="C159" s="244"/>
      <c r="D159" s="245"/>
      <c r="E159" s="245"/>
      <c r="F159" s="60"/>
      <c r="G159" s="60"/>
      <c r="J159" s="406"/>
      <c r="K159" s="406"/>
      <c r="L159" s="406"/>
      <c r="M159" s="406"/>
      <c r="N159" s="406"/>
      <c r="O159" s="406"/>
      <c r="P159" s="406"/>
      <c r="Q159" s="406"/>
      <c r="R159" s="406"/>
      <c r="S159" s="406"/>
      <c r="T159" s="74"/>
    </row>
    <row r="160" spans="2:20" ht="15.75" x14ac:dyDescent="0.25">
      <c r="B160" s="60"/>
      <c r="C160" s="244" t="s">
        <v>81</v>
      </c>
      <c r="D160" s="245"/>
      <c r="E160" s="245"/>
      <c r="F160" s="60"/>
      <c r="G160" s="60"/>
      <c r="J160" s="406"/>
      <c r="K160" s="406"/>
      <c r="L160" s="406"/>
      <c r="M160" s="406"/>
      <c r="N160" s="406"/>
      <c r="O160" s="406"/>
      <c r="P160" s="406"/>
      <c r="Q160" s="406"/>
      <c r="R160" s="406"/>
      <c r="S160" s="406"/>
      <c r="T160" s="74"/>
    </row>
    <row r="161" spans="2:20" ht="15.75" x14ac:dyDescent="0.25">
      <c r="B161" s="60"/>
      <c r="C161" s="244" t="s">
        <v>82</v>
      </c>
      <c r="D161" s="245" t="s">
        <v>64</v>
      </c>
      <c r="E161" s="245">
        <v>15</v>
      </c>
      <c r="F161" s="66">
        <f>R161+R161*0.15</f>
        <v>12.214642857142858</v>
      </c>
      <c r="G161" s="67">
        <f>F161*E161</f>
        <v>183.21964285714287</v>
      </c>
      <c r="J161" s="406">
        <f>'MATERIAL BUILD-UP RATES'!F303</f>
        <v>3</v>
      </c>
      <c r="K161" s="406">
        <f>J161*$E161</f>
        <v>45</v>
      </c>
      <c r="L161" s="406">
        <v>5</v>
      </c>
      <c r="M161" s="406">
        <f>L161*$E161</f>
        <v>75</v>
      </c>
      <c r="N161" s="406">
        <f>' LABOUR BUILD-UP RATES'!F189</f>
        <v>2.6214285714285714</v>
      </c>
      <c r="O161" s="406">
        <f>N161*$E161</f>
        <v>39.321428571428569</v>
      </c>
      <c r="P161" s="406">
        <v>0</v>
      </c>
      <c r="Q161" s="406">
        <v>0</v>
      </c>
      <c r="R161" s="406">
        <f t="shared" ref="R161" si="51">J161+L161+N161+P161</f>
        <v>10.621428571428572</v>
      </c>
      <c r="S161" s="406">
        <f t="shared" ref="S161" si="52">R161*$E161</f>
        <v>159.32142857142858</v>
      </c>
      <c r="T161" s="405">
        <v>0.15</v>
      </c>
    </row>
    <row r="162" spans="2:20" ht="15.75" x14ac:dyDescent="0.25">
      <c r="B162" s="60"/>
      <c r="C162" s="244"/>
      <c r="D162" s="245"/>
      <c r="E162" s="245"/>
      <c r="F162" s="60"/>
      <c r="G162" s="60"/>
      <c r="J162" s="406"/>
      <c r="K162" s="406"/>
      <c r="L162" s="406"/>
      <c r="M162" s="406"/>
      <c r="N162" s="406"/>
      <c r="O162" s="406"/>
      <c r="P162" s="406"/>
      <c r="Q162" s="406"/>
      <c r="R162" s="406"/>
      <c r="S162" s="406"/>
      <c r="T162" s="74"/>
    </row>
    <row r="163" spans="2:20" ht="15.75" x14ac:dyDescent="0.25">
      <c r="B163" s="60"/>
      <c r="C163" s="244" t="s">
        <v>78</v>
      </c>
      <c r="D163" s="245"/>
      <c r="E163" s="245"/>
      <c r="F163" s="60"/>
      <c r="G163" s="60"/>
      <c r="J163" s="406"/>
      <c r="K163" s="406"/>
      <c r="L163" s="406"/>
      <c r="M163" s="406"/>
      <c r="N163" s="406"/>
      <c r="O163" s="406"/>
      <c r="P163" s="406"/>
      <c r="Q163" s="406"/>
      <c r="R163" s="406"/>
      <c r="S163" s="406"/>
      <c r="T163" s="74"/>
    </row>
    <row r="164" spans="2:20" ht="15.75" x14ac:dyDescent="0.25">
      <c r="B164" s="60"/>
      <c r="C164" s="244" t="s">
        <v>83</v>
      </c>
      <c r="D164" s="245" t="s">
        <v>64</v>
      </c>
      <c r="E164" s="245">
        <v>15</v>
      </c>
      <c r="F164" s="66">
        <f>R164+R164*0.15</f>
        <v>10.880668738613224</v>
      </c>
      <c r="G164" s="67">
        <f>F164*E164</f>
        <v>163.21003107919836</v>
      </c>
      <c r="J164" s="406">
        <f>'MATERIAL BUILD-UP RATES'!F291</f>
        <v>1.8400225056264066</v>
      </c>
      <c r="K164" s="406">
        <f>J164*$E164</f>
        <v>27.600337584396097</v>
      </c>
      <c r="L164" s="406">
        <v>5</v>
      </c>
      <c r="M164" s="406">
        <f>L164*$E164</f>
        <v>75</v>
      </c>
      <c r="N164" s="406">
        <f>' LABOUR BUILD-UP RATES'!F189</f>
        <v>2.6214285714285714</v>
      </c>
      <c r="O164" s="406">
        <f>N164*$E164</f>
        <v>39.321428571428569</v>
      </c>
      <c r="P164" s="406">
        <v>0</v>
      </c>
      <c r="Q164" s="406">
        <v>0</v>
      </c>
      <c r="R164" s="406">
        <f t="shared" ref="R164" si="53">J164+L164+N164+P164</f>
        <v>9.4614510770549778</v>
      </c>
      <c r="S164" s="406">
        <f t="shared" ref="S164" si="54">R164*$E164</f>
        <v>141.92176615582466</v>
      </c>
      <c r="T164" s="405">
        <v>0.15</v>
      </c>
    </row>
    <row r="165" spans="2:20" ht="15.75" x14ac:dyDescent="0.25">
      <c r="B165" s="60"/>
      <c r="C165" s="244"/>
      <c r="D165" s="245"/>
      <c r="E165" s="245"/>
      <c r="F165" s="60"/>
      <c r="G165" s="60"/>
      <c r="J165" s="406"/>
      <c r="K165" s="406"/>
      <c r="L165" s="406"/>
      <c r="M165" s="406"/>
      <c r="N165" s="406"/>
      <c r="O165" s="406"/>
      <c r="P165" s="406"/>
      <c r="Q165" s="406"/>
      <c r="R165" s="406"/>
      <c r="S165" s="406"/>
      <c r="T165" s="74"/>
    </row>
    <row r="166" spans="2:20" ht="15.75" x14ac:dyDescent="0.25">
      <c r="B166" s="60"/>
      <c r="C166" s="244" t="s">
        <v>78</v>
      </c>
      <c r="D166" s="245"/>
      <c r="E166" s="245"/>
      <c r="F166" s="60"/>
      <c r="G166" s="60"/>
      <c r="J166" s="406"/>
      <c r="K166" s="406"/>
      <c r="L166" s="406"/>
      <c r="M166" s="406"/>
      <c r="N166" s="406"/>
      <c r="O166" s="406"/>
      <c r="P166" s="406"/>
      <c r="Q166" s="406"/>
      <c r="R166" s="406"/>
      <c r="S166" s="406"/>
      <c r="T166" s="74"/>
    </row>
    <row r="167" spans="2:20" ht="15.75" x14ac:dyDescent="0.25">
      <c r="B167" s="60"/>
      <c r="C167" s="244" t="s">
        <v>84</v>
      </c>
      <c r="D167" s="245" t="s">
        <v>64</v>
      </c>
      <c r="E167" s="245">
        <v>15</v>
      </c>
      <c r="F167" s="66">
        <f>R167+R167*0.15</f>
        <v>10.880668738613224</v>
      </c>
      <c r="G167" s="67">
        <f>F167*E167</f>
        <v>163.21003107919836</v>
      </c>
      <c r="J167" s="406">
        <f>'MATERIAL BUILD-UP RATES'!F291</f>
        <v>1.8400225056264066</v>
      </c>
      <c r="K167" s="406">
        <f>J167*$E167</f>
        <v>27.600337584396097</v>
      </c>
      <c r="L167" s="406">
        <v>5</v>
      </c>
      <c r="M167" s="406">
        <f>L167*$E167</f>
        <v>75</v>
      </c>
      <c r="N167" s="406">
        <f>' LABOUR BUILD-UP RATES'!F189</f>
        <v>2.6214285714285714</v>
      </c>
      <c r="O167" s="406">
        <f>N167*$E167</f>
        <v>39.321428571428569</v>
      </c>
      <c r="P167" s="406">
        <v>0</v>
      </c>
      <c r="Q167" s="406">
        <v>0</v>
      </c>
      <c r="R167" s="406">
        <f t="shared" ref="R167" si="55">J167+L167+N167+P167</f>
        <v>9.4614510770549778</v>
      </c>
      <c r="S167" s="406">
        <f t="shared" ref="S167" si="56">R167*$E167</f>
        <v>141.92176615582466</v>
      </c>
      <c r="T167" s="405">
        <v>0.15</v>
      </c>
    </row>
    <row r="168" spans="2:20" ht="15.75" x14ac:dyDescent="0.25">
      <c r="B168" s="60"/>
      <c r="C168" s="244"/>
      <c r="D168" s="245"/>
      <c r="E168" s="245"/>
      <c r="F168" s="60"/>
      <c r="G168" s="60"/>
      <c r="J168" s="406"/>
      <c r="K168" s="406"/>
      <c r="L168" s="406"/>
      <c r="M168" s="406"/>
      <c r="N168" s="406"/>
      <c r="O168" s="406"/>
      <c r="P168" s="406"/>
      <c r="Q168" s="406"/>
      <c r="R168" s="406"/>
      <c r="S168" s="406"/>
      <c r="T168" s="74"/>
    </row>
    <row r="169" spans="2:20" ht="15.75" x14ac:dyDescent="0.25">
      <c r="B169" s="60"/>
      <c r="C169" s="244" t="s">
        <v>78</v>
      </c>
      <c r="D169" s="245"/>
      <c r="E169" s="245"/>
      <c r="F169" s="60"/>
      <c r="G169" s="60"/>
      <c r="J169" s="406"/>
      <c r="K169" s="406"/>
      <c r="L169" s="406"/>
      <c r="M169" s="406"/>
      <c r="N169" s="406"/>
      <c r="O169" s="406"/>
      <c r="P169" s="406"/>
      <c r="Q169" s="406"/>
      <c r="R169" s="406"/>
      <c r="S169" s="406"/>
      <c r="T169" s="74"/>
    </row>
    <row r="170" spans="2:20" ht="15.75" x14ac:dyDescent="0.25">
      <c r="B170" s="60"/>
      <c r="C170" s="244" t="s">
        <v>85</v>
      </c>
      <c r="D170" s="245" t="s">
        <v>64</v>
      </c>
      <c r="E170" s="245">
        <v>44</v>
      </c>
      <c r="F170" s="66">
        <f>R170+R170*0.15</f>
        <v>10.880668738613224</v>
      </c>
      <c r="G170" s="67">
        <f>F170*E170</f>
        <v>478.74942449898185</v>
      </c>
      <c r="J170" s="406">
        <f>'MATERIAL BUILD-UP RATES'!F291</f>
        <v>1.8400225056264066</v>
      </c>
      <c r="K170" s="406">
        <f>J170*$E170</f>
        <v>80.960990247561895</v>
      </c>
      <c r="L170" s="406">
        <v>5</v>
      </c>
      <c r="M170" s="406">
        <f>L170*$E170</f>
        <v>220</v>
      </c>
      <c r="N170" s="406">
        <f>' LABOUR BUILD-UP RATES'!F189</f>
        <v>2.6214285714285714</v>
      </c>
      <c r="O170" s="406">
        <f>N170*$E170</f>
        <v>115.34285714285714</v>
      </c>
      <c r="P170" s="406">
        <v>0</v>
      </c>
      <c r="Q170" s="406">
        <v>0</v>
      </c>
      <c r="R170" s="406">
        <f t="shared" ref="R170" si="57">J170+L170+N170+P170</f>
        <v>9.4614510770549778</v>
      </c>
      <c r="S170" s="406">
        <f t="shared" ref="S170" si="58">R170*$E170</f>
        <v>416.30384739041904</v>
      </c>
      <c r="T170" s="405">
        <v>0.15</v>
      </c>
    </row>
    <row r="171" spans="2:20" ht="15.75" x14ac:dyDescent="0.25">
      <c r="B171" s="60"/>
      <c r="C171" s="244"/>
      <c r="D171" s="245"/>
      <c r="E171" s="245"/>
      <c r="F171" s="66"/>
      <c r="G171" s="67"/>
      <c r="J171" s="406"/>
      <c r="K171" s="406"/>
      <c r="L171" s="406"/>
      <c r="M171" s="406"/>
      <c r="N171" s="406"/>
      <c r="O171" s="406"/>
      <c r="P171" s="406"/>
      <c r="Q171" s="406"/>
      <c r="R171" s="406"/>
      <c r="S171" s="406"/>
      <c r="T171" s="405"/>
    </row>
    <row r="172" spans="2:20" ht="15.75" x14ac:dyDescent="0.25">
      <c r="B172" s="60"/>
      <c r="C172" s="354" t="s">
        <v>389</v>
      </c>
      <c r="D172" s="358"/>
      <c r="E172" s="358"/>
      <c r="F172" s="360"/>
      <c r="G172" s="356">
        <f>SUM(G150:G171)</f>
        <v>15301.224576533739</v>
      </c>
      <c r="J172" s="406"/>
      <c r="K172" s="356">
        <f>SUM(K150:K171)</f>
        <v>2574.4412466753051</v>
      </c>
      <c r="L172" s="406"/>
      <c r="M172" s="356">
        <f>SUM(M150:M171)</f>
        <v>7040</v>
      </c>
      <c r="N172" s="406"/>
      <c r="O172" s="356">
        <f>SUM(O150:O171)</f>
        <v>3690.9714285714281</v>
      </c>
      <c r="P172" s="406"/>
      <c r="Q172" s="356">
        <f>SUM(Q150:Q171)</f>
        <v>0</v>
      </c>
      <c r="R172" s="406"/>
      <c r="S172" s="356">
        <f>SUM(S150:S171)</f>
        <v>13305.412675246736</v>
      </c>
      <c r="T172" s="405"/>
    </row>
    <row r="173" spans="2:20" x14ac:dyDescent="0.25">
      <c r="B173" s="60"/>
      <c r="C173" s="75"/>
      <c r="D173" s="69"/>
      <c r="E173" s="69"/>
      <c r="F173" s="60"/>
      <c r="G173" s="60"/>
      <c r="J173" s="406"/>
      <c r="K173" s="406"/>
      <c r="L173" s="406"/>
      <c r="M173" s="406"/>
      <c r="N173" s="406"/>
      <c r="O173" s="406"/>
      <c r="P173" s="406"/>
      <c r="Q173" s="406"/>
      <c r="R173" s="406"/>
      <c r="S173" s="406"/>
      <c r="T173" s="74"/>
    </row>
    <row r="174" spans="2:20" x14ac:dyDescent="0.25">
      <c r="B174" s="149" t="s">
        <v>347</v>
      </c>
      <c r="C174" s="150" t="s">
        <v>395</v>
      </c>
      <c r="D174" s="69"/>
      <c r="E174" s="69"/>
      <c r="F174" s="60"/>
      <c r="G174" s="60"/>
      <c r="J174" s="406"/>
      <c r="K174" s="406"/>
      <c r="L174" s="406"/>
      <c r="M174" s="406"/>
      <c r="N174" s="406"/>
      <c r="O174" s="406"/>
      <c r="P174" s="406"/>
      <c r="Q174" s="406"/>
      <c r="R174" s="406"/>
      <c r="S174" s="406"/>
      <c r="T174" s="74"/>
    </row>
    <row r="175" spans="2:20" x14ac:dyDescent="0.25">
      <c r="B175" s="60"/>
      <c r="C175" s="75"/>
      <c r="D175" s="69"/>
      <c r="E175" s="69"/>
      <c r="F175" s="60"/>
      <c r="G175" s="60"/>
      <c r="J175" s="406"/>
      <c r="K175" s="406"/>
      <c r="L175" s="406"/>
      <c r="M175" s="406"/>
      <c r="N175" s="406"/>
      <c r="O175" s="406"/>
      <c r="P175" s="406"/>
      <c r="Q175" s="406"/>
      <c r="R175" s="406"/>
      <c r="S175" s="406"/>
      <c r="T175" s="74"/>
    </row>
    <row r="176" spans="2:20" ht="15.75" x14ac:dyDescent="0.25">
      <c r="B176" s="60"/>
      <c r="C176" s="244" t="s">
        <v>87</v>
      </c>
      <c r="D176" s="245"/>
      <c r="E176" s="245"/>
      <c r="F176" s="60"/>
      <c r="G176" s="60"/>
      <c r="J176" s="406"/>
      <c r="K176" s="406"/>
      <c r="L176" s="406"/>
      <c r="M176" s="406"/>
      <c r="N176" s="406"/>
      <c r="O176" s="406"/>
      <c r="P176" s="406"/>
      <c r="Q176" s="406"/>
      <c r="R176" s="406"/>
      <c r="S176" s="406"/>
      <c r="T176" s="74"/>
    </row>
    <row r="177" spans="2:20" ht="15.75" x14ac:dyDescent="0.25">
      <c r="B177" s="60"/>
      <c r="C177" s="244" t="s">
        <v>88</v>
      </c>
      <c r="D177" s="245" t="s">
        <v>15</v>
      </c>
      <c r="E177" s="245">
        <v>1</v>
      </c>
      <c r="F177" s="66">
        <f>R177+R177*0.15</f>
        <v>128.94374999999999</v>
      </c>
      <c r="G177" s="67">
        <f>F177*E177</f>
        <v>128.94374999999999</v>
      </c>
      <c r="J177" s="406">
        <v>100</v>
      </c>
      <c r="K177" s="406">
        <f>J177*$E177</f>
        <v>100</v>
      </c>
      <c r="L177" s="406">
        <v>3</v>
      </c>
      <c r="M177" s="406">
        <f>L177*$E177</f>
        <v>3</v>
      </c>
      <c r="N177" s="406">
        <f>' LABOUR BUILD-UP RATES'!F198</f>
        <v>9.125</v>
      </c>
      <c r="O177" s="406">
        <f>N177*$E177</f>
        <v>9.125</v>
      </c>
      <c r="P177" s="406">
        <v>0</v>
      </c>
      <c r="Q177" s="406">
        <v>0</v>
      </c>
      <c r="R177" s="406">
        <f t="shared" ref="R177" si="59">J177+L177+N177+P177</f>
        <v>112.125</v>
      </c>
      <c r="S177" s="406">
        <f t="shared" ref="S177" si="60">R177*$E177</f>
        <v>112.125</v>
      </c>
      <c r="T177" s="405">
        <v>0.15</v>
      </c>
    </row>
    <row r="178" spans="2:20" ht="15.75" x14ac:dyDescent="0.25">
      <c r="B178" s="60"/>
      <c r="C178" s="244"/>
      <c r="D178" s="245"/>
      <c r="E178" s="245"/>
      <c r="F178" s="60"/>
      <c r="G178" s="60"/>
      <c r="J178" s="406"/>
      <c r="K178" s="406"/>
      <c r="L178" s="406"/>
      <c r="M178" s="406"/>
      <c r="N178" s="406"/>
      <c r="O178" s="406"/>
      <c r="P178" s="406"/>
      <c r="Q178" s="406"/>
      <c r="R178" s="406"/>
      <c r="S178" s="406"/>
      <c r="T178" s="74"/>
    </row>
    <row r="179" spans="2:20" ht="15.75" x14ac:dyDescent="0.25">
      <c r="B179" s="60"/>
      <c r="C179" s="244" t="s">
        <v>86</v>
      </c>
      <c r="D179" s="245"/>
      <c r="E179" s="245"/>
      <c r="F179" s="60"/>
      <c r="G179" s="60"/>
      <c r="J179" s="406"/>
      <c r="K179" s="406"/>
      <c r="L179" s="406"/>
      <c r="M179" s="406"/>
      <c r="N179" s="406"/>
      <c r="O179" s="406"/>
      <c r="P179" s="406"/>
      <c r="Q179" s="406"/>
      <c r="R179" s="406"/>
      <c r="S179" s="406"/>
      <c r="T179" s="74"/>
    </row>
    <row r="180" spans="2:20" ht="15.75" x14ac:dyDescent="0.25">
      <c r="B180" s="60"/>
      <c r="C180" s="244" t="s">
        <v>89</v>
      </c>
      <c r="D180" s="245" t="s">
        <v>15</v>
      </c>
      <c r="E180" s="245">
        <v>4</v>
      </c>
      <c r="F180" s="66">
        <f>R180+R180*0.15</f>
        <v>100.19374999999999</v>
      </c>
      <c r="G180" s="67">
        <f>F180*E180</f>
        <v>400.77499999999998</v>
      </c>
      <c r="J180" s="406">
        <v>75</v>
      </c>
      <c r="K180" s="406">
        <f>J180*$E180</f>
        <v>300</v>
      </c>
      <c r="L180" s="406">
        <v>3</v>
      </c>
      <c r="M180" s="406">
        <f>L180*$E180</f>
        <v>12</v>
      </c>
      <c r="N180" s="406">
        <f>' LABOUR BUILD-UP RATES'!F198</f>
        <v>9.125</v>
      </c>
      <c r="O180" s="406">
        <f>N180*$E180</f>
        <v>36.5</v>
      </c>
      <c r="P180" s="406">
        <v>0</v>
      </c>
      <c r="Q180" s="406">
        <v>0</v>
      </c>
      <c r="R180" s="406">
        <f t="shared" ref="R180" si="61">J180+L180+N180+P180</f>
        <v>87.125</v>
      </c>
      <c r="S180" s="406">
        <f t="shared" ref="S180" si="62">R180*$E180</f>
        <v>348.5</v>
      </c>
      <c r="T180" s="405">
        <v>0.15</v>
      </c>
    </row>
    <row r="181" spans="2:20" ht="15.75" x14ac:dyDescent="0.25">
      <c r="B181" s="60"/>
      <c r="C181" s="244"/>
      <c r="D181" s="245"/>
      <c r="E181" s="245"/>
      <c r="F181" s="60"/>
      <c r="G181" s="60"/>
      <c r="J181" s="406"/>
      <c r="K181" s="406"/>
      <c r="L181" s="406"/>
      <c r="M181" s="406"/>
      <c r="N181" s="406"/>
      <c r="O181" s="406"/>
      <c r="P181" s="406"/>
      <c r="Q181" s="406"/>
      <c r="R181" s="406"/>
      <c r="S181" s="406"/>
      <c r="T181" s="74"/>
    </row>
    <row r="182" spans="2:20" ht="15.75" x14ac:dyDescent="0.25">
      <c r="B182" s="60"/>
      <c r="C182" s="244" t="s">
        <v>87</v>
      </c>
      <c r="D182" s="245"/>
      <c r="E182" s="245"/>
      <c r="F182" s="60"/>
      <c r="G182" s="60"/>
      <c r="J182" s="406"/>
      <c r="K182" s="406"/>
      <c r="L182" s="406"/>
      <c r="M182" s="406"/>
      <c r="N182" s="406"/>
      <c r="O182" s="406"/>
      <c r="P182" s="406"/>
      <c r="Q182" s="406"/>
      <c r="R182" s="406"/>
      <c r="S182" s="406"/>
      <c r="T182" s="74"/>
    </row>
    <row r="183" spans="2:20" ht="15.75" x14ac:dyDescent="0.25">
      <c r="B183" s="60"/>
      <c r="C183" s="244" t="s">
        <v>90</v>
      </c>
      <c r="D183" s="245" t="s">
        <v>15</v>
      </c>
      <c r="E183" s="245">
        <v>2</v>
      </c>
      <c r="F183" s="66">
        <f>R183+R183*0.15</f>
        <v>151.94374999999999</v>
      </c>
      <c r="G183" s="67">
        <f>F183*E183</f>
        <v>303.88749999999999</v>
      </c>
      <c r="J183" s="406">
        <v>120</v>
      </c>
      <c r="K183" s="406">
        <f>J183*$E183</f>
        <v>240</v>
      </c>
      <c r="L183" s="406">
        <v>3</v>
      </c>
      <c r="M183" s="406">
        <f>L183*$E183</f>
        <v>6</v>
      </c>
      <c r="N183" s="406">
        <f>' LABOUR BUILD-UP RATES'!F198</f>
        <v>9.125</v>
      </c>
      <c r="O183" s="406">
        <f>N183*$E183</f>
        <v>18.25</v>
      </c>
      <c r="P183" s="406">
        <v>0</v>
      </c>
      <c r="Q183" s="406">
        <v>0</v>
      </c>
      <c r="R183" s="406">
        <f t="shared" ref="R183" si="63">J183+L183+N183+P183</f>
        <v>132.125</v>
      </c>
      <c r="S183" s="406">
        <f t="shared" ref="S183" si="64">R183*$E183</f>
        <v>264.25</v>
      </c>
      <c r="T183" s="405">
        <v>0.15</v>
      </c>
    </row>
    <row r="184" spans="2:20" ht="15.75" x14ac:dyDescent="0.25">
      <c r="B184" s="60"/>
      <c r="C184" s="244"/>
      <c r="D184" s="245"/>
      <c r="E184" s="245"/>
      <c r="F184" s="60"/>
      <c r="G184" s="60"/>
      <c r="J184" s="406"/>
      <c r="K184" s="406"/>
      <c r="L184" s="406"/>
      <c r="M184" s="406"/>
      <c r="N184" s="406"/>
      <c r="O184" s="406"/>
      <c r="P184" s="406"/>
      <c r="Q184" s="406"/>
      <c r="R184" s="406"/>
      <c r="S184" s="406"/>
      <c r="T184" s="74"/>
    </row>
    <row r="185" spans="2:20" ht="15.75" x14ac:dyDescent="0.25">
      <c r="B185" s="60"/>
      <c r="C185" s="244" t="s">
        <v>91</v>
      </c>
      <c r="D185" s="245"/>
      <c r="E185" s="245"/>
      <c r="F185" s="60"/>
      <c r="G185" s="60"/>
      <c r="J185" s="406"/>
      <c r="K185" s="406"/>
      <c r="L185" s="406"/>
      <c r="M185" s="406"/>
      <c r="N185" s="406"/>
      <c r="O185" s="406"/>
      <c r="P185" s="406"/>
      <c r="Q185" s="406"/>
      <c r="R185" s="406"/>
      <c r="S185" s="406"/>
      <c r="T185" s="74"/>
    </row>
    <row r="186" spans="2:20" ht="15.75" x14ac:dyDescent="0.25">
      <c r="B186" s="60"/>
      <c r="C186" s="244" t="s">
        <v>92</v>
      </c>
      <c r="D186" s="245"/>
      <c r="E186" s="245"/>
      <c r="F186" s="60"/>
      <c r="G186" s="60"/>
      <c r="J186" s="406"/>
      <c r="K186" s="406"/>
      <c r="L186" s="406"/>
      <c r="M186" s="406"/>
      <c r="N186" s="406"/>
      <c r="O186" s="406"/>
      <c r="P186" s="406"/>
      <c r="Q186" s="406"/>
      <c r="R186" s="406"/>
      <c r="S186" s="406"/>
      <c r="T186" s="74"/>
    </row>
    <row r="187" spans="2:20" ht="15.75" x14ac:dyDescent="0.25">
      <c r="B187" s="60"/>
      <c r="C187" s="244" t="s">
        <v>93</v>
      </c>
      <c r="D187" s="245" t="s">
        <v>15</v>
      </c>
      <c r="E187" s="245">
        <v>2</v>
      </c>
      <c r="F187" s="66">
        <f>R187+R187*0.15</f>
        <v>82.943749999999994</v>
      </c>
      <c r="G187" s="67">
        <f>F187*E187</f>
        <v>165.88749999999999</v>
      </c>
      <c r="J187" s="406">
        <v>60</v>
      </c>
      <c r="K187" s="406">
        <f>J187*$E187</f>
        <v>120</v>
      </c>
      <c r="L187" s="406">
        <v>3</v>
      </c>
      <c r="M187" s="406">
        <f>L187*$E187</f>
        <v>6</v>
      </c>
      <c r="N187" s="406">
        <f>' LABOUR BUILD-UP RATES'!F198</f>
        <v>9.125</v>
      </c>
      <c r="O187" s="406">
        <f>N187*$E187</f>
        <v>18.25</v>
      </c>
      <c r="P187" s="406">
        <v>0</v>
      </c>
      <c r="Q187" s="406">
        <v>0</v>
      </c>
      <c r="R187" s="406">
        <f t="shared" ref="R187" si="65">J187+L187+N187+P187</f>
        <v>72.125</v>
      </c>
      <c r="S187" s="406">
        <f t="shared" ref="S187" si="66">R187*$E187</f>
        <v>144.25</v>
      </c>
      <c r="T187" s="405">
        <v>0.15</v>
      </c>
    </row>
    <row r="188" spans="2:20" ht="15.75" x14ac:dyDescent="0.25">
      <c r="B188" s="60"/>
      <c r="C188" s="244"/>
      <c r="D188" s="245"/>
      <c r="E188" s="245"/>
      <c r="F188" s="60"/>
      <c r="G188" s="60"/>
      <c r="J188" s="406"/>
      <c r="K188" s="406"/>
      <c r="L188" s="406"/>
      <c r="M188" s="406"/>
      <c r="N188" s="406"/>
      <c r="O188" s="406"/>
      <c r="P188" s="406"/>
      <c r="Q188" s="406"/>
      <c r="R188" s="406"/>
      <c r="S188" s="406"/>
      <c r="T188" s="74"/>
    </row>
    <row r="189" spans="2:20" ht="15.75" x14ac:dyDescent="0.25">
      <c r="B189" s="60"/>
      <c r="C189" s="244" t="s">
        <v>94</v>
      </c>
      <c r="D189" s="245"/>
      <c r="E189" s="245"/>
      <c r="F189" s="60"/>
      <c r="G189" s="60"/>
      <c r="J189" s="406"/>
      <c r="K189" s="406"/>
      <c r="L189" s="406"/>
      <c r="M189" s="406"/>
      <c r="N189" s="406"/>
      <c r="O189" s="406"/>
      <c r="P189" s="406"/>
      <c r="Q189" s="406"/>
      <c r="R189" s="406"/>
      <c r="S189" s="406"/>
      <c r="T189" s="74"/>
    </row>
    <row r="190" spans="2:20" ht="15.75" x14ac:dyDescent="0.25">
      <c r="B190" s="60"/>
      <c r="C190" s="244" t="s">
        <v>92</v>
      </c>
      <c r="D190" s="245"/>
      <c r="E190" s="245"/>
      <c r="F190" s="60"/>
      <c r="G190" s="60"/>
      <c r="J190" s="406"/>
      <c r="K190" s="406"/>
      <c r="L190" s="406"/>
      <c r="M190" s="406"/>
      <c r="N190" s="406"/>
      <c r="O190" s="406"/>
      <c r="P190" s="406"/>
      <c r="Q190" s="406"/>
      <c r="R190" s="406"/>
      <c r="S190" s="406"/>
      <c r="T190" s="74"/>
    </row>
    <row r="191" spans="2:20" ht="15.75" x14ac:dyDescent="0.25">
      <c r="B191" s="60"/>
      <c r="C191" s="244" t="s">
        <v>93</v>
      </c>
      <c r="D191" s="245" t="s">
        <v>15</v>
      </c>
      <c r="E191" s="245">
        <v>4</v>
      </c>
      <c r="F191" s="66">
        <f>R191+R191*0.15</f>
        <v>88.693749999999994</v>
      </c>
      <c r="G191" s="67">
        <f>F191*E191</f>
        <v>354.77499999999998</v>
      </c>
      <c r="J191" s="406">
        <v>65</v>
      </c>
      <c r="K191" s="406">
        <f>J191*$E191</f>
        <v>260</v>
      </c>
      <c r="L191" s="406">
        <v>3</v>
      </c>
      <c r="M191" s="406">
        <f>L191*$E191</f>
        <v>12</v>
      </c>
      <c r="N191" s="406">
        <f>' LABOUR BUILD-UP RATES'!F198</f>
        <v>9.125</v>
      </c>
      <c r="O191" s="406">
        <f>N191*$E191</f>
        <v>36.5</v>
      </c>
      <c r="P191" s="406">
        <v>0</v>
      </c>
      <c r="Q191" s="406">
        <v>0</v>
      </c>
      <c r="R191" s="406">
        <f t="shared" ref="R191" si="67">J191+L191+N191+P191</f>
        <v>77.125</v>
      </c>
      <c r="S191" s="406">
        <f t="shared" ref="S191" si="68">R191*$E191</f>
        <v>308.5</v>
      </c>
      <c r="T191" s="405">
        <v>0.15</v>
      </c>
    </row>
    <row r="192" spans="2:20" ht="15.75" x14ac:dyDescent="0.25">
      <c r="B192" s="60"/>
      <c r="C192" s="244"/>
      <c r="D192" s="245"/>
      <c r="E192" s="245"/>
      <c r="F192" s="60"/>
      <c r="G192" s="60"/>
      <c r="J192" s="406"/>
      <c r="K192" s="406"/>
      <c r="L192" s="406"/>
      <c r="M192" s="406"/>
      <c r="N192" s="406"/>
      <c r="O192" s="406"/>
      <c r="P192" s="406"/>
      <c r="Q192" s="406"/>
      <c r="R192" s="406"/>
      <c r="S192" s="406"/>
      <c r="T192" s="74"/>
    </row>
    <row r="193" spans="2:20" ht="15.75" x14ac:dyDescent="0.25">
      <c r="B193" s="60"/>
      <c r="C193" s="244" t="s">
        <v>91</v>
      </c>
      <c r="D193" s="245"/>
      <c r="E193" s="245"/>
      <c r="F193" s="60"/>
      <c r="G193" s="60"/>
      <c r="J193" s="406"/>
      <c r="K193" s="406"/>
      <c r="L193" s="406"/>
      <c r="M193" s="406"/>
      <c r="N193" s="406"/>
      <c r="O193" s="406"/>
      <c r="P193" s="406"/>
      <c r="Q193" s="406"/>
      <c r="R193" s="406"/>
      <c r="S193" s="406"/>
      <c r="T193" s="74"/>
    </row>
    <row r="194" spans="2:20" ht="15.75" x14ac:dyDescent="0.25">
      <c r="B194" s="60"/>
      <c r="C194" s="244" t="s">
        <v>92</v>
      </c>
      <c r="D194" s="245"/>
      <c r="E194" s="245"/>
      <c r="F194" s="60"/>
      <c r="G194" s="60"/>
      <c r="J194" s="406"/>
      <c r="K194" s="406"/>
      <c r="L194" s="406"/>
      <c r="M194" s="406"/>
      <c r="N194" s="406"/>
      <c r="O194" s="406"/>
      <c r="P194" s="406"/>
      <c r="Q194" s="406"/>
      <c r="R194" s="406"/>
      <c r="S194" s="406"/>
      <c r="T194" s="74"/>
    </row>
    <row r="195" spans="2:20" ht="15.75" x14ac:dyDescent="0.25">
      <c r="B195" s="60"/>
      <c r="C195" s="244" t="s">
        <v>95</v>
      </c>
      <c r="D195" s="245" t="s">
        <v>15</v>
      </c>
      <c r="E195" s="245">
        <v>1</v>
      </c>
      <c r="F195" s="66">
        <f>R195+R195*0.15</f>
        <v>88.693749999999994</v>
      </c>
      <c r="G195" s="67">
        <f>F195*E195</f>
        <v>88.693749999999994</v>
      </c>
      <c r="J195" s="406">
        <v>65</v>
      </c>
      <c r="K195" s="406">
        <f>J195*$E195</f>
        <v>65</v>
      </c>
      <c r="L195" s="406">
        <v>3</v>
      </c>
      <c r="M195" s="406">
        <f>L195*$E195</f>
        <v>3</v>
      </c>
      <c r="N195" s="406">
        <f>' LABOUR BUILD-UP RATES'!F198</f>
        <v>9.125</v>
      </c>
      <c r="O195" s="406">
        <f>N195*$E195</f>
        <v>9.125</v>
      </c>
      <c r="P195" s="406">
        <v>0</v>
      </c>
      <c r="Q195" s="406">
        <v>0</v>
      </c>
      <c r="R195" s="406">
        <f t="shared" ref="R195" si="69">J195+L195+N195+P195</f>
        <v>77.125</v>
      </c>
      <c r="S195" s="406">
        <f t="shared" ref="S195" si="70">R195*$E195</f>
        <v>77.125</v>
      </c>
      <c r="T195" s="405">
        <v>0.15</v>
      </c>
    </row>
    <row r="196" spans="2:20" ht="15.75" x14ac:dyDescent="0.25">
      <c r="B196" s="60"/>
      <c r="C196" s="244"/>
      <c r="D196" s="245"/>
      <c r="E196" s="245"/>
      <c r="F196" s="60"/>
      <c r="G196" s="60"/>
      <c r="J196" s="406"/>
      <c r="K196" s="406"/>
      <c r="L196" s="406"/>
      <c r="M196" s="406"/>
      <c r="N196" s="406"/>
      <c r="O196" s="406"/>
      <c r="P196" s="406"/>
      <c r="Q196" s="406"/>
      <c r="R196" s="406"/>
      <c r="S196" s="406"/>
      <c r="T196" s="74"/>
    </row>
    <row r="197" spans="2:20" ht="15.75" x14ac:dyDescent="0.25">
      <c r="B197" s="60"/>
      <c r="C197" s="244" t="s">
        <v>96</v>
      </c>
      <c r="D197" s="245"/>
      <c r="E197" s="245"/>
      <c r="F197" s="60"/>
      <c r="G197" s="60"/>
      <c r="J197" s="406"/>
      <c r="K197" s="406"/>
      <c r="L197" s="406"/>
      <c r="M197" s="406"/>
      <c r="N197" s="406"/>
      <c r="O197" s="406"/>
      <c r="P197" s="406"/>
      <c r="Q197" s="406"/>
      <c r="R197" s="406"/>
      <c r="S197" s="406"/>
      <c r="T197" s="74"/>
    </row>
    <row r="198" spans="2:20" ht="15.75" x14ac:dyDescent="0.25">
      <c r="B198" s="60"/>
      <c r="C198" s="244" t="s">
        <v>97</v>
      </c>
      <c r="D198" s="245"/>
      <c r="E198" s="245"/>
      <c r="F198" s="60"/>
      <c r="G198" s="60"/>
      <c r="J198" s="406"/>
      <c r="K198" s="406"/>
      <c r="L198" s="406"/>
      <c r="M198" s="406"/>
      <c r="N198" s="406"/>
      <c r="O198" s="406"/>
      <c r="P198" s="406"/>
      <c r="Q198" s="406"/>
      <c r="R198" s="406"/>
      <c r="S198" s="406"/>
      <c r="T198" s="74"/>
    </row>
    <row r="199" spans="2:20" ht="15.75" x14ac:dyDescent="0.25">
      <c r="B199" s="60"/>
      <c r="C199" s="244" t="s">
        <v>98</v>
      </c>
      <c r="D199" s="245" t="s">
        <v>15</v>
      </c>
      <c r="E199" s="245">
        <v>2</v>
      </c>
      <c r="F199" s="66">
        <f>R199+R199*0.15</f>
        <v>36.943750000000001</v>
      </c>
      <c r="G199" s="67">
        <f>F199*E199</f>
        <v>73.887500000000003</v>
      </c>
      <c r="J199" s="406">
        <v>20</v>
      </c>
      <c r="K199" s="406">
        <f>J199*$E199</f>
        <v>40</v>
      </c>
      <c r="L199" s="406">
        <v>3</v>
      </c>
      <c r="M199" s="406">
        <f>L199*$E199</f>
        <v>6</v>
      </c>
      <c r="N199" s="406">
        <f>' LABOUR BUILD-UP RATES'!F198</f>
        <v>9.125</v>
      </c>
      <c r="O199" s="406">
        <f>N199*$E199</f>
        <v>18.25</v>
      </c>
      <c r="P199" s="406">
        <v>0</v>
      </c>
      <c r="Q199" s="406">
        <v>0</v>
      </c>
      <c r="R199" s="406">
        <f t="shared" ref="R199" si="71">J199+L199+N199+P199</f>
        <v>32.125</v>
      </c>
      <c r="S199" s="406">
        <f t="shared" ref="S199" si="72">R199*$E199</f>
        <v>64.25</v>
      </c>
      <c r="T199" s="405">
        <v>0.15</v>
      </c>
    </row>
    <row r="200" spans="2:20" ht="15.75" x14ac:dyDescent="0.25">
      <c r="B200" s="60"/>
      <c r="C200" s="244"/>
      <c r="D200" s="245"/>
      <c r="E200" s="245"/>
      <c r="F200" s="60"/>
      <c r="G200" s="60"/>
      <c r="J200" s="406"/>
      <c r="K200" s="406"/>
      <c r="L200" s="406"/>
      <c r="M200" s="406"/>
      <c r="N200" s="406"/>
      <c r="O200" s="406"/>
      <c r="P200" s="406"/>
      <c r="Q200" s="406"/>
      <c r="R200" s="406"/>
      <c r="S200" s="406"/>
      <c r="T200" s="74"/>
    </row>
    <row r="201" spans="2:20" ht="15.75" x14ac:dyDescent="0.25">
      <c r="B201" s="60"/>
      <c r="C201" s="244" t="s">
        <v>99</v>
      </c>
      <c r="D201" s="245"/>
      <c r="E201" s="245"/>
      <c r="F201" s="60"/>
      <c r="G201" s="60"/>
      <c r="J201" s="406"/>
      <c r="K201" s="406"/>
      <c r="L201" s="406"/>
      <c r="M201" s="406"/>
      <c r="N201" s="406"/>
      <c r="O201" s="406"/>
      <c r="P201" s="406"/>
      <c r="Q201" s="406"/>
      <c r="R201" s="406"/>
      <c r="S201" s="406"/>
      <c r="T201" s="74"/>
    </row>
    <row r="202" spans="2:20" ht="15.75" x14ac:dyDescent="0.25">
      <c r="B202" s="60"/>
      <c r="C202" s="244" t="s">
        <v>97</v>
      </c>
      <c r="D202" s="245"/>
      <c r="E202" s="245"/>
      <c r="F202" s="60"/>
      <c r="G202" s="60"/>
      <c r="J202" s="406"/>
      <c r="K202" s="406"/>
      <c r="L202" s="406"/>
      <c r="M202" s="406"/>
      <c r="N202" s="406"/>
      <c r="O202" s="406"/>
      <c r="P202" s="406"/>
      <c r="Q202" s="406"/>
      <c r="R202" s="406"/>
      <c r="S202" s="406"/>
      <c r="T202" s="74"/>
    </row>
    <row r="203" spans="2:20" ht="15.75" x14ac:dyDescent="0.25">
      <c r="B203" s="60"/>
      <c r="C203" s="244" t="s">
        <v>98</v>
      </c>
      <c r="D203" s="245" t="s">
        <v>15</v>
      </c>
      <c r="E203" s="245">
        <v>5</v>
      </c>
      <c r="F203" s="66">
        <f>R203+R203*0.15</f>
        <v>31.193750000000001</v>
      </c>
      <c r="G203" s="67">
        <f>F203*E203</f>
        <v>155.96875</v>
      </c>
      <c r="J203" s="406">
        <v>15</v>
      </c>
      <c r="K203" s="406">
        <f>J203*$E203</f>
        <v>75</v>
      </c>
      <c r="L203" s="406">
        <v>3</v>
      </c>
      <c r="M203" s="406">
        <f>L203*$E203</f>
        <v>15</v>
      </c>
      <c r="N203" s="406">
        <f>' LABOUR BUILD-UP RATES'!F198</f>
        <v>9.125</v>
      </c>
      <c r="O203" s="406">
        <f>N203*$E203</f>
        <v>45.625</v>
      </c>
      <c r="P203" s="406">
        <v>0</v>
      </c>
      <c r="Q203" s="406">
        <v>0</v>
      </c>
      <c r="R203" s="406">
        <f t="shared" ref="R203" si="73">J203+L203+N203+P203</f>
        <v>27.125</v>
      </c>
      <c r="S203" s="406">
        <f t="shared" ref="S203" si="74">R203*$E203</f>
        <v>135.625</v>
      </c>
      <c r="T203" s="405">
        <v>0.15</v>
      </c>
    </row>
    <row r="204" spans="2:20" ht="15.75" x14ac:dyDescent="0.25">
      <c r="B204" s="60"/>
      <c r="C204" s="244"/>
      <c r="D204" s="245"/>
      <c r="E204" s="245"/>
      <c r="F204" s="60"/>
      <c r="G204" s="60"/>
      <c r="J204" s="406"/>
      <c r="K204" s="406"/>
      <c r="L204" s="406"/>
      <c r="M204" s="406"/>
      <c r="N204" s="406"/>
      <c r="O204" s="406"/>
      <c r="P204" s="406"/>
      <c r="Q204" s="406"/>
      <c r="R204" s="406"/>
      <c r="S204" s="406"/>
      <c r="T204" s="74"/>
    </row>
    <row r="205" spans="2:20" ht="15.75" x14ac:dyDescent="0.25">
      <c r="B205" s="60"/>
      <c r="C205" s="244" t="s">
        <v>100</v>
      </c>
      <c r="D205" s="245"/>
      <c r="E205" s="245"/>
      <c r="F205" s="60"/>
      <c r="G205" s="60"/>
      <c r="J205" s="406"/>
      <c r="K205" s="406"/>
      <c r="L205" s="406"/>
      <c r="M205" s="406"/>
      <c r="N205" s="406"/>
      <c r="O205" s="406"/>
      <c r="P205" s="406"/>
      <c r="Q205" s="406"/>
      <c r="R205" s="406"/>
      <c r="S205" s="406"/>
      <c r="T205" s="74"/>
    </row>
    <row r="206" spans="2:20" ht="15.75" x14ac:dyDescent="0.25">
      <c r="B206" s="60"/>
      <c r="C206" s="244" t="s">
        <v>101</v>
      </c>
      <c r="D206" s="245" t="s">
        <v>15</v>
      </c>
      <c r="E206" s="245">
        <v>7</v>
      </c>
      <c r="F206" s="66">
        <f>R206+R206*0.15</f>
        <v>18.543749999999999</v>
      </c>
      <c r="G206" s="67">
        <f>F206*E206</f>
        <v>129.80625000000001</v>
      </c>
      <c r="J206" s="406">
        <v>4</v>
      </c>
      <c r="K206" s="406">
        <f>J206*$E206</f>
        <v>28</v>
      </c>
      <c r="L206" s="406">
        <v>3</v>
      </c>
      <c r="M206" s="406">
        <f>L206*$E206</f>
        <v>21</v>
      </c>
      <c r="N206" s="406">
        <f>' LABOUR BUILD-UP RATES'!F198</f>
        <v>9.125</v>
      </c>
      <c r="O206" s="406">
        <f>N206*$E206</f>
        <v>63.875</v>
      </c>
      <c r="P206" s="406">
        <v>0</v>
      </c>
      <c r="Q206" s="406">
        <v>0</v>
      </c>
      <c r="R206" s="406">
        <f t="shared" ref="R206" si="75">J206+L206+N206+P206</f>
        <v>16.125</v>
      </c>
      <c r="S206" s="406">
        <f t="shared" ref="S206" si="76">R206*$E206</f>
        <v>112.875</v>
      </c>
      <c r="T206" s="405">
        <v>0.15</v>
      </c>
    </row>
    <row r="207" spans="2:20" ht="15.75" x14ac:dyDescent="0.25">
      <c r="B207" s="60"/>
      <c r="C207" s="244"/>
      <c r="D207" s="245"/>
      <c r="E207" s="245"/>
      <c r="F207" s="60"/>
      <c r="G207" s="60"/>
      <c r="J207" s="406"/>
      <c r="K207" s="406"/>
      <c r="L207" s="406"/>
      <c r="M207" s="406"/>
      <c r="N207" s="406"/>
      <c r="O207" s="406"/>
      <c r="P207" s="406"/>
      <c r="Q207" s="406"/>
      <c r="R207" s="406"/>
      <c r="S207" s="406"/>
      <c r="T207" s="74"/>
    </row>
    <row r="208" spans="2:20" ht="15.75" x14ac:dyDescent="0.25">
      <c r="B208" s="60"/>
      <c r="C208" s="244" t="s">
        <v>102</v>
      </c>
      <c r="D208" s="245"/>
      <c r="E208" s="245"/>
      <c r="F208" s="60"/>
      <c r="G208" s="60"/>
      <c r="J208" s="406"/>
      <c r="K208" s="406"/>
      <c r="L208" s="406"/>
      <c r="M208" s="406"/>
      <c r="N208" s="406"/>
      <c r="O208" s="406"/>
      <c r="P208" s="406"/>
      <c r="Q208" s="406"/>
      <c r="R208" s="406"/>
      <c r="S208" s="406"/>
      <c r="T208" s="74"/>
    </row>
    <row r="209" spans="2:20" ht="15.75" x14ac:dyDescent="0.25">
      <c r="B209" s="60"/>
      <c r="C209" s="244" t="s">
        <v>103</v>
      </c>
      <c r="D209" s="245" t="s">
        <v>15</v>
      </c>
      <c r="E209" s="245">
        <v>7</v>
      </c>
      <c r="F209" s="66">
        <f>R209+R209*0.15</f>
        <v>18.543749999999999</v>
      </c>
      <c r="G209" s="67">
        <f>F209*E209</f>
        <v>129.80625000000001</v>
      </c>
      <c r="J209" s="406">
        <v>4</v>
      </c>
      <c r="K209" s="406">
        <f>J209*$E209</f>
        <v>28</v>
      </c>
      <c r="L209" s="406">
        <v>3</v>
      </c>
      <c r="M209" s="406">
        <f>L209*$E209</f>
        <v>21</v>
      </c>
      <c r="N209" s="406">
        <f>' LABOUR BUILD-UP RATES'!F198</f>
        <v>9.125</v>
      </c>
      <c r="O209" s="406">
        <f>N209*$E209</f>
        <v>63.875</v>
      </c>
      <c r="P209" s="406">
        <v>0</v>
      </c>
      <c r="Q209" s="406">
        <v>0</v>
      </c>
      <c r="R209" s="406">
        <f t="shared" ref="R209" si="77">J209+L209+N209+P209</f>
        <v>16.125</v>
      </c>
      <c r="S209" s="406">
        <f t="shared" ref="S209" si="78">R209*$E209</f>
        <v>112.875</v>
      </c>
      <c r="T209" s="405">
        <v>0.15</v>
      </c>
    </row>
    <row r="210" spans="2:20" ht="15.75" x14ac:dyDescent="0.25">
      <c r="B210" s="60"/>
      <c r="C210" s="244"/>
      <c r="D210" s="245"/>
      <c r="E210" s="245"/>
      <c r="F210" s="60"/>
      <c r="G210" s="60"/>
      <c r="J210" s="406"/>
      <c r="K210" s="406"/>
      <c r="L210" s="406"/>
      <c r="M210" s="406"/>
      <c r="N210" s="406"/>
      <c r="O210" s="406"/>
      <c r="P210" s="406"/>
      <c r="Q210" s="406"/>
      <c r="R210" s="406"/>
      <c r="S210" s="406"/>
      <c r="T210" s="74"/>
    </row>
    <row r="211" spans="2:20" ht="15.75" x14ac:dyDescent="0.25">
      <c r="B211" s="60"/>
      <c r="C211" s="244" t="s">
        <v>104</v>
      </c>
      <c r="D211" s="245"/>
      <c r="E211" s="245"/>
      <c r="F211" s="60"/>
      <c r="G211" s="60"/>
      <c r="J211" s="406"/>
      <c r="K211" s="406"/>
      <c r="L211" s="406"/>
      <c r="M211" s="406"/>
      <c r="N211" s="406"/>
      <c r="O211" s="406"/>
      <c r="P211" s="406"/>
      <c r="Q211" s="406"/>
      <c r="R211" s="406"/>
      <c r="S211" s="406"/>
      <c r="T211" s="74"/>
    </row>
    <row r="212" spans="2:20" ht="15.75" x14ac:dyDescent="0.25">
      <c r="B212" s="60"/>
      <c r="C212" s="244" t="s">
        <v>105</v>
      </c>
      <c r="D212" s="245"/>
      <c r="E212" s="245"/>
      <c r="F212" s="60"/>
      <c r="G212" s="60"/>
      <c r="J212" s="406"/>
      <c r="K212" s="406"/>
      <c r="L212" s="406"/>
      <c r="M212" s="406"/>
      <c r="N212" s="406"/>
      <c r="O212" s="406"/>
      <c r="P212" s="406"/>
      <c r="Q212" s="406"/>
      <c r="R212" s="406"/>
      <c r="S212" s="406"/>
      <c r="T212" s="74"/>
    </row>
    <row r="213" spans="2:20" ht="15.75" x14ac:dyDescent="0.25">
      <c r="B213" s="60"/>
      <c r="C213" s="244" t="s">
        <v>98</v>
      </c>
      <c r="D213" s="245" t="s">
        <v>15</v>
      </c>
      <c r="E213" s="245">
        <v>7</v>
      </c>
      <c r="F213" s="66">
        <f>R213+R213*0.15</f>
        <v>23.143750000000001</v>
      </c>
      <c r="G213" s="67">
        <f>F213*E213</f>
        <v>162.00624999999999</v>
      </c>
      <c r="J213" s="406">
        <v>8</v>
      </c>
      <c r="K213" s="406">
        <f>J213*$E213</f>
        <v>56</v>
      </c>
      <c r="L213" s="406">
        <v>3</v>
      </c>
      <c r="M213" s="406">
        <f>L213*$E213</f>
        <v>21</v>
      </c>
      <c r="N213" s="406">
        <f>' LABOUR BUILD-UP RATES'!F198</f>
        <v>9.125</v>
      </c>
      <c r="O213" s="406">
        <f>N213*$E213</f>
        <v>63.875</v>
      </c>
      <c r="P213" s="406">
        <v>0</v>
      </c>
      <c r="Q213" s="406">
        <v>0</v>
      </c>
      <c r="R213" s="406">
        <f t="shared" ref="R213" si="79">J213+L213+N213+P213</f>
        <v>20.125</v>
      </c>
      <c r="S213" s="406">
        <f t="shared" ref="S213" si="80">R213*$E213</f>
        <v>140.875</v>
      </c>
      <c r="T213" s="405">
        <v>0.15</v>
      </c>
    </row>
    <row r="214" spans="2:20" ht="15.75" x14ac:dyDescent="0.25">
      <c r="B214" s="60"/>
      <c r="C214" s="244"/>
      <c r="D214" s="245"/>
      <c r="E214" s="245"/>
      <c r="F214" s="60"/>
      <c r="G214" s="60"/>
      <c r="J214" s="406"/>
      <c r="K214" s="406"/>
      <c r="L214" s="406"/>
      <c r="M214" s="406"/>
      <c r="N214" s="406"/>
      <c r="O214" s="406"/>
      <c r="P214" s="406"/>
      <c r="Q214" s="406"/>
      <c r="R214" s="406"/>
      <c r="S214" s="406"/>
      <c r="T214" s="74"/>
    </row>
    <row r="215" spans="2:20" ht="15.75" x14ac:dyDescent="0.25">
      <c r="B215" s="60"/>
      <c r="C215" s="244" t="s">
        <v>351</v>
      </c>
      <c r="D215" s="245"/>
      <c r="E215" s="245"/>
      <c r="F215" s="60"/>
      <c r="G215" s="60"/>
      <c r="J215" s="406"/>
      <c r="K215" s="406"/>
      <c r="L215" s="406"/>
      <c r="M215" s="406"/>
      <c r="N215" s="406"/>
      <c r="O215" s="406"/>
      <c r="P215" s="406"/>
      <c r="Q215" s="406"/>
      <c r="R215" s="406"/>
      <c r="S215" s="406"/>
      <c r="T215" s="74"/>
    </row>
    <row r="216" spans="2:20" ht="15.75" x14ac:dyDescent="0.25">
      <c r="B216" s="60"/>
      <c r="C216" s="244" t="s">
        <v>106</v>
      </c>
      <c r="D216" s="245" t="s">
        <v>15</v>
      </c>
      <c r="E216" s="245">
        <v>1</v>
      </c>
      <c r="F216" s="66">
        <f>R216+R216*0.15</f>
        <v>312.94375000000002</v>
      </c>
      <c r="G216" s="67">
        <f>F216*E216</f>
        <v>312.94375000000002</v>
      </c>
      <c r="J216" s="406">
        <v>260</v>
      </c>
      <c r="K216" s="406">
        <f>J216*$E216</f>
        <v>260</v>
      </c>
      <c r="L216" s="406">
        <v>3</v>
      </c>
      <c r="M216" s="406">
        <f>L216*$E216</f>
        <v>3</v>
      </c>
      <c r="N216" s="406">
        <f>' LABOUR BUILD-UP RATES'!F198</f>
        <v>9.125</v>
      </c>
      <c r="O216" s="406">
        <f>N216*$E216</f>
        <v>9.125</v>
      </c>
      <c r="P216" s="406">
        <v>0</v>
      </c>
      <c r="Q216" s="406">
        <v>0</v>
      </c>
      <c r="R216" s="406">
        <f t="shared" ref="R216" si="81">J216+L216+N216+P216</f>
        <v>272.125</v>
      </c>
      <c r="S216" s="406">
        <f t="shared" ref="S216" si="82">R216*$E216</f>
        <v>272.125</v>
      </c>
      <c r="T216" s="405">
        <v>0.15</v>
      </c>
    </row>
    <row r="217" spans="2:20" ht="15.75" x14ac:dyDescent="0.25">
      <c r="B217" s="60"/>
      <c r="C217" s="244"/>
      <c r="D217" s="245"/>
      <c r="E217" s="245"/>
      <c r="F217" s="60"/>
      <c r="G217" s="60"/>
      <c r="J217" s="406"/>
      <c r="K217" s="406"/>
      <c r="L217" s="406"/>
      <c r="M217" s="406"/>
      <c r="N217" s="406"/>
      <c r="O217" s="406"/>
      <c r="P217" s="406"/>
      <c r="Q217" s="406"/>
      <c r="R217" s="406"/>
      <c r="S217" s="406"/>
      <c r="T217" s="74"/>
    </row>
    <row r="218" spans="2:20" ht="15.75" x14ac:dyDescent="0.25">
      <c r="B218" s="60"/>
      <c r="C218" s="244" t="s">
        <v>107</v>
      </c>
      <c r="D218" s="245"/>
      <c r="E218" s="245"/>
      <c r="F218" s="60"/>
      <c r="G218" s="60"/>
      <c r="J218" s="406"/>
      <c r="K218" s="406"/>
      <c r="L218" s="406"/>
      <c r="M218" s="406"/>
      <c r="N218" s="406"/>
      <c r="O218" s="406"/>
      <c r="P218" s="406"/>
      <c r="Q218" s="406"/>
      <c r="R218" s="406"/>
      <c r="S218" s="406"/>
      <c r="T218" s="74"/>
    </row>
    <row r="219" spans="2:20" ht="15.75" x14ac:dyDescent="0.25">
      <c r="B219" s="60"/>
      <c r="C219" s="244" t="s">
        <v>108</v>
      </c>
      <c r="D219" s="245" t="s">
        <v>20</v>
      </c>
      <c r="E219" s="245">
        <v>13</v>
      </c>
      <c r="F219" s="66">
        <f>R219+R219*0.15</f>
        <v>27.743749999999999</v>
      </c>
      <c r="G219" s="67">
        <f>F219*E219</f>
        <v>360.66874999999999</v>
      </c>
      <c r="J219" s="406">
        <v>12</v>
      </c>
      <c r="K219" s="406">
        <f>J219*$E219</f>
        <v>156</v>
      </c>
      <c r="L219" s="406">
        <v>3</v>
      </c>
      <c r="M219" s="406">
        <f>L219*$E219</f>
        <v>39</v>
      </c>
      <c r="N219" s="406">
        <f>' LABOUR BUILD-UP RATES'!F198</f>
        <v>9.125</v>
      </c>
      <c r="O219" s="406">
        <f>N219*$E219</f>
        <v>118.625</v>
      </c>
      <c r="P219" s="406">
        <v>0</v>
      </c>
      <c r="Q219" s="406">
        <v>0</v>
      </c>
      <c r="R219" s="406">
        <f t="shared" ref="R219" si="83">J219+L219+N219+P219</f>
        <v>24.125</v>
      </c>
      <c r="S219" s="406">
        <f t="shared" ref="S219" si="84">R219*$E219</f>
        <v>313.625</v>
      </c>
      <c r="T219" s="405">
        <v>0.15</v>
      </c>
    </row>
    <row r="220" spans="2:20" ht="15.75" x14ac:dyDescent="0.25">
      <c r="B220" s="60"/>
      <c r="C220" s="244"/>
      <c r="D220" s="245"/>
      <c r="E220" s="245"/>
      <c r="F220" s="60"/>
      <c r="G220" s="60"/>
      <c r="J220" s="406"/>
      <c r="K220" s="406"/>
      <c r="L220" s="406"/>
      <c r="M220" s="406"/>
      <c r="N220" s="406"/>
      <c r="O220" s="406"/>
      <c r="P220" s="406"/>
      <c r="Q220" s="406"/>
      <c r="R220" s="406"/>
      <c r="S220" s="406"/>
      <c r="T220" s="74"/>
    </row>
    <row r="221" spans="2:20" ht="15.75" x14ac:dyDescent="0.25">
      <c r="B221" s="60"/>
      <c r="C221" s="244" t="s">
        <v>109</v>
      </c>
      <c r="D221" s="245"/>
      <c r="E221" s="245"/>
      <c r="F221" s="60"/>
      <c r="G221" s="60"/>
      <c r="J221" s="406"/>
      <c r="K221" s="406"/>
      <c r="L221" s="406"/>
      <c r="M221" s="406"/>
      <c r="N221" s="406"/>
      <c r="O221" s="406"/>
      <c r="P221" s="406"/>
      <c r="Q221" s="406"/>
      <c r="R221" s="406"/>
      <c r="S221" s="406"/>
      <c r="T221" s="74"/>
    </row>
    <row r="222" spans="2:20" ht="15.75" x14ac:dyDescent="0.25">
      <c r="B222" s="60"/>
      <c r="C222" s="244" t="s">
        <v>110</v>
      </c>
      <c r="D222" s="245" t="s">
        <v>111</v>
      </c>
      <c r="E222" s="245">
        <v>2</v>
      </c>
      <c r="F222" s="66">
        <f>R222+R222*0.15</f>
        <v>82.943749999999994</v>
      </c>
      <c r="G222" s="67">
        <f>F222*E222</f>
        <v>165.88749999999999</v>
      </c>
      <c r="J222" s="406">
        <v>60</v>
      </c>
      <c r="K222" s="406">
        <f>J222*$E222</f>
        <v>120</v>
      </c>
      <c r="L222" s="406">
        <v>3</v>
      </c>
      <c r="M222" s="406">
        <f>L222*$E222</f>
        <v>6</v>
      </c>
      <c r="N222" s="406">
        <f>' LABOUR BUILD-UP RATES'!F198</f>
        <v>9.125</v>
      </c>
      <c r="O222" s="406">
        <f>N222*$E222</f>
        <v>18.25</v>
      </c>
      <c r="P222" s="406">
        <v>0</v>
      </c>
      <c r="Q222" s="406">
        <v>0</v>
      </c>
      <c r="R222" s="406">
        <f t="shared" ref="R222" si="85">J222+L222+N222+P222</f>
        <v>72.125</v>
      </c>
      <c r="S222" s="406">
        <f t="shared" ref="S222" si="86">R222*$E222</f>
        <v>144.25</v>
      </c>
      <c r="T222" s="405">
        <v>0.15</v>
      </c>
    </row>
    <row r="223" spans="2:20" ht="15.75" x14ac:dyDescent="0.25">
      <c r="B223" s="60"/>
      <c r="C223" s="244"/>
      <c r="D223" s="245"/>
      <c r="E223" s="245"/>
      <c r="F223" s="60"/>
      <c r="G223" s="60"/>
      <c r="J223" s="406"/>
      <c r="K223" s="406"/>
      <c r="L223" s="406"/>
      <c r="M223" s="406"/>
      <c r="N223" s="406"/>
      <c r="O223" s="406"/>
      <c r="P223" s="406"/>
      <c r="Q223" s="406"/>
      <c r="R223" s="406"/>
      <c r="S223" s="406"/>
      <c r="T223" s="74"/>
    </row>
    <row r="224" spans="2:20" ht="15.75" x14ac:dyDescent="0.25">
      <c r="B224" s="60"/>
      <c r="C224" s="244" t="s">
        <v>109</v>
      </c>
      <c r="D224" s="245"/>
      <c r="E224" s="245"/>
      <c r="F224" s="60"/>
      <c r="G224" s="60"/>
      <c r="J224" s="406"/>
      <c r="K224" s="406"/>
      <c r="L224" s="406"/>
      <c r="M224" s="406"/>
      <c r="N224" s="406"/>
      <c r="O224" s="406"/>
      <c r="P224" s="406"/>
      <c r="Q224" s="406"/>
      <c r="R224" s="406"/>
      <c r="S224" s="406"/>
      <c r="T224" s="74"/>
    </row>
    <row r="225" spans="2:20" ht="15.75" x14ac:dyDescent="0.25">
      <c r="B225" s="60"/>
      <c r="C225" s="244" t="s">
        <v>112</v>
      </c>
      <c r="D225" s="245" t="s">
        <v>111</v>
      </c>
      <c r="E225" s="245">
        <v>1</v>
      </c>
      <c r="F225" s="66">
        <f>R225+R225*0.15</f>
        <v>71.443749999999994</v>
      </c>
      <c r="G225" s="67">
        <f>F225*E225</f>
        <v>71.443749999999994</v>
      </c>
      <c r="J225" s="406">
        <v>50</v>
      </c>
      <c r="K225" s="406">
        <f>J225*$E225</f>
        <v>50</v>
      </c>
      <c r="L225" s="406">
        <v>3</v>
      </c>
      <c r="M225" s="406">
        <f>L225*$E225</f>
        <v>3</v>
      </c>
      <c r="N225" s="406">
        <f>' LABOUR BUILD-UP RATES'!F198</f>
        <v>9.125</v>
      </c>
      <c r="O225" s="406">
        <f>N225*$E225</f>
        <v>9.125</v>
      </c>
      <c r="P225" s="406">
        <v>0</v>
      </c>
      <c r="Q225" s="406">
        <v>0</v>
      </c>
      <c r="R225" s="406">
        <f t="shared" ref="R225" si="87">J225+L225+N225+P225</f>
        <v>62.125</v>
      </c>
      <c r="S225" s="406">
        <f t="shared" ref="S225" si="88">R225*$E225</f>
        <v>62.125</v>
      </c>
      <c r="T225" s="405">
        <v>0.15</v>
      </c>
    </row>
    <row r="226" spans="2:20" ht="15.75" x14ac:dyDescent="0.25">
      <c r="B226" s="60"/>
      <c r="C226" s="244"/>
      <c r="D226" s="245"/>
      <c r="E226" s="245"/>
      <c r="F226" s="60"/>
      <c r="G226" s="60"/>
      <c r="J226" s="406"/>
      <c r="K226" s="406"/>
      <c r="L226" s="406"/>
      <c r="M226" s="406"/>
      <c r="N226" s="406"/>
      <c r="O226" s="406"/>
      <c r="P226" s="406"/>
      <c r="Q226" s="406"/>
      <c r="R226" s="406"/>
      <c r="S226" s="406"/>
      <c r="T226" s="74"/>
    </row>
    <row r="227" spans="2:20" ht="15.75" x14ac:dyDescent="0.25">
      <c r="B227" s="60"/>
      <c r="C227" s="244" t="s">
        <v>109</v>
      </c>
      <c r="D227" s="245"/>
      <c r="E227" s="245"/>
      <c r="F227" s="60"/>
      <c r="G227" s="60"/>
      <c r="J227" s="406"/>
      <c r="K227" s="406"/>
      <c r="L227" s="406"/>
      <c r="M227" s="406"/>
      <c r="N227" s="406"/>
      <c r="O227" s="406"/>
      <c r="P227" s="406"/>
      <c r="Q227" s="406"/>
      <c r="R227" s="406"/>
      <c r="S227" s="406"/>
      <c r="T227" s="74"/>
    </row>
    <row r="228" spans="2:20" ht="15.75" x14ac:dyDescent="0.25">
      <c r="B228" s="60"/>
      <c r="C228" s="244" t="s">
        <v>113</v>
      </c>
      <c r="D228" s="245" t="s">
        <v>111</v>
      </c>
      <c r="E228" s="245">
        <v>5</v>
      </c>
      <c r="F228" s="66">
        <f>R228+R228*0.15</f>
        <v>59.943750000000001</v>
      </c>
      <c r="G228" s="67">
        <f>F228*E228</f>
        <v>299.71875</v>
      </c>
      <c r="J228" s="406">
        <v>40</v>
      </c>
      <c r="K228" s="406">
        <f>J228*$E228</f>
        <v>200</v>
      </c>
      <c r="L228" s="406">
        <v>3</v>
      </c>
      <c r="M228" s="406">
        <f>L228*$E228</f>
        <v>15</v>
      </c>
      <c r="N228" s="406">
        <f>' LABOUR BUILD-UP RATES'!F198</f>
        <v>9.125</v>
      </c>
      <c r="O228" s="406">
        <f>N228*$E228</f>
        <v>45.625</v>
      </c>
      <c r="P228" s="406">
        <v>0</v>
      </c>
      <c r="Q228" s="406">
        <v>0</v>
      </c>
      <c r="R228" s="406">
        <f t="shared" ref="R228" si="89">J228+L228+N228+P228</f>
        <v>52.125</v>
      </c>
      <c r="S228" s="406">
        <f t="shared" ref="S228" si="90">R228*$E228</f>
        <v>260.625</v>
      </c>
      <c r="T228" s="405">
        <v>0.15</v>
      </c>
    </row>
    <row r="229" spans="2:20" ht="15.75" x14ac:dyDescent="0.25">
      <c r="B229" s="60"/>
      <c r="C229" s="244"/>
      <c r="D229" s="245"/>
      <c r="E229" s="245"/>
      <c r="F229" s="60"/>
      <c r="G229" s="60"/>
      <c r="J229" s="406"/>
      <c r="K229" s="406"/>
      <c r="L229" s="406"/>
      <c r="M229" s="406"/>
      <c r="N229" s="406"/>
      <c r="O229" s="406"/>
      <c r="P229" s="406"/>
      <c r="Q229" s="406"/>
      <c r="R229" s="406"/>
      <c r="S229" s="406"/>
      <c r="T229" s="74"/>
    </row>
    <row r="230" spans="2:20" ht="15.75" x14ac:dyDescent="0.25">
      <c r="B230" s="60"/>
      <c r="C230" s="244" t="s">
        <v>109</v>
      </c>
      <c r="D230" s="245"/>
      <c r="E230" s="245"/>
      <c r="F230" s="60"/>
      <c r="G230" s="60"/>
      <c r="J230" s="406"/>
      <c r="K230" s="406"/>
      <c r="L230" s="406"/>
      <c r="M230" s="406"/>
      <c r="N230" s="406"/>
      <c r="O230" s="406"/>
      <c r="P230" s="406"/>
      <c r="Q230" s="406"/>
      <c r="R230" s="406"/>
      <c r="S230" s="406"/>
      <c r="T230" s="74"/>
    </row>
    <row r="231" spans="2:20" ht="15.75" x14ac:dyDescent="0.25">
      <c r="B231" s="60"/>
      <c r="C231" s="244" t="s">
        <v>114</v>
      </c>
      <c r="D231" s="245" t="s">
        <v>111</v>
      </c>
      <c r="E231" s="245">
        <v>2</v>
      </c>
      <c r="F231" s="66">
        <f>R231+R231*0.15</f>
        <v>59.943750000000001</v>
      </c>
      <c r="G231" s="67">
        <f>F231*E231</f>
        <v>119.8875</v>
      </c>
      <c r="J231" s="406">
        <v>40</v>
      </c>
      <c r="K231" s="406">
        <f>J231*$E231</f>
        <v>80</v>
      </c>
      <c r="L231" s="406">
        <v>3</v>
      </c>
      <c r="M231" s="406">
        <f>L231*$E231</f>
        <v>6</v>
      </c>
      <c r="N231" s="406">
        <f>' LABOUR BUILD-UP RATES'!F198</f>
        <v>9.125</v>
      </c>
      <c r="O231" s="406">
        <f>N231*$E231</f>
        <v>18.25</v>
      </c>
      <c r="P231" s="406">
        <v>0</v>
      </c>
      <c r="Q231" s="406">
        <v>0</v>
      </c>
      <c r="R231" s="406">
        <f t="shared" ref="R231" si="91">J231+L231+N231+P231</f>
        <v>52.125</v>
      </c>
      <c r="S231" s="406">
        <f t="shared" ref="S231" si="92">R231*$E231</f>
        <v>104.25</v>
      </c>
      <c r="T231" s="405">
        <v>0.15</v>
      </c>
    </row>
    <row r="232" spans="2:20" ht="15.75" x14ac:dyDescent="0.25">
      <c r="B232" s="60"/>
      <c r="C232" s="244"/>
      <c r="D232" s="245"/>
      <c r="E232" s="245"/>
      <c r="F232" s="60"/>
      <c r="G232" s="60"/>
      <c r="J232" s="406"/>
      <c r="K232" s="406"/>
      <c r="L232" s="406"/>
      <c r="M232" s="406"/>
      <c r="N232" s="406"/>
      <c r="O232" s="406"/>
      <c r="P232" s="406"/>
      <c r="Q232" s="406"/>
      <c r="R232" s="406"/>
      <c r="S232" s="406"/>
      <c r="T232" s="74"/>
    </row>
    <row r="233" spans="2:20" ht="15.75" x14ac:dyDescent="0.25">
      <c r="B233" s="60"/>
      <c r="C233" s="244" t="s">
        <v>120</v>
      </c>
      <c r="D233" s="245" t="s">
        <v>15</v>
      </c>
      <c r="E233" s="245">
        <v>10</v>
      </c>
      <c r="F233" s="66">
        <f>R233+R233*0.15</f>
        <v>31.193750000000001</v>
      </c>
      <c r="G233" s="67">
        <f>F233*E233</f>
        <v>311.9375</v>
      </c>
      <c r="J233" s="406">
        <v>15</v>
      </c>
      <c r="K233" s="406">
        <f>J233*$E233</f>
        <v>150</v>
      </c>
      <c r="L233" s="406">
        <v>3</v>
      </c>
      <c r="M233" s="406">
        <f>L233*$E233</f>
        <v>30</v>
      </c>
      <c r="N233" s="406">
        <f>' LABOUR BUILD-UP RATES'!F198</f>
        <v>9.125</v>
      </c>
      <c r="O233" s="406">
        <f>N233*$E233</f>
        <v>91.25</v>
      </c>
      <c r="P233" s="406">
        <v>0</v>
      </c>
      <c r="Q233" s="406">
        <v>0</v>
      </c>
      <c r="R233" s="406">
        <f t="shared" ref="R233" si="93">J233+L233+N233+P233</f>
        <v>27.125</v>
      </c>
      <c r="S233" s="406">
        <f t="shared" ref="S233" si="94">R233*$E233</f>
        <v>271.25</v>
      </c>
      <c r="T233" s="405">
        <v>0.15</v>
      </c>
    </row>
    <row r="234" spans="2:20" ht="15.75" x14ac:dyDescent="0.25">
      <c r="B234" s="60"/>
      <c r="C234" s="244"/>
      <c r="D234" s="245"/>
      <c r="E234" s="245"/>
      <c r="F234" s="60"/>
      <c r="G234" s="60"/>
      <c r="J234" s="406"/>
      <c r="K234" s="406"/>
      <c r="L234" s="406"/>
      <c r="M234" s="406"/>
      <c r="N234" s="406"/>
      <c r="O234" s="406"/>
      <c r="P234" s="406"/>
      <c r="Q234" s="406"/>
      <c r="R234" s="406"/>
      <c r="S234" s="406"/>
      <c r="T234" s="74"/>
    </row>
    <row r="235" spans="2:20" ht="15.75" x14ac:dyDescent="0.25">
      <c r="B235" s="60"/>
      <c r="C235" s="244" t="s">
        <v>135</v>
      </c>
      <c r="D235" s="245"/>
      <c r="E235" s="245"/>
      <c r="F235" s="60"/>
      <c r="G235" s="60"/>
      <c r="J235" s="406"/>
      <c r="K235" s="406"/>
      <c r="L235" s="406"/>
      <c r="M235" s="406"/>
      <c r="N235" s="406"/>
      <c r="O235" s="406"/>
      <c r="P235" s="406"/>
      <c r="Q235" s="406"/>
      <c r="R235" s="406"/>
      <c r="S235" s="406"/>
      <c r="T235" s="74"/>
    </row>
    <row r="236" spans="2:20" ht="15.75" x14ac:dyDescent="0.25">
      <c r="B236" s="60"/>
      <c r="C236" s="244" t="s">
        <v>136</v>
      </c>
      <c r="D236" s="245" t="s">
        <v>20</v>
      </c>
      <c r="E236" s="245">
        <v>93</v>
      </c>
      <c r="F236" s="66">
        <f>R236+R236*0.15</f>
        <v>15.668749999999999</v>
      </c>
      <c r="G236" s="67">
        <f>F236*E236</f>
        <v>1457.1937499999999</v>
      </c>
      <c r="J236" s="406">
        <v>1.5</v>
      </c>
      <c r="K236" s="406">
        <f>J236*$E236</f>
        <v>139.5</v>
      </c>
      <c r="L236" s="406">
        <v>3</v>
      </c>
      <c r="M236" s="406">
        <f>L236*$E236</f>
        <v>279</v>
      </c>
      <c r="N236" s="406">
        <f>' LABOUR BUILD-UP RATES'!F198</f>
        <v>9.125</v>
      </c>
      <c r="O236" s="406">
        <f>N236*$E236</f>
        <v>848.625</v>
      </c>
      <c r="P236" s="406">
        <v>0</v>
      </c>
      <c r="Q236" s="406">
        <v>0</v>
      </c>
      <c r="R236" s="406">
        <f t="shared" ref="R236" si="95">J236+L236+N236+P236</f>
        <v>13.625</v>
      </c>
      <c r="S236" s="406">
        <f t="shared" ref="S236" si="96">R236*$E236</f>
        <v>1267.125</v>
      </c>
      <c r="T236" s="405">
        <v>0.15</v>
      </c>
    </row>
    <row r="237" spans="2:20" ht="15.75" x14ac:dyDescent="0.25">
      <c r="B237" s="60"/>
      <c r="C237" s="244"/>
      <c r="D237" s="245"/>
      <c r="E237" s="245"/>
      <c r="F237" s="60"/>
      <c r="G237" s="60"/>
      <c r="J237" s="406"/>
      <c r="K237" s="406"/>
      <c r="L237" s="406"/>
      <c r="M237" s="406"/>
      <c r="N237" s="406"/>
      <c r="O237" s="406"/>
      <c r="P237" s="406"/>
      <c r="Q237" s="406"/>
      <c r="R237" s="406"/>
      <c r="S237" s="406"/>
      <c r="T237" s="74"/>
    </row>
    <row r="238" spans="2:20" ht="15.75" x14ac:dyDescent="0.25">
      <c r="B238" s="60"/>
      <c r="C238" s="244" t="s">
        <v>137</v>
      </c>
      <c r="D238" s="245" t="s">
        <v>20</v>
      </c>
      <c r="E238" s="245">
        <v>93</v>
      </c>
      <c r="F238" s="66">
        <f>R238+R238*0.15</f>
        <v>20.778830645161293</v>
      </c>
      <c r="G238" s="67">
        <f>F238*E238</f>
        <v>1932.4312500000001</v>
      </c>
      <c r="J238" s="406">
        <f>'MATERIAL BUILD-UP RATES'!F319</f>
        <v>5.943548387096774</v>
      </c>
      <c r="K238" s="406">
        <f>J238*$E238</f>
        <v>552.75</v>
      </c>
      <c r="L238" s="406">
        <v>3</v>
      </c>
      <c r="M238" s="406">
        <f>L238*$E238</f>
        <v>279</v>
      </c>
      <c r="N238" s="406">
        <f>' LABOUR BUILD-UP RATES'!F198</f>
        <v>9.125</v>
      </c>
      <c r="O238" s="406">
        <f>N238*$E238</f>
        <v>848.625</v>
      </c>
      <c r="P238" s="406">
        <v>0</v>
      </c>
      <c r="Q238" s="406">
        <v>0</v>
      </c>
      <c r="R238" s="406">
        <f t="shared" ref="R238" si="97">J238+L238+N238+P238</f>
        <v>18.068548387096776</v>
      </c>
      <c r="S238" s="406">
        <f t="shared" ref="S238" si="98">R238*$E238</f>
        <v>1680.3750000000002</v>
      </c>
      <c r="T238" s="405">
        <v>0.15</v>
      </c>
    </row>
    <row r="239" spans="2:20" x14ac:dyDescent="0.25">
      <c r="B239" s="60"/>
      <c r="C239" s="75"/>
      <c r="D239" s="69"/>
      <c r="E239" s="69"/>
      <c r="F239" s="60"/>
      <c r="G239" s="60"/>
      <c r="J239" s="406"/>
      <c r="K239" s="406"/>
      <c r="L239" s="406"/>
      <c r="M239" s="406"/>
      <c r="N239" s="406"/>
      <c r="O239" s="406"/>
      <c r="P239" s="406"/>
      <c r="Q239" s="406"/>
      <c r="R239" s="406"/>
      <c r="S239" s="406"/>
      <c r="T239" s="74"/>
    </row>
    <row r="240" spans="2:20" x14ac:dyDescent="0.25">
      <c r="B240" s="60"/>
      <c r="C240" s="354" t="s">
        <v>394</v>
      </c>
      <c r="D240" s="359"/>
      <c r="E240" s="359"/>
      <c r="F240" s="355"/>
      <c r="G240" s="356">
        <f>SUM(G177:G239)</f>
        <v>7126.5499999999993</v>
      </c>
      <c r="J240" s="406"/>
      <c r="K240" s="356">
        <f>SUM(K177:K239)</f>
        <v>3020.25</v>
      </c>
      <c r="L240" s="406"/>
      <c r="M240" s="356">
        <f>SUM(M177:M239)</f>
        <v>786</v>
      </c>
      <c r="N240" s="406"/>
      <c r="O240" s="356">
        <f>SUM(O177:O239)</f>
        <v>2390.75</v>
      </c>
      <c r="P240" s="406"/>
      <c r="Q240" s="356">
        <f>SUM(Q177:Q239)</f>
        <v>0</v>
      </c>
      <c r="R240" s="406"/>
      <c r="S240" s="356">
        <f>SUM(S177:S239)</f>
        <v>6197</v>
      </c>
      <c r="T240" s="74"/>
    </row>
    <row r="241" spans="2:20" x14ac:dyDescent="0.25">
      <c r="B241" s="60"/>
      <c r="C241" s="75"/>
      <c r="D241" s="69"/>
      <c r="E241" s="69"/>
      <c r="F241" s="60"/>
      <c r="G241" s="60"/>
      <c r="J241" s="406"/>
      <c r="K241" s="406"/>
      <c r="L241" s="406"/>
      <c r="M241" s="406"/>
      <c r="N241" s="406"/>
      <c r="O241" s="406"/>
      <c r="P241" s="406"/>
      <c r="Q241" s="406"/>
      <c r="R241" s="406"/>
      <c r="S241" s="406"/>
      <c r="T241" s="74"/>
    </row>
    <row r="242" spans="2:20" x14ac:dyDescent="0.25">
      <c r="B242" s="149" t="s">
        <v>355</v>
      </c>
      <c r="C242" s="150" t="s">
        <v>356</v>
      </c>
      <c r="D242" s="69"/>
      <c r="E242" s="69"/>
      <c r="F242" s="60"/>
      <c r="G242" s="60"/>
      <c r="J242" s="406"/>
      <c r="K242" s="406"/>
      <c r="L242" s="406"/>
      <c r="M242" s="406"/>
      <c r="N242" s="406"/>
      <c r="O242" s="406"/>
      <c r="P242" s="406"/>
      <c r="Q242" s="406"/>
      <c r="R242" s="406"/>
      <c r="S242" s="406"/>
      <c r="T242" s="74"/>
    </row>
    <row r="243" spans="2:20" x14ac:dyDescent="0.25">
      <c r="B243" s="60"/>
      <c r="C243" s="75"/>
      <c r="D243" s="69"/>
      <c r="E243" s="69"/>
      <c r="F243" s="60"/>
      <c r="G243" s="60"/>
      <c r="J243" s="406"/>
      <c r="K243" s="406"/>
      <c r="L243" s="406"/>
      <c r="M243" s="406"/>
      <c r="N243" s="406"/>
      <c r="O243" s="406"/>
      <c r="P243" s="406"/>
      <c r="Q243" s="406"/>
      <c r="R243" s="406"/>
      <c r="S243" s="406"/>
      <c r="T243" s="74"/>
    </row>
    <row r="244" spans="2:20" ht="15.75" x14ac:dyDescent="0.25">
      <c r="B244" s="60"/>
      <c r="C244" s="244" t="s">
        <v>115</v>
      </c>
      <c r="D244" s="245" t="s">
        <v>20</v>
      </c>
      <c r="E244" s="245">
        <v>19</v>
      </c>
      <c r="F244" s="66">
        <f>R244+R244*0.15</f>
        <v>89.958749999999995</v>
      </c>
      <c r="G244" s="67">
        <f>F244*E244</f>
        <v>1709.2162499999999</v>
      </c>
      <c r="J244" s="406">
        <v>66.099999999999994</v>
      </c>
      <c r="K244" s="406">
        <f>J244*$E244</f>
        <v>1255.8999999999999</v>
      </c>
      <c r="L244" s="406">
        <v>3</v>
      </c>
      <c r="M244" s="406">
        <f>L244*$E244</f>
        <v>57</v>
      </c>
      <c r="N244" s="406">
        <f>' LABOUR BUILD-UP RATES'!F198</f>
        <v>9.125</v>
      </c>
      <c r="O244" s="406">
        <f>N244*$E244</f>
        <v>173.375</v>
      </c>
      <c r="P244" s="406">
        <v>0</v>
      </c>
      <c r="Q244" s="406">
        <v>0</v>
      </c>
      <c r="R244" s="406">
        <f t="shared" ref="R244" si="99">J244+L244+N244+P244</f>
        <v>78.224999999999994</v>
      </c>
      <c r="S244" s="406">
        <f t="shared" ref="S244" si="100">R244*$E244</f>
        <v>1486.2749999999999</v>
      </c>
      <c r="T244" s="405">
        <v>0.15</v>
      </c>
    </row>
    <row r="245" spans="2:20" ht="15.75" x14ac:dyDescent="0.25">
      <c r="B245" s="60"/>
      <c r="C245" s="244"/>
      <c r="D245" s="245"/>
      <c r="E245" s="245"/>
      <c r="F245" s="60"/>
      <c r="G245" s="60"/>
      <c r="J245" s="406"/>
      <c r="K245" s="406"/>
      <c r="L245" s="406"/>
      <c r="M245" s="406"/>
      <c r="N245" s="406"/>
      <c r="O245" s="406"/>
      <c r="P245" s="406"/>
      <c r="Q245" s="406"/>
      <c r="R245" s="406"/>
      <c r="S245" s="406"/>
      <c r="T245" s="74"/>
    </row>
    <row r="246" spans="2:20" ht="15.75" x14ac:dyDescent="0.25">
      <c r="B246" s="60"/>
      <c r="C246" s="244" t="s">
        <v>116</v>
      </c>
      <c r="D246" s="245" t="s">
        <v>20</v>
      </c>
      <c r="E246" s="245">
        <v>2</v>
      </c>
      <c r="F246" s="66">
        <f>R246+R246*0.15</f>
        <v>37.242750000000008</v>
      </c>
      <c r="G246" s="67">
        <f>F246*E246</f>
        <v>74.485500000000016</v>
      </c>
      <c r="J246" s="406">
        <v>20.260000000000002</v>
      </c>
      <c r="K246" s="406">
        <f>J246*$E246</f>
        <v>40.520000000000003</v>
      </c>
      <c r="L246" s="406">
        <v>3</v>
      </c>
      <c r="M246" s="406">
        <f>L246*$E246</f>
        <v>6</v>
      </c>
      <c r="N246" s="406">
        <f>' LABOUR BUILD-UP RATES'!F198</f>
        <v>9.125</v>
      </c>
      <c r="O246" s="406">
        <f>N246*$E246</f>
        <v>18.25</v>
      </c>
      <c r="P246" s="406">
        <v>0</v>
      </c>
      <c r="Q246" s="406">
        <v>0</v>
      </c>
      <c r="R246" s="406">
        <f t="shared" ref="R246" si="101">J246+L246+N246+P246</f>
        <v>32.385000000000005</v>
      </c>
      <c r="S246" s="406">
        <f t="shared" ref="S246" si="102">R246*$E246</f>
        <v>64.77000000000001</v>
      </c>
      <c r="T246" s="405">
        <v>0.15</v>
      </c>
    </row>
    <row r="247" spans="2:20" x14ac:dyDescent="0.25">
      <c r="B247" s="60"/>
      <c r="C247" s="75"/>
      <c r="D247" s="69"/>
      <c r="E247" s="69"/>
      <c r="F247" s="60"/>
      <c r="G247" s="60"/>
      <c r="J247" s="406"/>
      <c r="K247" s="406"/>
      <c r="L247" s="406"/>
      <c r="M247" s="406"/>
      <c r="N247" s="406"/>
      <c r="O247" s="406"/>
      <c r="P247" s="406"/>
      <c r="Q247" s="406"/>
      <c r="R247" s="406"/>
      <c r="S247" s="406"/>
      <c r="T247" s="74"/>
    </row>
    <row r="248" spans="2:20" x14ac:dyDescent="0.25">
      <c r="B248" s="60"/>
      <c r="C248" s="354" t="s">
        <v>390</v>
      </c>
      <c r="D248" s="359"/>
      <c r="E248" s="359"/>
      <c r="F248" s="355"/>
      <c r="G248" s="356">
        <f>SUM(G244:G247)</f>
        <v>1783.7017499999999</v>
      </c>
      <c r="J248" s="406"/>
      <c r="K248" s="356">
        <f>SUM(K244:K247)</f>
        <v>1296.4199999999998</v>
      </c>
      <c r="L248" s="406"/>
      <c r="M248" s="356">
        <f>SUM(M244:M247)</f>
        <v>63</v>
      </c>
      <c r="N248" s="406"/>
      <c r="O248" s="356">
        <f>SUM(O244:O247)</f>
        <v>191.625</v>
      </c>
      <c r="P248" s="406"/>
      <c r="Q248" s="356">
        <f>SUM(Q244:Q247)</f>
        <v>0</v>
      </c>
      <c r="R248" s="406"/>
      <c r="S248" s="356">
        <f>SUM(S244:S247)</f>
        <v>1551.0449999999998</v>
      </c>
      <c r="T248" s="74"/>
    </row>
    <row r="249" spans="2:20" x14ac:dyDescent="0.25">
      <c r="B249" s="60"/>
      <c r="C249" s="75"/>
      <c r="D249" s="69"/>
      <c r="E249" s="69"/>
      <c r="F249" s="60"/>
      <c r="G249" s="60"/>
      <c r="J249" s="406"/>
      <c r="K249" s="406"/>
      <c r="L249" s="406"/>
      <c r="M249" s="406"/>
      <c r="N249" s="406"/>
      <c r="O249" s="406"/>
      <c r="P249" s="406"/>
      <c r="Q249" s="406"/>
      <c r="R249" s="406"/>
      <c r="S249" s="406"/>
      <c r="T249" s="74"/>
    </row>
    <row r="250" spans="2:20" x14ac:dyDescent="0.25">
      <c r="B250" s="149" t="s">
        <v>357</v>
      </c>
      <c r="C250" s="150" t="s">
        <v>373</v>
      </c>
      <c r="D250" s="69"/>
      <c r="E250" s="69"/>
      <c r="F250" s="60"/>
      <c r="G250" s="60"/>
      <c r="J250" s="406"/>
      <c r="K250" s="406"/>
      <c r="L250" s="406"/>
      <c r="M250" s="406"/>
      <c r="N250" s="406"/>
      <c r="O250" s="406"/>
      <c r="P250" s="406"/>
      <c r="Q250" s="406"/>
      <c r="R250" s="406"/>
      <c r="S250" s="406"/>
      <c r="T250" s="74"/>
    </row>
    <row r="251" spans="2:20" x14ac:dyDescent="0.25">
      <c r="B251" s="60"/>
      <c r="C251" s="75"/>
      <c r="D251" s="69"/>
      <c r="E251" s="69"/>
      <c r="F251" s="60"/>
      <c r="G251" s="60"/>
      <c r="J251" s="406"/>
      <c r="K251" s="406"/>
      <c r="L251" s="406"/>
      <c r="M251" s="406"/>
      <c r="N251" s="406"/>
      <c r="O251" s="406"/>
      <c r="P251" s="406"/>
      <c r="Q251" s="406"/>
      <c r="R251" s="406"/>
      <c r="S251" s="406"/>
      <c r="T251" s="74"/>
    </row>
    <row r="252" spans="2:20" ht="15.75" x14ac:dyDescent="0.25">
      <c r="B252" s="60"/>
      <c r="C252" s="244" t="s">
        <v>121</v>
      </c>
      <c r="D252" s="244"/>
      <c r="E252" s="245"/>
      <c r="F252" s="60"/>
      <c r="G252" s="60"/>
      <c r="J252" s="406"/>
      <c r="K252" s="406"/>
      <c r="L252" s="406"/>
      <c r="M252" s="406"/>
      <c r="N252" s="406"/>
      <c r="O252" s="406"/>
      <c r="P252" s="406"/>
      <c r="Q252" s="406"/>
      <c r="R252" s="406"/>
      <c r="S252" s="406"/>
      <c r="T252" s="74"/>
    </row>
    <row r="253" spans="2:20" ht="15.75" x14ac:dyDescent="0.25">
      <c r="B253" s="60"/>
      <c r="C253" s="244" t="s">
        <v>122</v>
      </c>
      <c r="D253" s="245" t="s">
        <v>20</v>
      </c>
      <c r="E253" s="245">
        <v>125</v>
      </c>
      <c r="F253" s="66">
        <f>R253+R253*0.15</f>
        <v>8.5962499999999995</v>
      </c>
      <c r="G253" s="67">
        <f>F253*E253</f>
        <v>1074.53125</v>
      </c>
      <c r="J253" s="406">
        <f>'MATERIAL BUILD-UP RATES'!F335</f>
        <v>1.2</v>
      </c>
      <c r="K253" s="406">
        <f>J253*$E253</f>
        <v>150</v>
      </c>
      <c r="L253" s="406">
        <v>3</v>
      </c>
      <c r="M253" s="406">
        <f>L253*$E253</f>
        <v>375</v>
      </c>
      <c r="N253" s="406">
        <f>' LABOUR BUILD-UP RATES'!F217</f>
        <v>3.2749999999999999</v>
      </c>
      <c r="O253" s="406">
        <f>N253*$E253</f>
        <v>409.375</v>
      </c>
      <c r="P253" s="406">
        <v>0</v>
      </c>
      <c r="Q253" s="406">
        <v>0</v>
      </c>
      <c r="R253" s="406">
        <f t="shared" ref="R253" si="103">J253+L253+N253+P253</f>
        <v>7.4749999999999996</v>
      </c>
      <c r="S253" s="406">
        <f t="shared" ref="S253" si="104">R253*$E253</f>
        <v>934.375</v>
      </c>
      <c r="T253" s="74"/>
    </row>
    <row r="254" spans="2:20" ht="15.75" x14ac:dyDescent="0.25">
      <c r="B254" s="60"/>
      <c r="C254" s="244"/>
      <c r="D254" s="245"/>
      <c r="E254" s="245"/>
      <c r="F254" s="60"/>
      <c r="G254" s="60"/>
      <c r="J254" s="406"/>
      <c r="K254" s="406"/>
      <c r="L254" s="406"/>
      <c r="M254" s="406"/>
      <c r="N254" s="406"/>
      <c r="O254" s="406"/>
      <c r="P254" s="406"/>
      <c r="Q254" s="406"/>
      <c r="R254" s="406"/>
      <c r="S254" s="406"/>
      <c r="T254" s="74"/>
    </row>
    <row r="255" spans="2:20" ht="15.75" x14ac:dyDescent="0.25">
      <c r="B255" s="60"/>
      <c r="C255" s="244" t="s">
        <v>123</v>
      </c>
      <c r="D255" s="245"/>
      <c r="E255" s="245"/>
      <c r="F255" s="60"/>
      <c r="G255" s="60"/>
      <c r="J255" s="406"/>
      <c r="K255" s="406"/>
      <c r="L255" s="406"/>
      <c r="M255" s="406"/>
      <c r="N255" s="406"/>
      <c r="O255" s="406"/>
      <c r="P255" s="406"/>
      <c r="Q255" s="406"/>
      <c r="R255" s="406"/>
      <c r="S255" s="406"/>
      <c r="T255" s="74"/>
    </row>
    <row r="256" spans="2:20" ht="15.75" x14ac:dyDescent="0.25">
      <c r="B256" s="60"/>
      <c r="C256" s="244" t="s">
        <v>122</v>
      </c>
      <c r="D256" s="245" t="s">
        <v>20</v>
      </c>
      <c r="E256" s="245">
        <v>276</v>
      </c>
      <c r="F256" s="66">
        <f>R256+R256*0.15</f>
        <v>8.5598499999999991</v>
      </c>
      <c r="G256" s="67">
        <f>F256*E256</f>
        <v>2362.5185999999999</v>
      </c>
      <c r="J256" s="406">
        <f>'MATERIAL BUILD-UP RATES'!F349</f>
        <v>1.1683478260869566</v>
      </c>
      <c r="K256" s="406">
        <f>J256*$E256</f>
        <v>322.46400000000006</v>
      </c>
      <c r="L256" s="406">
        <v>3</v>
      </c>
      <c r="M256" s="406">
        <f>L256*$E256</f>
        <v>828</v>
      </c>
      <c r="N256" s="406">
        <f>' LABOUR BUILD-UP RATES'!F217</f>
        <v>3.2749999999999999</v>
      </c>
      <c r="O256" s="406">
        <f>N256*$E256</f>
        <v>903.9</v>
      </c>
      <c r="P256" s="406">
        <v>0</v>
      </c>
      <c r="Q256" s="406">
        <v>0</v>
      </c>
      <c r="R256" s="406">
        <f t="shared" ref="R256" si="105">J256+L256+N256+P256</f>
        <v>7.4433478260869563</v>
      </c>
      <c r="S256" s="406">
        <f t="shared" ref="S256" si="106">R256*$E256</f>
        <v>2054.364</v>
      </c>
      <c r="T256" s="74"/>
    </row>
    <row r="257" spans="2:20" ht="15.75" x14ac:dyDescent="0.25">
      <c r="B257" s="60"/>
      <c r="C257" s="244"/>
      <c r="D257" s="245"/>
      <c r="E257" s="245"/>
      <c r="F257" s="60"/>
      <c r="G257" s="60"/>
      <c r="J257" s="406"/>
      <c r="K257" s="406"/>
      <c r="L257" s="406"/>
      <c r="M257" s="406"/>
      <c r="N257" s="406"/>
      <c r="O257" s="406"/>
      <c r="P257" s="406"/>
      <c r="Q257" s="406"/>
      <c r="R257" s="406"/>
      <c r="S257" s="406"/>
      <c r="T257" s="74"/>
    </row>
    <row r="258" spans="2:20" ht="17.25" customHeight="1" x14ac:dyDescent="0.25">
      <c r="B258" s="60"/>
      <c r="C258" s="244" t="s">
        <v>124</v>
      </c>
      <c r="D258" s="245"/>
      <c r="E258" s="245"/>
      <c r="F258" s="60"/>
      <c r="G258" s="60"/>
      <c r="J258" s="406"/>
      <c r="K258" s="406"/>
      <c r="L258" s="406"/>
      <c r="M258" s="406"/>
      <c r="N258" s="406"/>
      <c r="O258" s="406"/>
      <c r="P258" s="406"/>
      <c r="Q258" s="406"/>
      <c r="R258" s="406"/>
      <c r="S258" s="406"/>
      <c r="T258" s="74"/>
    </row>
    <row r="259" spans="2:20" ht="15" customHeight="1" x14ac:dyDescent="0.25">
      <c r="B259" s="60"/>
      <c r="C259" s="244" t="s">
        <v>125</v>
      </c>
      <c r="D259" s="245"/>
      <c r="E259" s="245"/>
      <c r="F259" s="60"/>
      <c r="G259" s="60"/>
      <c r="J259" s="406"/>
      <c r="K259" s="406"/>
      <c r="L259" s="406"/>
      <c r="M259" s="406"/>
      <c r="N259" s="406"/>
      <c r="O259" s="406"/>
      <c r="P259" s="406"/>
      <c r="Q259" s="406"/>
      <c r="R259" s="406"/>
      <c r="S259" s="406"/>
      <c r="T259" s="74"/>
    </row>
    <row r="260" spans="2:20" ht="15.75" customHeight="1" x14ac:dyDescent="0.25">
      <c r="B260" s="60"/>
      <c r="C260" s="244" t="s">
        <v>126</v>
      </c>
      <c r="D260" s="245" t="s">
        <v>20</v>
      </c>
      <c r="E260" s="245">
        <v>27</v>
      </c>
      <c r="F260" s="66">
        <f>R260+R260*0.15</f>
        <v>19.293166666666668</v>
      </c>
      <c r="G260" s="67">
        <f>F260*E260</f>
        <v>520.91550000000007</v>
      </c>
      <c r="J260" s="406">
        <f>'MATERIAL BUILD-UP RATES'!F365</f>
        <v>10.666666666666666</v>
      </c>
      <c r="K260" s="406">
        <f>J260*$E260</f>
        <v>288</v>
      </c>
      <c r="L260" s="406">
        <v>3</v>
      </c>
      <c r="M260" s="406">
        <f>L260*$E260</f>
        <v>81</v>
      </c>
      <c r="N260" s="406">
        <f>' LABOUR BUILD-UP RATES'!F209</f>
        <v>3.11</v>
      </c>
      <c r="O260" s="406">
        <f>N260*$E260</f>
        <v>83.97</v>
      </c>
      <c r="P260" s="406">
        <v>0</v>
      </c>
      <c r="Q260" s="406">
        <v>0</v>
      </c>
      <c r="R260" s="406">
        <f t="shared" ref="R260" si="107">J260+L260+N260+P260</f>
        <v>16.776666666666667</v>
      </c>
      <c r="S260" s="406">
        <f t="shared" ref="S260" si="108">R260*$E260</f>
        <v>452.97</v>
      </c>
      <c r="T260" s="74"/>
    </row>
    <row r="261" spans="2:20" ht="15.75" x14ac:dyDescent="0.25">
      <c r="B261" s="60"/>
      <c r="C261" s="244"/>
      <c r="D261" s="245"/>
      <c r="E261" s="245"/>
      <c r="F261" s="60"/>
      <c r="G261" s="60"/>
      <c r="J261" s="406"/>
      <c r="K261" s="406"/>
      <c r="L261" s="406"/>
      <c r="M261" s="406"/>
      <c r="N261" s="406"/>
      <c r="O261" s="406"/>
      <c r="P261" s="406"/>
      <c r="Q261" s="406"/>
      <c r="R261" s="406"/>
      <c r="S261" s="406"/>
      <c r="T261" s="74"/>
    </row>
    <row r="262" spans="2:20" ht="15.75" x14ac:dyDescent="0.25">
      <c r="B262" s="60"/>
      <c r="C262" s="244" t="s">
        <v>127</v>
      </c>
      <c r="D262" s="245"/>
      <c r="E262" s="245"/>
      <c r="F262" s="60"/>
      <c r="G262" s="60"/>
      <c r="J262" s="406"/>
      <c r="K262" s="406"/>
      <c r="L262" s="406"/>
      <c r="M262" s="406"/>
      <c r="N262" s="406"/>
      <c r="O262" s="406"/>
      <c r="P262" s="406"/>
      <c r="Q262" s="406"/>
      <c r="R262" s="406"/>
      <c r="S262" s="406"/>
      <c r="T262" s="74"/>
    </row>
    <row r="263" spans="2:20" ht="15.75" x14ac:dyDescent="0.25">
      <c r="B263" s="60"/>
      <c r="C263" s="244" t="s">
        <v>128</v>
      </c>
      <c r="D263" s="245"/>
      <c r="E263" s="245"/>
      <c r="F263" s="60"/>
      <c r="G263" s="60"/>
      <c r="J263" s="406"/>
      <c r="K263" s="406"/>
      <c r="L263" s="406"/>
      <c r="M263" s="406"/>
      <c r="N263" s="406"/>
      <c r="O263" s="406"/>
      <c r="P263" s="406"/>
      <c r="Q263" s="406"/>
      <c r="R263" s="406"/>
      <c r="S263" s="406"/>
      <c r="T263" s="74"/>
    </row>
    <row r="264" spans="2:20" ht="15.75" x14ac:dyDescent="0.25">
      <c r="B264" s="60"/>
      <c r="C264" s="244" t="s">
        <v>129</v>
      </c>
      <c r="D264" s="245"/>
      <c r="E264" s="245"/>
      <c r="F264" s="60"/>
      <c r="G264" s="60"/>
      <c r="J264" s="406"/>
      <c r="K264" s="406"/>
      <c r="L264" s="406"/>
      <c r="M264" s="406"/>
      <c r="N264" s="406"/>
      <c r="O264" s="406"/>
      <c r="P264" s="406"/>
      <c r="Q264" s="406"/>
      <c r="R264" s="406"/>
      <c r="S264" s="406"/>
      <c r="T264" s="74"/>
    </row>
    <row r="265" spans="2:20" ht="15.75" x14ac:dyDescent="0.25">
      <c r="B265" s="60"/>
      <c r="C265" s="244" t="s">
        <v>130</v>
      </c>
      <c r="D265" s="245" t="s">
        <v>20</v>
      </c>
      <c r="E265" s="245">
        <v>11</v>
      </c>
      <c r="F265" s="66">
        <f>R265+R265*0.15</f>
        <v>25.844681818181819</v>
      </c>
      <c r="G265" s="67">
        <f>F265*E265</f>
        <v>284.29149999999998</v>
      </c>
      <c r="J265" s="406">
        <f>'MATERIAL BUILD-UP RATES'!F397</f>
        <v>16.363636363636363</v>
      </c>
      <c r="K265" s="406">
        <f>J265*$E265</f>
        <v>180</v>
      </c>
      <c r="L265" s="406">
        <v>3</v>
      </c>
      <c r="M265" s="406">
        <f>L265*$E265</f>
        <v>33</v>
      </c>
      <c r="N265" s="406">
        <f>' LABOUR BUILD-UP RATES'!F209</f>
        <v>3.11</v>
      </c>
      <c r="O265" s="406">
        <f>N265*$E265</f>
        <v>34.21</v>
      </c>
      <c r="P265" s="406">
        <v>0</v>
      </c>
      <c r="Q265" s="406">
        <v>0</v>
      </c>
      <c r="R265" s="406">
        <f t="shared" ref="R265" si="109">J265+L265+N265+P265</f>
        <v>22.473636363636363</v>
      </c>
      <c r="S265" s="406">
        <f t="shared" ref="S265" si="110">R265*$E265</f>
        <v>247.20999999999998</v>
      </c>
      <c r="T265" s="74"/>
    </row>
    <row r="266" spans="2:20" ht="15.75" x14ac:dyDescent="0.25">
      <c r="B266" s="60"/>
      <c r="C266" s="244"/>
      <c r="D266" s="245"/>
      <c r="E266" s="245"/>
      <c r="F266" s="60"/>
      <c r="G266" s="60"/>
      <c r="J266" s="406"/>
      <c r="K266" s="406"/>
      <c r="L266" s="406"/>
      <c r="M266" s="406"/>
      <c r="N266" s="406"/>
      <c r="O266" s="406"/>
      <c r="P266" s="406"/>
      <c r="Q266" s="406"/>
      <c r="R266" s="406"/>
      <c r="S266" s="406"/>
      <c r="T266" s="74"/>
    </row>
    <row r="267" spans="2:20" ht="15.75" x14ac:dyDescent="0.25">
      <c r="B267" s="60"/>
      <c r="C267" s="244" t="s">
        <v>127</v>
      </c>
      <c r="D267" s="245"/>
      <c r="E267" s="245"/>
      <c r="F267" s="60"/>
      <c r="G267" s="60"/>
      <c r="J267" s="406"/>
      <c r="K267" s="406"/>
      <c r="L267" s="406"/>
      <c r="M267" s="406"/>
      <c r="N267" s="406"/>
      <c r="O267" s="406"/>
      <c r="P267" s="406"/>
      <c r="Q267" s="406"/>
      <c r="R267" s="406"/>
      <c r="S267" s="406"/>
      <c r="T267" s="74"/>
    </row>
    <row r="268" spans="2:20" ht="15.75" x14ac:dyDescent="0.25">
      <c r="B268" s="60"/>
      <c r="C268" s="244" t="s">
        <v>128</v>
      </c>
      <c r="D268" s="245"/>
      <c r="E268" s="245"/>
      <c r="F268" s="60"/>
      <c r="G268" s="60"/>
      <c r="J268" s="406"/>
      <c r="K268" s="406"/>
      <c r="L268" s="406"/>
      <c r="M268" s="406"/>
      <c r="N268" s="406"/>
      <c r="O268" s="406"/>
      <c r="P268" s="406"/>
      <c r="Q268" s="406"/>
      <c r="R268" s="406"/>
      <c r="S268" s="406"/>
      <c r="T268" s="74"/>
    </row>
    <row r="269" spans="2:20" ht="15.75" x14ac:dyDescent="0.25">
      <c r="B269" s="60"/>
      <c r="C269" s="244" t="s">
        <v>129</v>
      </c>
      <c r="D269" s="245"/>
      <c r="E269" s="245"/>
      <c r="F269" s="60"/>
      <c r="G269" s="60"/>
      <c r="J269" s="406"/>
      <c r="K269" s="406"/>
      <c r="L269" s="406"/>
      <c r="M269" s="406"/>
      <c r="N269" s="406"/>
      <c r="O269" s="406"/>
      <c r="P269" s="406"/>
      <c r="Q269" s="406"/>
      <c r="R269" s="406"/>
      <c r="S269" s="406"/>
      <c r="T269" s="74"/>
    </row>
    <row r="270" spans="2:20" ht="15.75" x14ac:dyDescent="0.25">
      <c r="B270" s="60"/>
      <c r="C270" s="244" t="s">
        <v>131</v>
      </c>
      <c r="D270" s="245" t="s">
        <v>20</v>
      </c>
      <c r="E270" s="245">
        <v>8</v>
      </c>
      <c r="F270" s="66">
        <f>R270+R270*0.15</f>
        <v>13.495249999999999</v>
      </c>
      <c r="G270" s="67">
        <f>F270*E270</f>
        <v>107.96199999999999</v>
      </c>
      <c r="J270" s="406">
        <f>'MATERIAL BUILD-UP RATES'!F413</f>
        <v>5.625</v>
      </c>
      <c r="K270" s="406">
        <f>J270*$E270</f>
        <v>45</v>
      </c>
      <c r="L270" s="406">
        <v>3</v>
      </c>
      <c r="M270" s="406">
        <f>L270*$E270</f>
        <v>24</v>
      </c>
      <c r="N270" s="406">
        <f>' LABOUR BUILD-UP RATES'!F209</f>
        <v>3.11</v>
      </c>
      <c r="O270" s="406">
        <f>N270*$E270</f>
        <v>24.88</v>
      </c>
      <c r="P270" s="406">
        <v>0</v>
      </c>
      <c r="Q270" s="406">
        <v>0</v>
      </c>
      <c r="R270" s="406">
        <f t="shared" ref="R270" si="111">J270+L270+N270+P270</f>
        <v>11.734999999999999</v>
      </c>
      <c r="S270" s="406">
        <f t="shared" ref="S270" si="112">R270*$E270</f>
        <v>93.88</v>
      </c>
      <c r="T270" s="74"/>
    </row>
    <row r="271" spans="2:20" ht="15.75" x14ac:dyDescent="0.25">
      <c r="B271" s="60"/>
      <c r="C271" s="244"/>
      <c r="D271" s="245"/>
      <c r="E271" s="245"/>
      <c r="F271" s="60"/>
      <c r="G271" s="60"/>
      <c r="J271" s="406"/>
      <c r="K271" s="406"/>
      <c r="L271" s="406"/>
      <c r="M271" s="406"/>
      <c r="N271" s="406"/>
      <c r="O271" s="406"/>
      <c r="P271" s="406"/>
      <c r="Q271" s="406"/>
      <c r="R271" s="406"/>
      <c r="S271" s="406"/>
      <c r="T271" s="74"/>
    </row>
    <row r="272" spans="2:20" ht="15.75" x14ac:dyDescent="0.25">
      <c r="B272" s="60"/>
      <c r="C272" s="244" t="s">
        <v>132</v>
      </c>
      <c r="D272" s="245"/>
      <c r="E272" s="245"/>
      <c r="F272" s="60"/>
      <c r="G272" s="60"/>
      <c r="J272" s="406"/>
      <c r="K272" s="406"/>
      <c r="L272" s="406"/>
      <c r="M272" s="406"/>
      <c r="N272" s="406"/>
      <c r="O272" s="406"/>
      <c r="P272" s="406"/>
      <c r="Q272" s="406"/>
      <c r="R272" s="406"/>
      <c r="S272" s="406"/>
      <c r="T272" s="74"/>
    </row>
    <row r="273" spans="2:20" ht="15.75" x14ac:dyDescent="0.25">
      <c r="B273" s="60"/>
      <c r="C273" s="244" t="s">
        <v>133</v>
      </c>
      <c r="D273" s="245"/>
      <c r="E273" s="245"/>
      <c r="F273" s="60"/>
      <c r="G273" s="60"/>
      <c r="J273" s="406"/>
      <c r="K273" s="406"/>
      <c r="L273" s="406"/>
      <c r="M273" s="406"/>
      <c r="N273" s="406"/>
      <c r="O273" s="406"/>
      <c r="P273" s="406"/>
      <c r="Q273" s="406"/>
      <c r="R273" s="406"/>
      <c r="S273" s="406"/>
      <c r="T273" s="74"/>
    </row>
    <row r="274" spans="2:20" ht="15.75" x14ac:dyDescent="0.25">
      <c r="B274" s="60"/>
      <c r="C274" s="244" t="s">
        <v>134</v>
      </c>
      <c r="D274" s="245" t="s">
        <v>20</v>
      </c>
      <c r="E274" s="245">
        <v>93</v>
      </c>
      <c r="F274" s="66">
        <f>R274+R274*0.15</f>
        <v>11.338999999999999</v>
      </c>
      <c r="G274" s="67">
        <f>F274*E274</f>
        <v>1054.5269999999998</v>
      </c>
      <c r="J274" s="406">
        <f>'MATERIAL BUILD-UP RATES'!F381</f>
        <v>3.75</v>
      </c>
      <c r="K274" s="406">
        <f>J274*$E274</f>
        <v>348.75</v>
      </c>
      <c r="L274" s="406">
        <v>3</v>
      </c>
      <c r="M274" s="406">
        <f>L274*$E274</f>
        <v>279</v>
      </c>
      <c r="N274" s="406">
        <f>' LABOUR BUILD-UP RATES'!F209</f>
        <v>3.11</v>
      </c>
      <c r="O274" s="406">
        <f>N274*$E274</f>
        <v>289.22999999999996</v>
      </c>
      <c r="P274" s="406">
        <v>0</v>
      </c>
      <c r="Q274" s="406">
        <v>0</v>
      </c>
      <c r="R274" s="406">
        <f t="shared" ref="R274" si="113">J274+L274+N274+P274</f>
        <v>9.86</v>
      </c>
      <c r="S274" s="406">
        <f t="shared" ref="S274" si="114">R274*$E274</f>
        <v>916.9799999999999</v>
      </c>
      <c r="T274" s="74"/>
    </row>
    <row r="275" spans="2:20" ht="15.75" x14ac:dyDescent="0.25">
      <c r="B275" s="60"/>
      <c r="C275" s="244"/>
      <c r="D275" s="244"/>
      <c r="E275" s="245"/>
      <c r="F275" s="60"/>
      <c r="G275" s="60"/>
      <c r="J275" s="406"/>
      <c r="K275" s="406"/>
      <c r="L275" s="406"/>
      <c r="M275" s="406"/>
      <c r="N275" s="406"/>
      <c r="O275" s="406"/>
      <c r="P275" s="406"/>
      <c r="Q275" s="406"/>
      <c r="R275" s="406"/>
      <c r="S275" s="406"/>
      <c r="T275" s="74"/>
    </row>
    <row r="276" spans="2:20" ht="15.75" x14ac:dyDescent="0.25">
      <c r="B276" s="60"/>
      <c r="C276" s="244" t="s">
        <v>127</v>
      </c>
      <c r="D276" s="244"/>
      <c r="E276" s="245"/>
      <c r="F276" s="60"/>
      <c r="G276" s="60"/>
      <c r="J276" s="406"/>
      <c r="K276" s="406"/>
      <c r="L276" s="406"/>
      <c r="M276" s="406"/>
      <c r="N276" s="406"/>
      <c r="O276" s="406"/>
      <c r="P276" s="406"/>
      <c r="Q276" s="406"/>
      <c r="R276" s="406"/>
      <c r="S276" s="406"/>
      <c r="T276" s="74"/>
    </row>
    <row r="277" spans="2:20" ht="15.75" x14ac:dyDescent="0.25">
      <c r="B277" s="60"/>
      <c r="C277" s="244" t="s">
        <v>128</v>
      </c>
      <c r="D277" s="244"/>
      <c r="E277" s="245"/>
      <c r="F277" s="60"/>
      <c r="G277" s="60"/>
      <c r="J277" s="406"/>
      <c r="K277" s="406"/>
      <c r="L277" s="406"/>
      <c r="M277" s="406"/>
      <c r="N277" s="406"/>
      <c r="O277" s="406"/>
      <c r="P277" s="406"/>
      <c r="Q277" s="406"/>
      <c r="R277" s="406"/>
      <c r="S277" s="406"/>
      <c r="T277" s="74"/>
    </row>
    <row r="278" spans="2:20" ht="15.75" x14ac:dyDescent="0.25">
      <c r="B278" s="60"/>
      <c r="C278" s="244" t="s">
        <v>129</v>
      </c>
      <c r="D278" s="244"/>
      <c r="E278" s="245"/>
      <c r="F278" s="60"/>
      <c r="G278" s="60"/>
      <c r="J278" s="406"/>
      <c r="K278" s="406"/>
      <c r="L278" s="406"/>
      <c r="M278" s="406"/>
      <c r="N278" s="406"/>
      <c r="O278" s="406"/>
      <c r="P278" s="406"/>
      <c r="Q278" s="406"/>
      <c r="R278" s="406"/>
      <c r="S278" s="406"/>
      <c r="T278" s="74"/>
    </row>
    <row r="279" spans="2:20" ht="15.75" x14ac:dyDescent="0.25">
      <c r="B279" s="60"/>
      <c r="C279" s="244" t="s">
        <v>131</v>
      </c>
      <c r="D279" s="245" t="s">
        <v>20</v>
      </c>
      <c r="E279" s="245">
        <v>8</v>
      </c>
      <c r="F279" s="66">
        <f>R279+R279*0.15</f>
        <v>25.844681818181819</v>
      </c>
      <c r="G279" s="67">
        <f>F279*E279</f>
        <v>206.75745454545455</v>
      </c>
      <c r="J279" s="406">
        <f>'MATERIAL BUILD-UP RATES'!F397</f>
        <v>16.363636363636363</v>
      </c>
      <c r="K279" s="406">
        <f>J279*$E279</f>
        <v>130.90909090909091</v>
      </c>
      <c r="L279" s="406">
        <v>3</v>
      </c>
      <c r="M279" s="406">
        <f>L279*$E279</f>
        <v>24</v>
      </c>
      <c r="N279" s="406">
        <f>' LABOUR BUILD-UP RATES'!F209</f>
        <v>3.11</v>
      </c>
      <c r="O279" s="406">
        <f>N279*$E279</f>
        <v>24.88</v>
      </c>
      <c r="P279" s="406">
        <v>0</v>
      </c>
      <c r="Q279" s="406">
        <v>0</v>
      </c>
      <c r="R279" s="406">
        <f t="shared" ref="R279" si="115">J279+L279+N279+P279</f>
        <v>22.473636363636363</v>
      </c>
      <c r="S279" s="406">
        <f t="shared" ref="S279" si="116">R279*$E279</f>
        <v>179.7890909090909</v>
      </c>
      <c r="T279" s="74"/>
    </row>
    <row r="280" spans="2:20" ht="15.75" x14ac:dyDescent="0.25">
      <c r="B280" s="60"/>
      <c r="C280" s="244"/>
      <c r="D280" s="244"/>
      <c r="E280" s="245"/>
      <c r="F280" s="60"/>
      <c r="G280" s="60"/>
      <c r="J280" s="406"/>
      <c r="K280" s="406"/>
      <c r="L280" s="406"/>
      <c r="M280" s="406"/>
      <c r="N280" s="406"/>
      <c r="O280" s="406"/>
      <c r="P280" s="406"/>
      <c r="Q280" s="406"/>
      <c r="R280" s="406"/>
      <c r="S280" s="406"/>
      <c r="T280" s="74"/>
    </row>
    <row r="281" spans="2:20" ht="15.75" x14ac:dyDescent="0.25">
      <c r="B281" s="60"/>
      <c r="C281" s="244" t="s">
        <v>132</v>
      </c>
      <c r="D281" s="244"/>
      <c r="E281" s="245"/>
      <c r="F281" s="60"/>
      <c r="G281" s="60"/>
      <c r="J281" s="406"/>
      <c r="K281" s="406"/>
      <c r="L281" s="406"/>
      <c r="M281" s="406"/>
      <c r="N281" s="406"/>
      <c r="O281" s="406"/>
      <c r="P281" s="406"/>
      <c r="Q281" s="406"/>
      <c r="R281" s="406"/>
      <c r="S281" s="406"/>
      <c r="T281" s="74"/>
    </row>
    <row r="282" spans="2:20" ht="15.75" x14ac:dyDescent="0.25">
      <c r="B282" s="60"/>
      <c r="C282" s="244" t="s">
        <v>138</v>
      </c>
      <c r="D282" s="244"/>
      <c r="E282" s="245"/>
      <c r="F282" s="60"/>
      <c r="G282" s="60"/>
      <c r="J282" s="406"/>
      <c r="K282" s="406"/>
      <c r="L282" s="406"/>
      <c r="M282" s="406"/>
      <c r="N282" s="406"/>
      <c r="O282" s="406"/>
      <c r="P282" s="406"/>
      <c r="Q282" s="406"/>
      <c r="R282" s="406"/>
      <c r="S282" s="406"/>
      <c r="T282" s="74"/>
    </row>
    <row r="283" spans="2:20" ht="15.75" x14ac:dyDescent="0.25">
      <c r="B283" s="60"/>
      <c r="C283" s="244" t="s">
        <v>139</v>
      </c>
      <c r="D283" s="245" t="s">
        <v>20</v>
      </c>
      <c r="E283" s="245">
        <v>276</v>
      </c>
      <c r="F283" s="66">
        <f>R283+R283*0.15</f>
        <v>11.52875</v>
      </c>
      <c r="G283" s="67">
        <f>F283*E283</f>
        <v>3181.9349999999999</v>
      </c>
      <c r="J283" s="406">
        <f>'MATERIAL BUILD-UP RATES'!F381</f>
        <v>3.75</v>
      </c>
      <c r="K283" s="406">
        <f>J283*$E283</f>
        <v>1035</v>
      </c>
      <c r="L283" s="406">
        <v>3</v>
      </c>
      <c r="M283" s="406">
        <f>L283*$E283</f>
        <v>828</v>
      </c>
      <c r="N283" s="406">
        <f>' LABOUR BUILD-UP RATES'!F217</f>
        <v>3.2749999999999999</v>
      </c>
      <c r="O283" s="406">
        <f>N283*$E283</f>
        <v>903.9</v>
      </c>
      <c r="P283" s="406">
        <v>0</v>
      </c>
      <c r="Q283" s="406">
        <v>0</v>
      </c>
      <c r="R283" s="406">
        <f t="shared" ref="R283" si="117">J283+L283+N283+P283</f>
        <v>10.025</v>
      </c>
      <c r="S283" s="406">
        <f t="shared" ref="S283" si="118">R283*$E283</f>
        <v>2766.9</v>
      </c>
      <c r="T283" s="74"/>
    </row>
    <row r="284" spans="2:20" ht="15.75" x14ac:dyDescent="0.25">
      <c r="B284" s="60"/>
      <c r="C284" s="244"/>
      <c r="D284" s="244"/>
      <c r="E284" s="245"/>
      <c r="F284" s="60"/>
      <c r="G284" s="60"/>
      <c r="J284" s="406"/>
      <c r="K284" s="406"/>
      <c r="L284" s="406"/>
      <c r="M284" s="406"/>
      <c r="N284" s="406"/>
      <c r="O284" s="406"/>
      <c r="P284" s="406"/>
      <c r="Q284" s="406"/>
      <c r="R284" s="406"/>
      <c r="S284" s="406"/>
      <c r="T284" s="74"/>
    </row>
    <row r="285" spans="2:20" ht="15.75" x14ac:dyDescent="0.25">
      <c r="B285" s="60"/>
      <c r="C285" s="354" t="s">
        <v>391</v>
      </c>
      <c r="D285" s="357"/>
      <c r="E285" s="358"/>
      <c r="F285" s="355"/>
      <c r="G285" s="356">
        <f>SUM(G253:G284)</f>
        <v>8793.4383045454542</v>
      </c>
      <c r="J285" s="406"/>
      <c r="K285" s="356">
        <f>SUM(K253:K284)</f>
        <v>2500.1230909090909</v>
      </c>
      <c r="L285" s="406"/>
      <c r="M285" s="356">
        <f>SUM(M253:M284)</f>
        <v>2472</v>
      </c>
      <c r="N285" s="406"/>
      <c r="O285" s="356">
        <f>SUM(O253:O284)</f>
        <v>2674.3450000000003</v>
      </c>
      <c r="P285" s="406"/>
      <c r="Q285" s="356">
        <f>SUM(Q253:Q284)</f>
        <v>0</v>
      </c>
      <c r="R285" s="406"/>
      <c r="S285" s="356">
        <f>SUM(S253:S284)</f>
        <v>7646.4680909090912</v>
      </c>
      <c r="T285" s="74"/>
    </row>
    <row r="286" spans="2:20" x14ac:dyDescent="0.25">
      <c r="B286" s="60"/>
      <c r="C286" s="75"/>
      <c r="D286" s="69"/>
      <c r="E286" s="69"/>
      <c r="F286" s="60"/>
      <c r="G286" s="60"/>
      <c r="J286" s="406"/>
      <c r="K286" s="406"/>
      <c r="L286" s="406"/>
      <c r="M286" s="406"/>
      <c r="N286" s="406"/>
      <c r="O286" s="406"/>
      <c r="P286" s="406"/>
      <c r="Q286" s="406"/>
      <c r="R286" s="406"/>
      <c r="S286" s="406"/>
      <c r="T286" s="74"/>
    </row>
    <row r="287" spans="2:20" x14ac:dyDescent="0.25">
      <c r="B287" s="151" t="s">
        <v>358</v>
      </c>
      <c r="C287" s="150" t="s">
        <v>359</v>
      </c>
      <c r="D287" s="60"/>
      <c r="E287" s="60"/>
      <c r="F287" s="60"/>
      <c r="G287" s="60"/>
      <c r="J287" s="406"/>
      <c r="K287" s="406"/>
      <c r="L287" s="406"/>
      <c r="M287" s="406"/>
      <c r="N287" s="406"/>
      <c r="O287" s="406"/>
      <c r="P287" s="406"/>
      <c r="Q287" s="406"/>
      <c r="R287" s="406"/>
      <c r="S287" s="406"/>
      <c r="T287" s="74"/>
    </row>
    <row r="288" spans="2:20" x14ac:dyDescent="0.25">
      <c r="B288" s="60"/>
      <c r="C288" s="65"/>
      <c r="D288" s="60"/>
      <c r="E288" s="60"/>
      <c r="F288" s="60"/>
      <c r="G288" s="60"/>
      <c r="J288" s="406"/>
      <c r="K288" s="406"/>
      <c r="L288" s="406"/>
      <c r="M288" s="406"/>
      <c r="N288" s="406"/>
      <c r="O288" s="406"/>
      <c r="P288" s="406"/>
      <c r="Q288" s="406"/>
      <c r="R288" s="406"/>
      <c r="S288" s="406"/>
      <c r="T288" s="74"/>
    </row>
    <row r="289" spans="2:20" ht="17.25" customHeight="1" x14ac:dyDescent="0.25">
      <c r="B289" s="70" t="s">
        <v>187</v>
      </c>
      <c r="C289" s="60" t="s">
        <v>162</v>
      </c>
      <c r="D289" s="61" t="s">
        <v>175</v>
      </c>
      <c r="E289" s="61">
        <v>93</v>
      </c>
      <c r="F289" s="66">
        <f>R289+R289*0.15</f>
        <v>14.498317096774194</v>
      </c>
      <c r="G289" s="67">
        <f>F289*E289</f>
        <v>1348.34349</v>
      </c>
      <c r="I289" s="259"/>
      <c r="J289" s="413">
        <f>'MATERIAL BUILD-UP RATES'!F431</f>
        <v>5.2572322580645174</v>
      </c>
      <c r="K289" s="407">
        <f>J289*$E289</f>
        <v>488.9226000000001</v>
      </c>
      <c r="L289" s="406">
        <v>4</v>
      </c>
      <c r="M289" s="406">
        <f>L289*$E289</f>
        <v>372</v>
      </c>
      <c r="N289" s="406">
        <f>' LABOUR BUILD-UP RATES'!F227</f>
        <v>3.35</v>
      </c>
      <c r="O289" s="406">
        <f>N289*$E289</f>
        <v>311.55</v>
      </c>
      <c r="P289" s="406">
        <v>0</v>
      </c>
      <c r="Q289" s="406">
        <f>P289*$E289</f>
        <v>0</v>
      </c>
      <c r="R289" s="406">
        <f>J289+L289+N289+P289</f>
        <v>12.607232258064517</v>
      </c>
      <c r="S289" s="406">
        <f>R289*$E289</f>
        <v>1172.4726000000001</v>
      </c>
      <c r="T289" s="405">
        <v>0.15</v>
      </c>
    </row>
    <row r="290" spans="2:20" x14ac:dyDescent="0.25">
      <c r="B290" s="60"/>
      <c r="C290" s="60"/>
      <c r="D290" s="60"/>
      <c r="E290" s="60"/>
      <c r="F290" s="60"/>
      <c r="G290" s="60"/>
      <c r="I290" s="259"/>
      <c r="J290" s="407"/>
      <c r="K290" s="406"/>
      <c r="L290" s="406"/>
      <c r="M290" s="406"/>
      <c r="N290" s="406"/>
      <c r="O290" s="406"/>
      <c r="P290" s="406"/>
      <c r="Q290" s="406"/>
      <c r="R290" s="406"/>
      <c r="S290" s="406"/>
      <c r="T290" s="74"/>
    </row>
    <row r="291" spans="2:20" x14ac:dyDescent="0.25">
      <c r="B291" s="60"/>
      <c r="C291" s="73" t="s">
        <v>188</v>
      </c>
      <c r="D291" s="74" t="s">
        <v>20</v>
      </c>
      <c r="E291" s="74">
        <v>93</v>
      </c>
      <c r="F291" s="66">
        <f>R291+R291*0.15</f>
        <v>10.963303655913979</v>
      </c>
      <c r="G291" s="67">
        <f>F291*E291</f>
        <v>1019.5872400000001</v>
      </c>
      <c r="J291" s="406">
        <f>'MATERIAL BUILD-UP RATES'!F439</f>
        <v>5.1833075268817215</v>
      </c>
      <c r="K291" s="406">
        <f>J291*$E291</f>
        <v>482.0476000000001</v>
      </c>
      <c r="L291" s="406">
        <v>1</v>
      </c>
      <c r="M291" s="406">
        <f>L291*$E291</f>
        <v>93</v>
      </c>
      <c r="N291" s="406">
        <f>' LABOUR BUILD-UP RATES'!F227</f>
        <v>3.35</v>
      </c>
      <c r="O291" s="406">
        <f>N291*$E291</f>
        <v>311.55</v>
      </c>
      <c r="P291" s="406">
        <v>0</v>
      </c>
      <c r="Q291" s="406">
        <v>0</v>
      </c>
      <c r="R291" s="406">
        <f>J291+L291+N291+P291</f>
        <v>9.5333075268817211</v>
      </c>
      <c r="S291" s="406">
        <f>R291*$E291</f>
        <v>886.59760000000006</v>
      </c>
      <c r="T291" s="405">
        <v>0.15</v>
      </c>
    </row>
    <row r="292" spans="2:20" x14ac:dyDescent="0.25">
      <c r="B292" s="60"/>
      <c r="C292" s="75"/>
      <c r="D292" s="60"/>
      <c r="E292" s="69"/>
      <c r="F292" s="60"/>
      <c r="G292" s="60"/>
      <c r="J292" s="408"/>
      <c r="K292" s="408"/>
      <c r="L292" s="408"/>
      <c r="M292" s="408"/>
      <c r="N292" s="408"/>
      <c r="O292" s="408"/>
      <c r="P292" s="408"/>
      <c r="Q292" s="408"/>
      <c r="R292" s="408"/>
      <c r="S292" s="408"/>
      <c r="T292" s="409"/>
    </row>
    <row r="293" spans="2:20" x14ac:dyDescent="0.25">
      <c r="B293" s="60"/>
      <c r="C293" s="354" t="s">
        <v>392</v>
      </c>
      <c r="D293" s="355"/>
      <c r="E293" s="355"/>
      <c r="F293" s="355"/>
      <c r="G293" s="356">
        <f>SUM(G289:G292)</f>
        <v>2367.93073</v>
      </c>
      <c r="J293" s="408"/>
      <c r="K293" s="356">
        <f>SUM(K289:K292)</f>
        <v>970.9702000000002</v>
      </c>
      <c r="L293" s="408"/>
      <c r="M293" s="356">
        <f>SUM(M289:M292)</f>
        <v>465</v>
      </c>
      <c r="N293" s="408"/>
      <c r="O293" s="356">
        <f>SUM(O289:O292)</f>
        <v>623.1</v>
      </c>
      <c r="P293" s="408"/>
      <c r="Q293" s="356">
        <f>SUM(Q289:Q292)</f>
        <v>0</v>
      </c>
      <c r="R293" s="408"/>
      <c r="S293" s="356">
        <f>SUM(S289:S292)</f>
        <v>2059.0702000000001</v>
      </c>
      <c r="T293" s="409"/>
    </row>
    <row r="294" spans="2:20" x14ac:dyDescent="0.25">
      <c r="B294" s="60"/>
      <c r="C294" s="60"/>
      <c r="D294" s="60"/>
      <c r="E294" s="60"/>
      <c r="F294" s="60"/>
      <c r="G294" s="60"/>
      <c r="J294" s="408"/>
      <c r="K294" s="408"/>
      <c r="L294" s="408"/>
      <c r="M294" s="408"/>
      <c r="N294" s="408"/>
      <c r="O294" s="408"/>
      <c r="P294" s="408"/>
      <c r="Q294" s="408"/>
      <c r="R294" s="408"/>
      <c r="S294" s="408"/>
      <c r="T294" s="409"/>
    </row>
    <row r="295" spans="2:20" x14ac:dyDescent="0.25">
      <c r="B295" s="60"/>
      <c r="C295" s="60"/>
      <c r="D295" s="60"/>
      <c r="E295" s="60"/>
      <c r="F295" s="60"/>
      <c r="G295" s="60"/>
      <c r="J295" s="408"/>
      <c r="K295" s="408"/>
      <c r="L295" s="408"/>
      <c r="M295" s="408"/>
      <c r="N295" s="408"/>
      <c r="O295" s="408"/>
      <c r="P295" s="408"/>
      <c r="Q295" s="408"/>
      <c r="R295" s="408"/>
      <c r="S295" s="408"/>
      <c r="T295" s="409"/>
    </row>
    <row r="296" spans="2:20" x14ac:dyDescent="0.25">
      <c r="B296" s="60"/>
      <c r="C296" s="60"/>
      <c r="D296" s="60"/>
      <c r="E296" s="60"/>
      <c r="F296" s="60"/>
      <c r="G296" s="60"/>
      <c r="J296" s="408"/>
      <c r="K296" s="408"/>
      <c r="L296" s="408"/>
      <c r="M296" s="408"/>
      <c r="N296" s="408"/>
      <c r="O296" s="408"/>
      <c r="P296" s="408"/>
      <c r="Q296" s="408"/>
      <c r="R296" s="408"/>
      <c r="S296" s="408"/>
      <c r="T296" s="409"/>
    </row>
    <row r="297" spans="2:20" s="110" customFormat="1" x14ac:dyDescent="0.25">
      <c r="B297" s="96"/>
      <c r="C297" s="113" t="s">
        <v>176</v>
      </c>
      <c r="D297" s="96"/>
      <c r="E297" s="96"/>
      <c r="F297" s="96"/>
      <c r="G297" s="361">
        <f>SUM(G293,G285,G248,G240,G172,G145,G133,G91,G67)</f>
        <v>70226.227466520751</v>
      </c>
      <c r="J297" s="410"/>
      <c r="K297" s="361">
        <f>SUM(K293,K285,K248,K240,K172,K145,K133,K91,K67)</f>
        <v>27858.207784665141</v>
      </c>
      <c r="L297" s="410"/>
      <c r="M297" s="361">
        <f>SUM(M293,M285,M248,M240,M172,M145,M133,M91,M67)</f>
        <v>19122.150000000001</v>
      </c>
      <c r="N297" s="410"/>
      <c r="O297" s="361">
        <f>SUM(O293,O285,O248,O240,O172,O145,O133,O91,O67)</f>
        <v>14085.926968831169</v>
      </c>
      <c r="P297" s="410"/>
      <c r="Q297" s="361">
        <f>SUM(Q293,Q285,Q248,Q240,Q172,Q145,Q133,Q91,Q67)</f>
        <v>0</v>
      </c>
      <c r="R297" s="410"/>
      <c r="S297" s="361">
        <f>SUM(S293,S285,S248,S240,S172,S145,S133,S91,S67)</f>
        <v>61066.284753496315</v>
      </c>
      <c r="T297" s="411"/>
    </row>
    <row r="298" spans="2:20" x14ac:dyDescent="0.25">
      <c r="J298" s="412"/>
      <c r="K298" s="412"/>
      <c r="L298" s="412"/>
      <c r="M298" s="412"/>
      <c r="N298" s="412"/>
      <c r="O298" s="412"/>
      <c r="P298" s="412"/>
      <c r="Q298" s="412"/>
      <c r="R298" s="412"/>
      <c r="S298" s="412"/>
      <c r="T298" s="412"/>
    </row>
  </sheetData>
  <mergeCells count="5">
    <mergeCell ref="J2:K2"/>
    <mergeCell ref="L2:M2"/>
    <mergeCell ref="N2:O2"/>
    <mergeCell ref="P2:Q2"/>
    <mergeCell ref="R2:S2"/>
  </mergeCells>
  <printOptions horizontalCentered="1"/>
  <pageMargins left="0.25" right="0.25" top="0.75" bottom="0.75" header="0.3" footer="0.3"/>
  <pageSetup paperSize="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3A031"/>
  </sheetPr>
  <dimension ref="A1:R14"/>
  <sheetViews>
    <sheetView topLeftCell="O1" workbookViewId="0">
      <selection activeCell="R4" sqref="R4"/>
    </sheetView>
  </sheetViews>
  <sheetFormatPr defaultRowHeight="15" x14ac:dyDescent="0.25"/>
  <cols>
    <col min="1" max="1" width="30.85546875" customWidth="1"/>
    <col min="2" max="2" width="13.28515625" customWidth="1"/>
    <col min="3" max="3" width="10.28515625" customWidth="1"/>
    <col min="4" max="4" width="30.85546875" customWidth="1"/>
    <col min="5" max="5" width="22" bestFit="1" customWidth="1"/>
    <col min="7" max="7" width="30.85546875" customWidth="1"/>
    <col min="8" max="8" width="23.85546875" bestFit="1" customWidth="1"/>
    <col min="10" max="10" width="30.85546875" customWidth="1"/>
    <col min="11" max="11" width="20.140625" bestFit="1" customWidth="1"/>
    <col min="13" max="13" width="30.85546875" customWidth="1"/>
    <col min="14" max="14" width="14" bestFit="1" customWidth="1"/>
    <col min="15" max="15" width="13.28515625" bestFit="1" customWidth="1"/>
    <col min="16" max="16" width="12.7109375" customWidth="1"/>
    <col min="18" max="18" width="30.85546875" customWidth="1"/>
    <col min="19" max="19" width="16.28515625" bestFit="1" customWidth="1"/>
    <col min="20" max="20" width="7.28515625" customWidth="1"/>
    <col min="21" max="21" width="11.28515625" customWidth="1"/>
    <col min="22" max="22" width="6.85546875" customWidth="1"/>
    <col min="23" max="23" width="7.28515625" customWidth="1"/>
    <col min="24" max="24" width="6.85546875" customWidth="1"/>
    <col min="25" max="25" width="7.28515625" customWidth="1"/>
    <col min="26" max="26" width="6.85546875" customWidth="1"/>
    <col min="27" max="27" width="9.140625" customWidth="1"/>
    <col min="28" max="28" width="7.28515625" customWidth="1"/>
    <col min="29" max="29" width="12.140625" customWidth="1"/>
    <col min="30" max="30" width="11.28515625" customWidth="1"/>
    <col min="31" max="31" width="7.28515625" customWidth="1"/>
    <col min="32" max="32" width="6.85546875" customWidth="1"/>
    <col min="33" max="33" width="9.140625" customWidth="1"/>
    <col min="34" max="35" width="12.140625" customWidth="1"/>
    <col min="36" max="36" width="11.28515625" customWidth="1"/>
    <col min="37" max="38" width="12.140625" customWidth="1"/>
    <col min="39" max="39" width="11.28515625" customWidth="1"/>
    <col min="40" max="40" width="6.85546875" customWidth="1"/>
    <col min="41" max="41" width="7.28515625" customWidth="1"/>
    <col min="42" max="42" width="6.85546875" customWidth="1"/>
    <col min="43" max="43" width="7.28515625" customWidth="1"/>
    <col min="44" max="44" width="6.85546875" customWidth="1"/>
    <col min="45" max="45" width="12.140625" customWidth="1"/>
    <col min="46" max="47" width="12.140625" bestFit="1" customWidth="1"/>
    <col min="48" max="48" width="11.28515625" customWidth="1"/>
    <col min="50" max="51" width="12.140625" bestFit="1" customWidth="1"/>
    <col min="52" max="52" width="6.85546875" customWidth="1"/>
    <col min="53" max="54" width="12.140625" bestFit="1" customWidth="1"/>
    <col min="55" max="55" width="11.28515625" bestFit="1" customWidth="1"/>
  </cols>
  <sheetData>
    <row r="1" spans="1:18" x14ac:dyDescent="0.25">
      <c r="I1" t="s">
        <v>448</v>
      </c>
    </row>
    <row r="3" spans="1:18" x14ac:dyDescent="0.25">
      <c r="A3" s="419" t="s">
        <v>442</v>
      </c>
      <c r="B3" t="s">
        <v>445</v>
      </c>
    </row>
    <row r="4" spans="1:18" x14ac:dyDescent="0.25">
      <c r="A4" s="420" t="s">
        <v>408</v>
      </c>
      <c r="B4" s="421">
        <v>13305.412675246735</v>
      </c>
      <c r="D4" s="419" t="s">
        <v>442</v>
      </c>
      <c r="E4" t="s">
        <v>444</v>
      </c>
      <c r="G4" s="419" t="s">
        <v>442</v>
      </c>
      <c r="H4" t="s">
        <v>446</v>
      </c>
      <c r="J4" s="419" t="s">
        <v>442</v>
      </c>
      <c r="K4" t="s">
        <v>447</v>
      </c>
      <c r="M4" s="419" t="s">
        <v>442</v>
      </c>
      <c r="N4" t="s">
        <v>449</v>
      </c>
      <c r="O4" t="s">
        <v>445</v>
      </c>
      <c r="P4" t="s">
        <v>450</v>
      </c>
      <c r="R4" s="419" t="s">
        <v>442</v>
      </c>
    </row>
    <row r="5" spans="1:18" x14ac:dyDescent="0.25">
      <c r="A5" s="420" t="s">
        <v>406</v>
      </c>
      <c r="B5" s="421">
        <v>10192.16907634105</v>
      </c>
      <c r="D5" s="420" t="s">
        <v>406</v>
      </c>
      <c r="E5" s="421">
        <v>8540.5856062111798</v>
      </c>
      <c r="G5" s="420" t="s">
        <v>408</v>
      </c>
      <c r="H5" s="421">
        <v>7040</v>
      </c>
      <c r="J5" s="420" t="s">
        <v>408</v>
      </c>
      <c r="K5" s="421">
        <v>3690.9714285714281</v>
      </c>
      <c r="M5" s="420" t="s">
        <v>406</v>
      </c>
      <c r="N5" s="421">
        <v>1528.8253614511614</v>
      </c>
      <c r="O5" s="421">
        <v>10192.16907634105</v>
      </c>
      <c r="P5" s="422">
        <v>0.15000000000000038</v>
      </c>
      <c r="R5" s="420" t="s">
        <v>406</v>
      </c>
    </row>
    <row r="6" spans="1:18" x14ac:dyDescent="0.25">
      <c r="A6" s="420" t="s">
        <v>413</v>
      </c>
      <c r="B6" s="421">
        <v>8936.6114285714284</v>
      </c>
      <c r="D6" s="420" t="s">
        <v>405</v>
      </c>
      <c r="E6" s="421">
        <v>4636.42238</v>
      </c>
      <c r="G6" s="420" t="s">
        <v>413</v>
      </c>
      <c r="H6" s="421">
        <v>5818</v>
      </c>
      <c r="J6" s="420" t="s">
        <v>413</v>
      </c>
      <c r="K6" s="421">
        <v>2803.6114285714289</v>
      </c>
      <c r="M6" s="420" t="s">
        <v>408</v>
      </c>
      <c r="N6" s="421">
        <v>1995.8119012870047</v>
      </c>
      <c r="O6" s="421">
        <v>13305.412675246735</v>
      </c>
      <c r="P6" s="422">
        <v>0.14999999999999958</v>
      </c>
      <c r="R6" s="420" t="s">
        <v>408</v>
      </c>
    </row>
    <row r="7" spans="1:18" x14ac:dyDescent="0.25">
      <c r="A7" s="420" t="s">
        <v>411</v>
      </c>
      <c r="B7" s="421">
        <v>7646.4680909090912</v>
      </c>
      <c r="D7" s="420" t="s">
        <v>407</v>
      </c>
      <c r="E7" s="421">
        <v>4003.9952608695653</v>
      </c>
      <c r="G7" s="420" t="s">
        <v>411</v>
      </c>
      <c r="H7" s="421">
        <v>2472</v>
      </c>
      <c r="J7" s="420" t="s">
        <v>411</v>
      </c>
      <c r="K7" s="421">
        <v>2674.3450000000003</v>
      </c>
      <c r="M7" s="420" t="s">
        <v>405</v>
      </c>
      <c r="N7" s="421">
        <v>808.21695323376662</v>
      </c>
      <c r="O7" s="421">
        <v>5388.1130215584417</v>
      </c>
      <c r="P7" s="422">
        <v>0.15000000000000008</v>
      </c>
      <c r="R7" s="420" t="s">
        <v>405</v>
      </c>
    </row>
    <row r="8" spans="1:18" x14ac:dyDescent="0.25">
      <c r="A8" s="420" t="s">
        <v>409</v>
      </c>
      <c r="B8" s="421">
        <v>6197</v>
      </c>
      <c r="D8" s="420" t="s">
        <v>409</v>
      </c>
      <c r="E8" s="421">
        <v>3020.25</v>
      </c>
      <c r="G8" s="420" t="s">
        <v>407</v>
      </c>
      <c r="H8" s="421">
        <v>1138</v>
      </c>
      <c r="J8" s="420" t="s">
        <v>409</v>
      </c>
      <c r="K8" s="421">
        <v>2390.75</v>
      </c>
      <c r="M8" s="420" t="s">
        <v>412</v>
      </c>
      <c r="N8" s="421">
        <v>308.86052999999993</v>
      </c>
      <c r="O8" s="421">
        <v>2059.0702000000001</v>
      </c>
      <c r="P8" s="422">
        <v>0.14999999999999997</v>
      </c>
      <c r="R8" s="420" t="s">
        <v>412</v>
      </c>
    </row>
    <row r="9" spans="1:18" x14ac:dyDescent="0.25">
      <c r="A9" s="420" t="s">
        <v>407</v>
      </c>
      <c r="B9" s="421">
        <v>5790.3952608695654</v>
      </c>
      <c r="D9" s="420" t="s">
        <v>408</v>
      </c>
      <c r="E9" s="421">
        <v>2574.4412466753051</v>
      </c>
      <c r="G9" s="420" t="s">
        <v>406</v>
      </c>
      <c r="H9" s="421">
        <v>988</v>
      </c>
      <c r="J9" s="420" t="s">
        <v>406</v>
      </c>
      <c r="K9" s="421">
        <v>663.58347012987008</v>
      </c>
      <c r="M9" s="420" t="s">
        <v>413</v>
      </c>
      <c r="N9" s="421">
        <v>1340.4917142857121</v>
      </c>
      <c r="O9" s="421">
        <v>8936.6114285714284</v>
      </c>
      <c r="P9" s="422">
        <v>0.14999999999999974</v>
      </c>
      <c r="R9" s="420" t="s">
        <v>413</v>
      </c>
    </row>
    <row r="10" spans="1:18" x14ac:dyDescent="0.25">
      <c r="A10" s="420" t="s">
        <v>405</v>
      </c>
      <c r="B10" s="421">
        <v>5388.1130215584417</v>
      </c>
      <c r="D10" s="420" t="s">
        <v>411</v>
      </c>
      <c r="E10" s="421">
        <v>2500.1230909090909</v>
      </c>
      <c r="G10" s="420" t="s">
        <v>409</v>
      </c>
      <c r="H10" s="421">
        <v>786</v>
      </c>
      <c r="J10" s="420" t="s">
        <v>407</v>
      </c>
      <c r="K10" s="421">
        <v>648.40000000000009</v>
      </c>
      <c r="M10" s="420" t="s">
        <v>410</v>
      </c>
      <c r="N10" s="421">
        <v>232.6567500000001</v>
      </c>
      <c r="O10" s="421">
        <v>1551.0449999999998</v>
      </c>
      <c r="P10" s="422">
        <v>0.15000000000000008</v>
      </c>
      <c r="R10" s="420" t="s">
        <v>410</v>
      </c>
    </row>
    <row r="11" spans="1:18" x14ac:dyDescent="0.25">
      <c r="A11" s="420" t="s">
        <v>412</v>
      </c>
      <c r="B11" s="421">
        <v>2059.0702000000001</v>
      </c>
      <c r="D11" s="420" t="s">
        <v>410</v>
      </c>
      <c r="E11" s="421">
        <v>1296.4199999999998</v>
      </c>
      <c r="G11" s="420" t="s">
        <v>412</v>
      </c>
      <c r="H11" s="421">
        <v>465</v>
      </c>
      <c r="J11" s="420" t="s">
        <v>412</v>
      </c>
      <c r="K11" s="421">
        <v>623.1</v>
      </c>
      <c r="M11" s="420" t="s">
        <v>409</v>
      </c>
      <c r="N11" s="421">
        <v>929.54999999999927</v>
      </c>
      <c r="O11" s="421">
        <v>6197</v>
      </c>
      <c r="P11" s="422">
        <v>0.14999999999999988</v>
      </c>
      <c r="R11" s="420" t="s">
        <v>409</v>
      </c>
    </row>
    <row r="12" spans="1:18" x14ac:dyDescent="0.25">
      <c r="A12" s="420" t="s">
        <v>410</v>
      </c>
      <c r="B12" s="421">
        <v>1551.0449999999998</v>
      </c>
      <c r="D12" s="420" t="s">
        <v>412</v>
      </c>
      <c r="E12" s="421">
        <v>970.9702000000002</v>
      </c>
      <c r="G12" s="420" t="s">
        <v>405</v>
      </c>
      <c r="H12" s="421">
        <v>352.15</v>
      </c>
      <c r="J12" s="420" t="s">
        <v>405</v>
      </c>
      <c r="K12" s="421">
        <v>399.54064155844151</v>
      </c>
      <c r="M12" s="420" t="s">
        <v>411</v>
      </c>
      <c r="N12" s="421">
        <v>1146.970213636363</v>
      </c>
      <c r="O12" s="421">
        <v>7646.4680909090912</v>
      </c>
      <c r="P12" s="422">
        <v>0.14999999999999991</v>
      </c>
      <c r="R12" s="420" t="s">
        <v>411</v>
      </c>
    </row>
    <row r="13" spans="1:18" x14ac:dyDescent="0.25">
      <c r="A13" s="420" t="s">
        <v>443</v>
      </c>
      <c r="B13" s="421">
        <v>61066.284753496308</v>
      </c>
      <c r="D13" s="420" t="s">
        <v>413</v>
      </c>
      <c r="E13" s="421">
        <v>315</v>
      </c>
      <c r="G13" s="420" t="s">
        <v>410</v>
      </c>
      <c r="H13" s="421">
        <v>63</v>
      </c>
      <c r="J13" s="420" t="s">
        <v>410</v>
      </c>
      <c r="K13" s="421">
        <v>191.625</v>
      </c>
      <c r="M13" s="420" t="s">
        <v>407</v>
      </c>
      <c r="N13" s="421">
        <v>868.5592891304359</v>
      </c>
      <c r="O13" s="421">
        <v>5790.3952608695654</v>
      </c>
      <c r="P13" s="422">
        <v>0.15000000000000019</v>
      </c>
      <c r="R13" s="420" t="s">
        <v>407</v>
      </c>
    </row>
    <row r="14" spans="1:18" x14ac:dyDescent="0.25">
      <c r="D14" s="420" t="s">
        <v>443</v>
      </c>
      <c r="E14" s="421">
        <v>27858.207784665141</v>
      </c>
      <c r="G14" s="420" t="s">
        <v>443</v>
      </c>
      <c r="H14" s="421">
        <v>19122.150000000001</v>
      </c>
      <c r="J14" s="420" t="s">
        <v>443</v>
      </c>
      <c r="K14" s="421">
        <v>14085.926968831167</v>
      </c>
      <c r="M14" s="420" t="s">
        <v>443</v>
      </c>
      <c r="N14" s="421">
        <v>9159.9427130244439</v>
      </c>
      <c r="O14" s="421">
        <v>61066.284753496308</v>
      </c>
      <c r="P14" s="422">
        <v>0.14999999999999997</v>
      </c>
      <c r="R14" s="420" t="s">
        <v>443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M57"/>
  <sheetViews>
    <sheetView topLeftCell="A13" workbookViewId="0">
      <selection activeCell="F47" sqref="F47:H57"/>
    </sheetView>
  </sheetViews>
  <sheetFormatPr defaultRowHeight="15" x14ac:dyDescent="0.25"/>
  <cols>
    <col min="3" max="3" width="30.28515625" customWidth="1"/>
    <col min="4" max="4" width="15.140625" customWidth="1"/>
    <col min="5" max="5" width="17.7109375" customWidth="1"/>
    <col min="6" max="6" width="13.5703125" customWidth="1"/>
    <col min="7" max="7" width="12.42578125" customWidth="1"/>
    <col min="8" max="8" width="17" customWidth="1"/>
    <col min="9" max="9" width="10.7109375" customWidth="1"/>
    <col min="10" max="10" width="10.140625" customWidth="1"/>
    <col min="11" max="11" width="10.7109375" customWidth="1"/>
    <col min="12" max="12" width="10.28515625" customWidth="1"/>
    <col min="13" max="13" width="10.5703125" customWidth="1"/>
  </cols>
  <sheetData>
    <row r="2" spans="2:10" x14ac:dyDescent="0.25">
      <c r="C2" s="120" t="s">
        <v>422</v>
      </c>
    </row>
    <row r="3" spans="2:10" x14ac:dyDescent="0.25">
      <c r="B3" s="72" t="s">
        <v>404</v>
      </c>
      <c r="C3" s="120" t="s">
        <v>3</v>
      </c>
      <c r="D3" s="72" t="s">
        <v>414</v>
      </c>
      <c r="E3" s="72" t="s">
        <v>416</v>
      </c>
      <c r="F3" s="72" t="s">
        <v>415</v>
      </c>
      <c r="G3" s="72" t="s">
        <v>168</v>
      </c>
      <c r="H3" s="72" t="s">
        <v>417</v>
      </c>
      <c r="I3" s="72" t="s">
        <v>402</v>
      </c>
      <c r="J3" s="72"/>
    </row>
    <row r="4" spans="2:10" x14ac:dyDescent="0.25">
      <c r="B4" s="414">
        <v>2</v>
      </c>
      <c r="C4" t="s">
        <v>413</v>
      </c>
      <c r="D4" s="415">
        <f>'BILL OF QUANTITIES'!K67</f>
        <v>315</v>
      </c>
      <c r="E4" s="415">
        <f>'BILL OF QUANTITIES'!M67</f>
        <v>5818</v>
      </c>
      <c r="F4" s="415">
        <f>'BILL OF QUANTITIES'!O67</f>
        <v>2803.6114285714289</v>
      </c>
      <c r="G4" s="415">
        <f>SUM(D4:F4)</f>
        <v>8936.6114285714284</v>
      </c>
      <c r="H4" s="415">
        <f>'BILL OF QUANTITIES'!G67</f>
        <v>10277.10314285714</v>
      </c>
      <c r="I4" s="415">
        <f>H4-G4</f>
        <v>1340.4917142857121</v>
      </c>
      <c r="J4" s="417"/>
    </row>
    <row r="5" spans="2:10" x14ac:dyDescent="0.25">
      <c r="B5" s="414">
        <v>3</v>
      </c>
      <c r="C5" t="s">
        <v>405</v>
      </c>
      <c r="D5" s="415">
        <f>'BILL OF QUANTITIES'!K91</f>
        <v>4636.42238</v>
      </c>
      <c r="E5" s="415">
        <f>'BILL OF QUANTITIES'!M91</f>
        <v>352.15</v>
      </c>
      <c r="F5" s="415">
        <f>'BILL OF QUANTITIES'!O91</f>
        <v>399.54064155844151</v>
      </c>
      <c r="G5" s="415">
        <f>'BILL OF QUANTITIES'!S91</f>
        <v>5388.1130215584417</v>
      </c>
      <c r="H5" s="415">
        <f>'BILL OF QUANTITIES'!G91</f>
        <v>6196.3299747922083</v>
      </c>
      <c r="I5" s="415">
        <f t="shared" ref="I5:I13" si="0">H5-G5</f>
        <v>808.21695323376662</v>
      </c>
      <c r="J5" s="417"/>
    </row>
    <row r="6" spans="2:10" x14ac:dyDescent="0.25">
      <c r="B6" s="414">
        <v>4</v>
      </c>
      <c r="C6" t="s">
        <v>406</v>
      </c>
      <c r="D6" s="415">
        <f>'BILL OF QUANTITIES'!K133</f>
        <v>8540.5856062111798</v>
      </c>
      <c r="E6" s="415">
        <f>'BILL OF QUANTITIES'!M133</f>
        <v>988</v>
      </c>
      <c r="F6" s="415">
        <f>'BILL OF QUANTITIES'!O133</f>
        <v>663.58347012987008</v>
      </c>
      <c r="G6" s="415">
        <f>SUM(D6:F6)</f>
        <v>10192.16907634105</v>
      </c>
      <c r="H6" s="415">
        <f>'BILL OF QUANTITIES'!G133</f>
        <v>11720.994437792211</v>
      </c>
      <c r="I6" s="415">
        <f t="shared" si="0"/>
        <v>1528.8253614511614</v>
      </c>
      <c r="J6" s="417"/>
    </row>
    <row r="7" spans="2:10" x14ac:dyDescent="0.25">
      <c r="B7" s="414">
        <v>5</v>
      </c>
      <c r="C7" t="s">
        <v>407</v>
      </c>
      <c r="D7" s="415">
        <f>'BILL OF QUANTITIES'!K145</f>
        <v>4003.9952608695653</v>
      </c>
      <c r="E7" s="415">
        <f>'BILL OF QUANTITIES'!M145</f>
        <v>1138</v>
      </c>
      <c r="F7" s="415">
        <f>'BILL OF QUANTITIES'!O145</f>
        <v>648.40000000000009</v>
      </c>
      <c r="G7" s="415">
        <f>SUM(D7:F7)</f>
        <v>5790.3952608695654</v>
      </c>
      <c r="H7" s="415">
        <f>'BILL OF QUANTITIES'!G145</f>
        <v>6658.9545500000013</v>
      </c>
      <c r="I7" s="415">
        <f t="shared" si="0"/>
        <v>868.5592891304359</v>
      </c>
      <c r="J7" s="417"/>
    </row>
    <row r="8" spans="2:10" x14ac:dyDescent="0.25">
      <c r="B8" s="414">
        <v>6</v>
      </c>
      <c r="C8" t="s">
        <v>408</v>
      </c>
      <c r="D8" s="415">
        <f>'BILL OF QUANTITIES'!K172</f>
        <v>2574.4412466753051</v>
      </c>
      <c r="E8" s="415">
        <f>'BILL OF QUANTITIES'!M172</f>
        <v>7040</v>
      </c>
      <c r="F8" s="415">
        <f>'BILL OF QUANTITIES'!O172</f>
        <v>3690.9714285714281</v>
      </c>
      <c r="G8" s="415">
        <f>SUM(D8:F8)</f>
        <v>13305.412675246735</v>
      </c>
      <c r="H8" s="415">
        <f>'BILL OF QUANTITIES'!G172</f>
        <v>15301.224576533739</v>
      </c>
      <c r="I8" s="415">
        <f t="shared" si="0"/>
        <v>1995.8119012870047</v>
      </c>
      <c r="J8" s="417"/>
    </row>
    <row r="9" spans="2:10" x14ac:dyDescent="0.25">
      <c r="B9" s="414">
        <v>7</v>
      </c>
      <c r="C9" t="s">
        <v>409</v>
      </c>
      <c r="D9" s="415">
        <f>'BILL OF QUANTITIES'!K240</f>
        <v>3020.25</v>
      </c>
      <c r="E9" s="415">
        <f>'BILL OF QUANTITIES'!M240</f>
        <v>786</v>
      </c>
      <c r="F9" s="415">
        <f>'BILL OF QUANTITIES'!O240</f>
        <v>2390.75</v>
      </c>
      <c r="G9" s="415">
        <f>SUM(D9:F9)</f>
        <v>6197</v>
      </c>
      <c r="H9" s="415">
        <f>'BILL OF QUANTITIES'!G240</f>
        <v>7126.5499999999993</v>
      </c>
      <c r="I9" s="415">
        <f t="shared" si="0"/>
        <v>929.54999999999927</v>
      </c>
      <c r="J9" s="417"/>
    </row>
    <row r="10" spans="2:10" x14ac:dyDescent="0.25">
      <c r="B10" s="414">
        <v>8</v>
      </c>
      <c r="C10" t="s">
        <v>410</v>
      </c>
      <c r="D10" s="415">
        <f>'BILL OF QUANTITIES'!K248</f>
        <v>1296.4199999999998</v>
      </c>
      <c r="E10" s="415">
        <f>'BILL OF QUANTITIES'!M248</f>
        <v>63</v>
      </c>
      <c r="F10" s="415">
        <f>'BILL OF QUANTITIES'!O248</f>
        <v>191.625</v>
      </c>
      <c r="G10" s="415">
        <f>SUM(D10:F10)</f>
        <v>1551.0449999999998</v>
      </c>
      <c r="H10" s="415">
        <f>'BILL OF QUANTITIES'!G248</f>
        <v>1783.7017499999999</v>
      </c>
      <c r="I10" s="415">
        <f t="shared" si="0"/>
        <v>232.6567500000001</v>
      </c>
      <c r="J10" s="417"/>
    </row>
    <row r="11" spans="2:10" x14ac:dyDescent="0.25">
      <c r="B11" s="414">
        <v>9</v>
      </c>
      <c r="C11" t="s">
        <v>411</v>
      </c>
      <c r="D11" s="415">
        <f>'BILL OF QUANTITIES'!K285</f>
        <v>2500.1230909090909</v>
      </c>
      <c r="E11" s="415">
        <f>'BILL OF QUANTITIES'!M285</f>
        <v>2472</v>
      </c>
      <c r="F11" s="415">
        <f>'BILL OF QUANTITIES'!O285</f>
        <v>2674.3450000000003</v>
      </c>
      <c r="G11" s="415">
        <f t="shared" ref="G11:G12" si="1">SUM(D11:F11)</f>
        <v>7646.4680909090912</v>
      </c>
      <c r="H11" s="415">
        <f>'BILL OF QUANTITIES'!G285</f>
        <v>8793.4383045454542</v>
      </c>
      <c r="I11" s="415">
        <f t="shared" si="0"/>
        <v>1146.970213636363</v>
      </c>
      <c r="J11" s="417"/>
    </row>
    <row r="12" spans="2:10" x14ac:dyDescent="0.25">
      <c r="B12" s="414">
        <v>10</v>
      </c>
      <c r="C12" t="s">
        <v>412</v>
      </c>
      <c r="D12" s="415">
        <f>'BILL OF QUANTITIES'!K293</f>
        <v>970.9702000000002</v>
      </c>
      <c r="E12" s="415">
        <f>'BILL OF QUANTITIES'!M293</f>
        <v>465</v>
      </c>
      <c r="F12" s="415">
        <f>'BILL OF QUANTITIES'!O293</f>
        <v>623.1</v>
      </c>
      <c r="G12" s="415">
        <f t="shared" si="1"/>
        <v>2059.0702000000001</v>
      </c>
      <c r="H12" s="415">
        <f>'BILL OF QUANTITIES'!G293</f>
        <v>2367.93073</v>
      </c>
      <c r="I12" s="415">
        <f t="shared" si="0"/>
        <v>308.86052999999993</v>
      </c>
      <c r="J12" s="417"/>
    </row>
    <row r="13" spans="2:10" s="120" customFormat="1" x14ac:dyDescent="0.25">
      <c r="C13" s="120" t="s">
        <v>419</v>
      </c>
      <c r="D13" s="416">
        <f>SUM(D4:D12)</f>
        <v>27858.207784665141</v>
      </c>
      <c r="E13" s="416">
        <f>SUM(E4:E12)</f>
        <v>19122.150000000001</v>
      </c>
      <c r="F13" s="416">
        <f>SUM(F4:F12)</f>
        <v>14085.926968831171</v>
      </c>
      <c r="G13" s="416">
        <f>SUM(G4:G12)</f>
        <v>61066.284753496315</v>
      </c>
      <c r="H13" s="416">
        <f>SUM(H4:H12)</f>
        <v>70226.227466520766</v>
      </c>
      <c r="I13" s="416">
        <f t="shared" si="0"/>
        <v>9159.9427130244512</v>
      </c>
      <c r="J13" s="417"/>
    </row>
    <row r="14" spans="2:10" x14ac:dyDescent="0.25">
      <c r="D14" s="414"/>
      <c r="E14" s="414"/>
      <c r="F14" s="414"/>
      <c r="G14" s="414"/>
      <c r="H14" s="414"/>
    </row>
    <row r="15" spans="2:10" x14ac:dyDescent="0.25">
      <c r="D15" s="414"/>
      <c r="E15" s="414"/>
      <c r="F15" s="414"/>
      <c r="G15" s="414"/>
      <c r="H15" s="414"/>
    </row>
    <row r="16" spans="2:10" x14ac:dyDescent="0.25">
      <c r="C16" s="120" t="s">
        <v>423</v>
      </c>
    </row>
    <row r="17" spans="2:13" x14ac:dyDescent="0.25">
      <c r="B17" t="s">
        <v>404</v>
      </c>
      <c r="C17" s="120" t="s">
        <v>455</v>
      </c>
      <c r="D17" s="72" t="s">
        <v>253</v>
      </c>
      <c r="E17" s="72" t="s">
        <v>256</v>
      </c>
      <c r="F17" s="72" t="s">
        <v>254</v>
      </c>
      <c r="G17" s="72" t="s">
        <v>424</v>
      </c>
      <c r="H17" s="72" t="s">
        <v>257</v>
      </c>
      <c r="I17" s="72" t="s">
        <v>255</v>
      </c>
    </row>
    <row r="18" spans="2:13" x14ac:dyDescent="0.25">
      <c r="B18" s="414">
        <v>2</v>
      </c>
      <c r="C18" t="s">
        <v>413</v>
      </c>
      <c r="D18" s="414"/>
      <c r="E18" s="414"/>
      <c r="F18" s="414">
        <v>5</v>
      </c>
      <c r="G18" s="414"/>
      <c r="H18" s="414"/>
      <c r="I18" s="414">
        <v>24</v>
      </c>
    </row>
    <row r="19" spans="2:13" x14ac:dyDescent="0.25">
      <c r="B19" s="414">
        <v>3</v>
      </c>
      <c r="C19" t="s">
        <v>405</v>
      </c>
      <c r="D19" s="414">
        <v>1</v>
      </c>
      <c r="E19" s="414"/>
      <c r="F19" s="414"/>
      <c r="G19" s="414">
        <v>9</v>
      </c>
      <c r="H19" s="414"/>
      <c r="I19" s="414"/>
    </row>
    <row r="20" spans="2:13" x14ac:dyDescent="0.25">
      <c r="B20" s="414">
        <v>4</v>
      </c>
      <c r="C20" t="s">
        <v>406</v>
      </c>
      <c r="D20" s="414">
        <v>3</v>
      </c>
      <c r="E20" s="414"/>
      <c r="F20" s="414"/>
      <c r="G20" s="414">
        <v>12</v>
      </c>
      <c r="H20" s="414"/>
      <c r="I20" s="414"/>
    </row>
    <row r="21" spans="2:13" x14ac:dyDescent="0.25">
      <c r="B21" s="414">
        <v>5</v>
      </c>
      <c r="C21" t="s">
        <v>407</v>
      </c>
      <c r="D21" s="414">
        <v>3</v>
      </c>
      <c r="E21" s="414"/>
      <c r="F21" s="414"/>
      <c r="G21" s="414"/>
      <c r="H21" s="414">
        <v>9</v>
      </c>
      <c r="I21" s="414"/>
    </row>
    <row r="22" spans="2:13" x14ac:dyDescent="0.25">
      <c r="B22" s="414">
        <v>6</v>
      </c>
      <c r="C22" t="s">
        <v>408</v>
      </c>
      <c r="D22" s="414">
        <v>1</v>
      </c>
      <c r="E22" s="414"/>
      <c r="F22" s="414"/>
      <c r="G22" s="414"/>
      <c r="H22" s="414">
        <v>4</v>
      </c>
      <c r="I22" s="414"/>
    </row>
    <row r="23" spans="2:13" x14ac:dyDescent="0.25">
      <c r="B23" s="414">
        <v>7</v>
      </c>
      <c r="C23" t="s">
        <v>409</v>
      </c>
      <c r="D23" s="414">
        <v>1</v>
      </c>
      <c r="E23" s="414"/>
      <c r="F23" s="414"/>
      <c r="G23" s="414"/>
      <c r="H23" s="414">
        <v>2</v>
      </c>
      <c r="I23" s="414"/>
    </row>
    <row r="24" spans="2:13" x14ac:dyDescent="0.25">
      <c r="B24" s="414">
        <v>8</v>
      </c>
      <c r="C24" t="s">
        <v>410</v>
      </c>
      <c r="D24" s="414">
        <v>1</v>
      </c>
      <c r="E24" s="414"/>
      <c r="F24" s="414"/>
      <c r="G24" s="414"/>
      <c r="H24" s="414">
        <v>2</v>
      </c>
      <c r="I24" s="414"/>
    </row>
    <row r="25" spans="2:13" x14ac:dyDescent="0.25">
      <c r="B25" s="414">
        <v>9</v>
      </c>
      <c r="C25" t="s">
        <v>411</v>
      </c>
      <c r="D25" s="414"/>
      <c r="E25" s="414">
        <v>2</v>
      </c>
      <c r="F25" s="414"/>
      <c r="G25" s="414"/>
      <c r="H25" s="414">
        <v>4</v>
      </c>
      <c r="I25" s="414"/>
    </row>
    <row r="26" spans="2:13" x14ac:dyDescent="0.25">
      <c r="B26" s="414">
        <v>10</v>
      </c>
      <c r="C26" t="s">
        <v>412</v>
      </c>
      <c r="D26" s="414"/>
      <c r="E26" s="414">
        <v>1</v>
      </c>
      <c r="F26" s="414"/>
      <c r="G26" s="414"/>
      <c r="H26" s="414">
        <v>3</v>
      </c>
      <c r="I26" s="414"/>
    </row>
    <row r="27" spans="2:13" x14ac:dyDescent="0.25">
      <c r="C27" s="120" t="s">
        <v>426</v>
      </c>
      <c r="D27" s="72">
        <f t="shared" ref="D27:I27" si="2">SUM(D18:D26)</f>
        <v>10</v>
      </c>
      <c r="E27" s="72">
        <f t="shared" si="2"/>
        <v>3</v>
      </c>
      <c r="F27" s="72">
        <f t="shared" si="2"/>
        <v>5</v>
      </c>
      <c r="G27" s="72">
        <f t="shared" si="2"/>
        <v>21</v>
      </c>
      <c r="H27" s="72">
        <f t="shared" si="2"/>
        <v>24</v>
      </c>
      <c r="I27" s="72">
        <f t="shared" si="2"/>
        <v>24</v>
      </c>
    </row>
    <row r="30" spans="2:13" x14ac:dyDescent="0.25">
      <c r="C30" s="120" t="s">
        <v>427</v>
      </c>
    </row>
    <row r="31" spans="2:13" x14ac:dyDescent="0.25">
      <c r="C31" t="s">
        <v>428</v>
      </c>
      <c r="D31" s="72" t="s">
        <v>429</v>
      </c>
      <c r="E31" s="72" t="s">
        <v>430</v>
      </c>
      <c r="F31" s="72" t="s">
        <v>431</v>
      </c>
      <c r="G31" s="72" t="s">
        <v>432</v>
      </c>
      <c r="H31" s="72" t="s">
        <v>433</v>
      </c>
      <c r="I31" s="72" t="s">
        <v>434</v>
      </c>
      <c r="J31" s="72" t="s">
        <v>435</v>
      </c>
      <c r="K31" s="72" t="s">
        <v>436</v>
      </c>
      <c r="L31" s="72" t="s">
        <v>438</v>
      </c>
      <c r="M31" s="72" t="s">
        <v>439</v>
      </c>
    </row>
    <row r="32" spans="2:13" x14ac:dyDescent="0.25">
      <c r="B32" s="72" t="s">
        <v>404</v>
      </c>
      <c r="C32" s="120" t="s">
        <v>3</v>
      </c>
    </row>
    <row r="33" spans="2:8" x14ac:dyDescent="0.25">
      <c r="B33" s="72"/>
      <c r="C33" s="412" t="s">
        <v>437</v>
      </c>
    </row>
    <row r="34" spans="2:8" x14ac:dyDescent="0.25">
      <c r="B34" s="414">
        <v>2</v>
      </c>
      <c r="C34" t="s">
        <v>413</v>
      </c>
    </row>
    <row r="35" spans="2:8" x14ac:dyDescent="0.25">
      <c r="B35" s="414">
        <v>3</v>
      </c>
      <c r="C35" t="s">
        <v>405</v>
      </c>
    </row>
    <row r="36" spans="2:8" x14ac:dyDescent="0.25">
      <c r="B36" s="414">
        <v>4</v>
      </c>
      <c r="C36" t="s">
        <v>406</v>
      </c>
    </row>
    <row r="37" spans="2:8" x14ac:dyDescent="0.25">
      <c r="B37" s="414">
        <v>5</v>
      </c>
      <c r="C37" t="s">
        <v>407</v>
      </c>
    </row>
    <row r="38" spans="2:8" x14ac:dyDescent="0.25">
      <c r="B38" s="414">
        <v>6</v>
      </c>
      <c r="C38" t="s">
        <v>408</v>
      </c>
    </row>
    <row r="39" spans="2:8" x14ac:dyDescent="0.25">
      <c r="B39" s="414">
        <v>7</v>
      </c>
      <c r="C39" t="s">
        <v>409</v>
      </c>
    </row>
    <row r="40" spans="2:8" x14ac:dyDescent="0.25">
      <c r="B40" s="414">
        <v>8</v>
      </c>
      <c r="C40" t="s">
        <v>410</v>
      </c>
    </row>
    <row r="41" spans="2:8" x14ac:dyDescent="0.25">
      <c r="B41" s="414">
        <v>9</v>
      </c>
      <c r="C41" t="s">
        <v>411</v>
      </c>
    </row>
    <row r="42" spans="2:8" x14ac:dyDescent="0.25">
      <c r="B42" s="414">
        <v>10</v>
      </c>
      <c r="C42" t="s">
        <v>412</v>
      </c>
    </row>
    <row r="43" spans="2:8" x14ac:dyDescent="0.25">
      <c r="C43" t="s">
        <v>440</v>
      </c>
    </row>
    <row r="47" spans="2:8" x14ac:dyDescent="0.25">
      <c r="D47" s="439">
        <v>1</v>
      </c>
      <c r="E47" s="439" t="s">
        <v>511</v>
      </c>
      <c r="F47" s="439" t="s">
        <v>512</v>
      </c>
      <c r="G47" s="451">
        <v>45292</v>
      </c>
      <c r="H47" s="451">
        <v>45305</v>
      </c>
    </row>
    <row r="48" spans="2:8" x14ac:dyDescent="0.25">
      <c r="D48" s="439">
        <v>2</v>
      </c>
      <c r="E48" s="439" t="s">
        <v>513</v>
      </c>
      <c r="F48" s="439" t="s">
        <v>512</v>
      </c>
      <c r="G48" s="451">
        <v>45306</v>
      </c>
      <c r="H48" s="451">
        <v>45319</v>
      </c>
    </row>
    <row r="49" spans="4:8" ht="30" x14ac:dyDescent="0.25">
      <c r="D49" s="439">
        <v>3</v>
      </c>
      <c r="E49" s="439" t="s">
        <v>514</v>
      </c>
      <c r="F49" s="439" t="s">
        <v>515</v>
      </c>
      <c r="G49" s="451">
        <v>45320</v>
      </c>
      <c r="H49" s="451">
        <v>45329</v>
      </c>
    </row>
    <row r="50" spans="4:8" x14ac:dyDescent="0.25">
      <c r="D50" s="439">
        <v>4</v>
      </c>
      <c r="E50" s="439" t="s">
        <v>516</v>
      </c>
      <c r="F50" s="439" t="s">
        <v>517</v>
      </c>
      <c r="G50" s="451">
        <v>45330</v>
      </c>
      <c r="H50" s="451">
        <v>45350</v>
      </c>
    </row>
    <row r="51" spans="4:8" x14ac:dyDescent="0.25">
      <c r="D51" s="439">
        <v>5</v>
      </c>
      <c r="E51" s="439" t="s">
        <v>518</v>
      </c>
      <c r="F51" s="439" t="s">
        <v>515</v>
      </c>
      <c r="G51" s="451">
        <v>45352</v>
      </c>
      <c r="H51" s="451">
        <v>45361</v>
      </c>
    </row>
    <row r="52" spans="4:8" x14ac:dyDescent="0.25">
      <c r="D52" s="439">
        <v>6</v>
      </c>
      <c r="E52" s="439" t="s">
        <v>519</v>
      </c>
      <c r="F52" s="439" t="s">
        <v>520</v>
      </c>
      <c r="G52" s="451">
        <v>45362</v>
      </c>
      <c r="H52" s="451">
        <v>45368</v>
      </c>
    </row>
    <row r="53" spans="4:8" ht="30" x14ac:dyDescent="0.25">
      <c r="D53" s="439">
        <v>7</v>
      </c>
      <c r="E53" s="439" t="s">
        <v>521</v>
      </c>
      <c r="F53" s="439" t="s">
        <v>520</v>
      </c>
      <c r="G53" s="451">
        <v>45369</v>
      </c>
      <c r="H53" s="451">
        <v>45375</v>
      </c>
    </row>
    <row r="54" spans="4:8" x14ac:dyDescent="0.25">
      <c r="D54" s="439">
        <v>8</v>
      </c>
      <c r="E54" s="439" t="s">
        <v>522</v>
      </c>
      <c r="F54" s="439" t="s">
        <v>523</v>
      </c>
      <c r="G54" s="451">
        <v>45376</v>
      </c>
      <c r="H54" s="451">
        <v>45379</v>
      </c>
    </row>
    <row r="55" spans="4:8" ht="30" x14ac:dyDescent="0.25">
      <c r="D55" s="439">
        <v>9</v>
      </c>
      <c r="E55" s="439" t="s">
        <v>524</v>
      </c>
      <c r="F55" s="439" t="s">
        <v>512</v>
      </c>
      <c r="G55" s="451">
        <v>45380</v>
      </c>
      <c r="H55" s="451">
        <v>45393</v>
      </c>
    </row>
    <row r="56" spans="4:8" x14ac:dyDescent="0.25">
      <c r="D56" s="439">
        <v>10</v>
      </c>
      <c r="E56" s="439" t="s">
        <v>525</v>
      </c>
      <c r="F56" s="439" t="s">
        <v>520</v>
      </c>
      <c r="G56" s="451">
        <v>45394</v>
      </c>
      <c r="H56" s="451">
        <v>45400</v>
      </c>
    </row>
    <row r="57" spans="4:8" ht="30" x14ac:dyDescent="0.25">
      <c r="D57" s="439">
        <v>11</v>
      </c>
      <c r="E57" s="439" t="s">
        <v>526</v>
      </c>
      <c r="F57" s="439" t="s">
        <v>520</v>
      </c>
      <c r="G57" s="451">
        <v>45401</v>
      </c>
      <c r="H57" s="451">
        <v>45407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J443"/>
  <sheetViews>
    <sheetView topLeftCell="A4" workbookViewId="0">
      <selection activeCell="I8" sqref="I8"/>
    </sheetView>
  </sheetViews>
  <sheetFormatPr defaultRowHeight="15" x14ac:dyDescent="0.25"/>
  <cols>
    <col min="2" max="2" width="42.28515625" customWidth="1"/>
    <col min="3" max="3" width="11.5703125" customWidth="1"/>
    <col min="4" max="4" width="9.7109375" customWidth="1"/>
    <col min="5" max="5" width="9.5703125" customWidth="1"/>
    <col min="6" max="6" width="11.42578125" customWidth="1"/>
    <col min="7" max="7" width="9.140625" customWidth="1"/>
  </cols>
  <sheetData>
    <row r="1" spans="1:6" ht="15.75" thickBot="1" x14ac:dyDescent="0.3"/>
    <row r="2" spans="1:6" ht="16.5" thickBot="1" x14ac:dyDescent="0.3">
      <c r="A2" s="92" t="s">
        <v>190</v>
      </c>
      <c r="B2" s="92" t="s">
        <v>202</v>
      </c>
    </row>
    <row r="4" spans="1:6" x14ac:dyDescent="0.25">
      <c r="B4" s="120" t="s">
        <v>27</v>
      </c>
    </row>
    <row r="5" spans="1:6" x14ac:dyDescent="0.25">
      <c r="B5" s="65" t="s">
        <v>203</v>
      </c>
    </row>
    <row r="6" spans="1:6" ht="15.75" thickBot="1" x14ac:dyDescent="0.3">
      <c r="B6" s="121"/>
    </row>
    <row r="7" spans="1:6" ht="15" customHeight="1" x14ac:dyDescent="0.25">
      <c r="B7" s="435" t="s">
        <v>194</v>
      </c>
      <c r="C7" s="168"/>
      <c r="D7" s="169" t="s">
        <v>199</v>
      </c>
      <c r="E7" s="170" t="s">
        <v>197</v>
      </c>
      <c r="F7" s="171" t="s">
        <v>196</v>
      </c>
    </row>
    <row r="8" spans="1:6" ht="15" customHeight="1" thickBot="1" x14ac:dyDescent="0.3">
      <c r="B8" s="436"/>
      <c r="C8" s="123"/>
      <c r="D8" s="122">
        <v>63</v>
      </c>
      <c r="E8" s="122">
        <v>4</v>
      </c>
      <c r="F8" s="105">
        <f>D8*E8</f>
        <v>252</v>
      </c>
    </row>
    <row r="9" spans="1:6" ht="15.75" thickBot="1" x14ac:dyDescent="0.3"/>
    <row r="10" spans="1:6" x14ac:dyDescent="0.25">
      <c r="B10" s="125" t="s">
        <v>205</v>
      </c>
      <c r="C10" s="145" t="s">
        <v>177</v>
      </c>
      <c r="D10" s="146" t="s">
        <v>178</v>
      </c>
      <c r="E10" s="146" t="s">
        <v>179</v>
      </c>
      <c r="F10" s="147" t="s">
        <v>6</v>
      </c>
    </row>
    <row r="11" spans="1:6" ht="17.25" x14ac:dyDescent="0.25">
      <c r="B11" s="126" t="s">
        <v>204</v>
      </c>
      <c r="C11" s="60">
        <f>D8</f>
        <v>63</v>
      </c>
      <c r="D11" s="61" t="s">
        <v>175</v>
      </c>
      <c r="E11" s="61">
        <v>5</v>
      </c>
      <c r="F11" s="127">
        <f>C11*E11</f>
        <v>315</v>
      </c>
    </row>
    <row r="12" spans="1:6" ht="16.5" thickBot="1" x14ac:dyDescent="0.3">
      <c r="B12" s="128" t="s">
        <v>5</v>
      </c>
      <c r="C12" s="103"/>
      <c r="D12" s="122"/>
      <c r="E12" s="103"/>
      <c r="F12" s="148">
        <f>F11/D8</f>
        <v>5</v>
      </c>
    </row>
    <row r="13" spans="1:6" ht="15.75" x14ac:dyDescent="0.25">
      <c r="B13" s="124"/>
      <c r="C13" s="1"/>
      <c r="D13" s="124"/>
      <c r="E13" s="1"/>
      <c r="F13" s="159"/>
    </row>
    <row r="14" spans="1:6" ht="16.5" thickBot="1" x14ac:dyDescent="0.3">
      <c r="B14" s="124"/>
      <c r="C14" s="1"/>
      <c r="D14" s="124"/>
      <c r="E14" s="1"/>
      <c r="F14" s="152"/>
    </row>
    <row r="15" spans="1:6" ht="18" thickBot="1" x14ac:dyDescent="0.3">
      <c r="A15" s="26"/>
      <c r="B15" s="190"/>
      <c r="C15" s="172"/>
      <c r="D15" s="173" t="s">
        <v>206</v>
      </c>
      <c r="E15" s="174" t="s">
        <v>197</v>
      </c>
      <c r="F15" s="175" t="s">
        <v>196</v>
      </c>
    </row>
    <row r="16" spans="1:6" x14ac:dyDescent="0.25">
      <c r="A16" s="26"/>
      <c r="B16" s="191"/>
      <c r="C16" s="166" t="s">
        <v>207</v>
      </c>
      <c r="D16" s="155">
        <v>12</v>
      </c>
      <c r="E16" s="155">
        <v>0.15</v>
      </c>
      <c r="F16" s="167">
        <f>D16*E16</f>
        <v>1.7999999999999998</v>
      </c>
    </row>
    <row r="17" spans="1:6" ht="23.25" x14ac:dyDescent="0.35">
      <c r="B17" s="192" t="s">
        <v>194</v>
      </c>
      <c r="C17" s="126" t="s">
        <v>210</v>
      </c>
      <c r="D17" s="61">
        <v>15</v>
      </c>
      <c r="E17" s="61">
        <v>0.2</v>
      </c>
      <c r="F17" s="167">
        <f>D17*E17</f>
        <v>3</v>
      </c>
    </row>
    <row r="18" spans="1:6" ht="17.25" x14ac:dyDescent="0.25">
      <c r="B18" s="193"/>
      <c r="C18" s="176"/>
      <c r="D18" s="177" t="s">
        <v>212</v>
      </c>
      <c r="E18" s="178" t="s">
        <v>197</v>
      </c>
      <c r="F18" s="179" t="s">
        <v>196</v>
      </c>
    </row>
    <row r="19" spans="1:6" ht="16.5" thickBot="1" x14ac:dyDescent="0.3">
      <c r="B19" s="194"/>
      <c r="C19" s="164" t="s">
        <v>211</v>
      </c>
      <c r="D19" s="122">
        <v>106</v>
      </c>
      <c r="E19" s="103"/>
      <c r="F19" s="165"/>
    </row>
    <row r="20" spans="1:6" ht="15.75" x14ac:dyDescent="0.25">
      <c r="B20" s="124"/>
      <c r="C20" s="1"/>
      <c r="D20" s="124"/>
      <c r="E20" s="1"/>
      <c r="F20" s="152"/>
    </row>
    <row r="21" spans="1:6" ht="16.5" thickBot="1" x14ac:dyDescent="0.3">
      <c r="B21" s="180" t="s">
        <v>213</v>
      </c>
      <c r="C21" s="1"/>
      <c r="D21" s="124"/>
      <c r="E21" s="1"/>
      <c r="F21" s="152"/>
    </row>
    <row r="22" spans="1:6" x14ac:dyDescent="0.25">
      <c r="B22" s="125" t="s">
        <v>205</v>
      </c>
      <c r="C22" s="145" t="s">
        <v>177</v>
      </c>
      <c r="D22" s="146" t="s">
        <v>178</v>
      </c>
      <c r="E22" s="157" t="s">
        <v>179</v>
      </c>
      <c r="F22" s="158" t="s">
        <v>6</v>
      </c>
    </row>
    <row r="23" spans="1:6" ht="30" x14ac:dyDescent="0.25">
      <c r="B23" s="153" t="s">
        <v>50</v>
      </c>
      <c r="C23" s="75"/>
      <c r="D23" s="156"/>
      <c r="E23" s="60"/>
      <c r="F23" s="154"/>
    </row>
    <row r="24" spans="1:6" x14ac:dyDescent="0.25">
      <c r="B24" s="75" t="s">
        <v>208</v>
      </c>
      <c r="C24" s="161">
        <f>F16</f>
        <v>1.7999999999999998</v>
      </c>
      <c r="D24" s="69" t="s">
        <v>45</v>
      </c>
      <c r="E24" s="61">
        <v>5</v>
      </c>
      <c r="F24" s="183">
        <f>C24*E24</f>
        <v>9</v>
      </c>
    </row>
    <row r="25" spans="1:6" ht="15.75" x14ac:dyDescent="0.25">
      <c r="B25" s="75" t="s">
        <v>209</v>
      </c>
      <c r="C25" s="75"/>
      <c r="D25" s="156"/>
      <c r="E25" s="60"/>
      <c r="F25" s="154">
        <f>F24/D16</f>
        <v>0.75</v>
      </c>
    </row>
    <row r="26" spans="1:6" ht="15.75" x14ac:dyDescent="0.25">
      <c r="B26" s="186" t="s">
        <v>5</v>
      </c>
      <c r="C26" s="186"/>
      <c r="D26" s="187"/>
      <c r="E26" s="188"/>
      <c r="F26" s="119">
        <f>F24/D16</f>
        <v>0.75</v>
      </c>
    </row>
    <row r="27" spans="1:6" x14ac:dyDescent="0.25">
      <c r="B27" s="75" t="s">
        <v>51</v>
      </c>
      <c r="C27" s="182">
        <f>F17</f>
        <v>3</v>
      </c>
      <c r="D27" s="69" t="s">
        <v>45</v>
      </c>
      <c r="E27" s="61">
        <v>15</v>
      </c>
      <c r="F27" s="183">
        <f>C27*E27</f>
        <v>45</v>
      </c>
    </row>
    <row r="28" spans="1:6" ht="15.75" x14ac:dyDescent="0.25">
      <c r="B28" s="186" t="s">
        <v>5</v>
      </c>
      <c r="C28" s="186"/>
      <c r="D28" s="189"/>
      <c r="E28" s="188"/>
      <c r="F28" s="119">
        <f>F27/D17</f>
        <v>3</v>
      </c>
    </row>
    <row r="29" spans="1:6" ht="15.75" x14ac:dyDescent="0.25">
      <c r="A29" s="101"/>
      <c r="B29" s="121"/>
      <c r="C29" s="181"/>
      <c r="D29" s="181"/>
      <c r="E29" s="1"/>
      <c r="F29" s="1"/>
    </row>
    <row r="30" spans="1:6" ht="16.5" thickBot="1" x14ac:dyDescent="0.3">
      <c r="A30" s="101"/>
      <c r="B30" s="121"/>
      <c r="C30" s="181"/>
      <c r="D30" s="181"/>
      <c r="E30" s="1"/>
      <c r="F30" s="1"/>
    </row>
    <row r="31" spans="1:6" ht="16.5" thickBot="1" x14ac:dyDescent="0.3">
      <c r="A31" s="92" t="s">
        <v>217</v>
      </c>
      <c r="B31" s="92" t="s">
        <v>223</v>
      </c>
      <c r="C31" s="207"/>
      <c r="D31" s="208"/>
    </row>
    <row r="32" spans="1:6" ht="15.75" x14ac:dyDescent="0.25">
      <c r="A32" s="102"/>
      <c r="B32" s="102"/>
      <c r="C32" s="214"/>
      <c r="D32" s="214"/>
    </row>
    <row r="33" spans="1:6" ht="16.5" thickBot="1" x14ac:dyDescent="0.3">
      <c r="A33" s="200"/>
      <c r="B33" s="204" t="s">
        <v>224</v>
      </c>
      <c r="C33" s="206"/>
    </row>
    <row r="34" spans="1:6" ht="15.75" customHeight="1" x14ac:dyDescent="0.25">
      <c r="A34" s="203"/>
      <c r="B34" s="432" t="s">
        <v>194</v>
      </c>
      <c r="C34" s="212" t="s">
        <v>222</v>
      </c>
      <c r="D34" s="169" t="s">
        <v>206</v>
      </c>
      <c r="E34" s="170" t="s">
        <v>197</v>
      </c>
      <c r="F34" s="171" t="s">
        <v>196</v>
      </c>
    </row>
    <row r="35" spans="1:6" ht="15.75" customHeight="1" x14ac:dyDescent="0.25">
      <c r="A35" s="203"/>
      <c r="B35" s="433"/>
      <c r="C35" s="126" t="s">
        <v>195</v>
      </c>
      <c r="D35" s="70">
        <v>11</v>
      </c>
      <c r="E35" s="60">
        <f>0.68*1.05</f>
        <v>0.71400000000000008</v>
      </c>
      <c r="F35" s="220">
        <f>D35*E35</f>
        <v>7.854000000000001</v>
      </c>
    </row>
    <row r="36" spans="1:6" ht="16.5" customHeight="1" x14ac:dyDescent="0.25">
      <c r="A36" s="203"/>
      <c r="B36" s="433"/>
      <c r="C36" s="126" t="s">
        <v>198</v>
      </c>
      <c r="D36" s="70">
        <v>11</v>
      </c>
      <c r="E36" s="60">
        <f>5.2*1.05</f>
        <v>5.4600000000000009</v>
      </c>
      <c r="F36" s="220">
        <f>D36*E36</f>
        <v>60.060000000000009</v>
      </c>
    </row>
    <row r="37" spans="1:6" ht="16.5" thickBot="1" x14ac:dyDescent="0.3">
      <c r="A37" s="203"/>
      <c r="B37" s="210"/>
      <c r="C37" s="164" t="s">
        <v>221</v>
      </c>
      <c r="D37" s="122">
        <v>11</v>
      </c>
      <c r="E37" s="213">
        <f>0.84*1.05</f>
        <v>0.88200000000000001</v>
      </c>
      <c r="F37" s="219">
        <f>D37*E37</f>
        <v>9.702</v>
      </c>
    </row>
    <row r="38" spans="1:6" s="218" customFormat="1" ht="16.5" thickBot="1" x14ac:dyDescent="0.3">
      <c r="A38" s="203"/>
      <c r="B38" s="102"/>
      <c r="C38" s="214"/>
      <c r="D38" s="215"/>
      <c r="E38" s="216"/>
      <c r="F38" s="217"/>
    </row>
    <row r="39" spans="1:6" s="218" customFormat="1" ht="15.75" x14ac:dyDescent="0.25">
      <c r="A39" s="203"/>
      <c r="B39" s="227" t="s">
        <v>228</v>
      </c>
      <c r="C39" s="130" t="s">
        <v>177</v>
      </c>
      <c r="D39" s="131" t="s">
        <v>178</v>
      </c>
      <c r="E39" s="131" t="s">
        <v>179</v>
      </c>
      <c r="F39" s="144" t="s">
        <v>6</v>
      </c>
    </row>
    <row r="40" spans="1:6" s="218" customFormat="1" ht="15.75" x14ac:dyDescent="0.25">
      <c r="A40" s="203"/>
      <c r="B40" s="226" t="s">
        <v>229</v>
      </c>
      <c r="C40" s="222"/>
      <c r="D40" s="223"/>
      <c r="E40" s="224"/>
      <c r="F40" s="225"/>
    </row>
    <row r="41" spans="1:6" s="218" customFormat="1" ht="17.25" x14ac:dyDescent="0.25">
      <c r="A41" s="203"/>
      <c r="B41" s="132" t="s">
        <v>180</v>
      </c>
      <c r="C41" s="163">
        <f>F35</f>
        <v>7.854000000000001</v>
      </c>
      <c r="D41" s="61" t="s">
        <v>181</v>
      </c>
      <c r="E41" s="78">
        <v>15</v>
      </c>
      <c r="F41" s="127">
        <f>C41*E41</f>
        <v>117.81000000000002</v>
      </c>
    </row>
    <row r="42" spans="1:6" s="218" customFormat="1" ht="15.75" x14ac:dyDescent="0.25">
      <c r="A42" s="203"/>
      <c r="B42" s="132" t="s">
        <v>182</v>
      </c>
      <c r="C42" s="106">
        <f>F36</f>
        <v>60.060000000000009</v>
      </c>
      <c r="D42" s="61"/>
      <c r="E42" s="78"/>
      <c r="F42" s="133"/>
    </row>
    <row r="43" spans="1:6" s="218" customFormat="1" ht="15.75" x14ac:dyDescent="0.25">
      <c r="A43" s="203"/>
      <c r="B43" s="134" t="s">
        <v>183</v>
      </c>
      <c r="C43" s="77">
        <v>1</v>
      </c>
      <c r="D43" s="61"/>
      <c r="E43" s="1"/>
      <c r="F43" s="133"/>
    </row>
    <row r="44" spans="1:6" s="218" customFormat="1" ht="15.75" x14ac:dyDescent="0.25">
      <c r="A44" s="203"/>
      <c r="B44" s="134"/>
      <c r="C44" s="106">
        <f>SUM(C42:C43)</f>
        <v>61.060000000000009</v>
      </c>
      <c r="D44" s="61" t="s">
        <v>184</v>
      </c>
      <c r="E44" s="78">
        <f>9+1</f>
        <v>10</v>
      </c>
      <c r="F44" s="135">
        <f>C44*E44</f>
        <v>610.60000000000014</v>
      </c>
    </row>
    <row r="45" spans="1:6" s="218" customFormat="1" ht="18" thickBot="1" x14ac:dyDescent="0.3">
      <c r="A45" s="203"/>
      <c r="B45" s="132" t="s">
        <v>230</v>
      </c>
      <c r="C45" s="76">
        <f>F37</f>
        <v>9.702</v>
      </c>
      <c r="D45" s="61" t="s">
        <v>181</v>
      </c>
      <c r="E45" s="78">
        <v>12</v>
      </c>
      <c r="F45" s="135">
        <f>C45*E45</f>
        <v>116.42400000000001</v>
      </c>
    </row>
    <row r="46" spans="1:6" s="218" customFormat="1" ht="16.5" thickBot="1" x14ac:dyDescent="0.3">
      <c r="A46" s="203"/>
      <c r="B46" s="82" t="s">
        <v>168</v>
      </c>
      <c r="C46" s="82"/>
      <c r="D46" s="83"/>
      <c r="E46" s="84"/>
      <c r="F46" s="84">
        <f>SUM(F41:F45)</f>
        <v>844.83400000000017</v>
      </c>
    </row>
    <row r="47" spans="1:6" s="218" customFormat="1" ht="16.5" thickBot="1" x14ac:dyDescent="0.3">
      <c r="A47" s="203"/>
      <c r="B47" s="82" t="s">
        <v>5</v>
      </c>
      <c r="C47" s="82"/>
      <c r="D47" s="83"/>
      <c r="E47" s="84"/>
      <c r="F47" s="107">
        <f>F46/D35</f>
        <v>76.803090909090926</v>
      </c>
    </row>
    <row r="48" spans="1:6" s="218" customFormat="1" ht="15.75" x14ac:dyDescent="0.25">
      <c r="A48" s="203"/>
      <c r="B48" s="221"/>
      <c r="C48" s="214"/>
      <c r="D48" s="215"/>
      <c r="E48" s="216"/>
      <c r="F48" s="217"/>
    </row>
    <row r="49" spans="1:7" ht="16.5" thickBot="1" x14ac:dyDescent="0.3">
      <c r="A49" s="198"/>
      <c r="B49" s="200" t="s">
        <v>225</v>
      </c>
      <c r="C49" s="205"/>
    </row>
    <row r="50" spans="1:7" ht="17.25" x14ac:dyDescent="0.25">
      <c r="A50" s="198"/>
      <c r="B50" s="432" t="s">
        <v>194</v>
      </c>
      <c r="C50" s="212" t="s">
        <v>222</v>
      </c>
      <c r="D50" s="169" t="s">
        <v>206</v>
      </c>
      <c r="E50" s="170" t="s">
        <v>197</v>
      </c>
      <c r="F50" s="171" t="s">
        <v>196</v>
      </c>
    </row>
    <row r="51" spans="1:7" ht="15.75" x14ac:dyDescent="0.25">
      <c r="A51" s="198"/>
      <c r="B51" s="433"/>
      <c r="C51" s="126" t="s">
        <v>195</v>
      </c>
      <c r="D51" s="70">
        <v>8</v>
      </c>
      <c r="E51" s="60">
        <f>0.68*1.05</f>
        <v>0.71400000000000008</v>
      </c>
      <c r="F51" s="220">
        <f>D51*E51</f>
        <v>5.7120000000000006</v>
      </c>
    </row>
    <row r="52" spans="1:7" ht="15.75" x14ac:dyDescent="0.25">
      <c r="A52" s="198"/>
      <c r="B52" s="433"/>
      <c r="C52" s="126" t="s">
        <v>198</v>
      </c>
      <c r="D52" s="70">
        <v>8</v>
      </c>
      <c r="E52" s="60">
        <f>5.2*1.05</f>
        <v>5.4600000000000009</v>
      </c>
      <c r="F52" s="220">
        <f>D52*E52</f>
        <v>43.680000000000007</v>
      </c>
    </row>
    <row r="53" spans="1:7" ht="16.5" thickBot="1" x14ac:dyDescent="0.3">
      <c r="A53" s="198"/>
      <c r="B53" s="210"/>
      <c r="C53" s="164" t="s">
        <v>221</v>
      </c>
      <c r="D53" s="122">
        <v>8</v>
      </c>
      <c r="E53" s="213">
        <f>0.84*1.05</f>
        <v>0.88200000000000001</v>
      </c>
      <c r="F53" s="219">
        <f>D53*E53</f>
        <v>7.056</v>
      </c>
    </row>
    <row r="54" spans="1:7" ht="16.5" thickBot="1" x14ac:dyDescent="0.3">
      <c r="A54" s="198"/>
      <c r="B54" s="198"/>
      <c r="C54" s="199"/>
    </row>
    <row r="55" spans="1:7" ht="15.75" x14ac:dyDescent="0.25">
      <c r="A55" s="198"/>
      <c r="B55" s="227" t="s">
        <v>228</v>
      </c>
      <c r="C55" s="130" t="s">
        <v>177</v>
      </c>
      <c r="D55" s="131" t="s">
        <v>178</v>
      </c>
      <c r="E55" s="131" t="s">
        <v>179</v>
      </c>
      <c r="F55" s="144" t="s">
        <v>6</v>
      </c>
    </row>
    <row r="56" spans="1:7" ht="15.75" x14ac:dyDescent="0.25">
      <c r="A56" s="198"/>
      <c r="B56" s="226" t="s">
        <v>229</v>
      </c>
      <c r="C56" s="222"/>
      <c r="D56" s="223"/>
      <c r="E56" s="224"/>
      <c r="F56" s="225"/>
    </row>
    <row r="57" spans="1:7" ht="17.25" x14ac:dyDescent="0.25">
      <c r="A57" s="198"/>
      <c r="B57" s="132" t="s">
        <v>180</v>
      </c>
      <c r="C57" s="163">
        <f>F51</f>
        <v>5.7120000000000006</v>
      </c>
      <c r="D57" s="61" t="s">
        <v>181</v>
      </c>
      <c r="E57" s="78">
        <v>15</v>
      </c>
      <c r="F57" s="127">
        <f>C57*E57</f>
        <v>85.68</v>
      </c>
    </row>
    <row r="58" spans="1:7" ht="15.75" x14ac:dyDescent="0.25">
      <c r="A58" s="198"/>
      <c r="B58" s="132" t="s">
        <v>182</v>
      </c>
      <c r="C58" s="106">
        <f>F52</f>
        <v>43.680000000000007</v>
      </c>
      <c r="D58" s="61"/>
      <c r="E58" s="78"/>
      <c r="F58" s="133"/>
    </row>
    <row r="59" spans="1:7" ht="15.75" x14ac:dyDescent="0.25">
      <c r="A59" s="198"/>
      <c r="B59" s="134" t="s">
        <v>183</v>
      </c>
      <c r="C59" s="77">
        <v>1</v>
      </c>
      <c r="D59" s="61"/>
      <c r="E59" s="1"/>
      <c r="F59" s="133"/>
    </row>
    <row r="60" spans="1:7" ht="15.75" x14ac:dyDescent="0.25">
      <c r="A60" s="198"/>
      <c r="B60" s="134"/>
      <c r="C60" s="106">
        <f>SUM(C58:C59)</f>
        <v>44.680000000000007</v>
      </c>
      <c r="D60" s="61" t="s">
        <v>184</v>
      </c>
      <c r="E60" s="78">
        <f>9+1</f>
        <v>10</v>
      </c>
      <c r="F60" s="135">
        <f>C60*E60</f>
        <v>446.80000000000007</v>
      </c>
    </row>
    <row r="61" spans="1:7" ht="18" thickBot="1" x14ac:dyDescent="0.3">
      <c r="A61" s="198"/>
      <c r="B61" s="132" t="s">
        <v>230</v>
      </c>
      <c r="C61" s="76">
        <f>F53</f>
        <v>7.056</v>
      </c>
      <c r="D61" s="61" t="s">
        <v>181</v>
      </c>
      <c r="E61" s="78">
        <v>12</v>
      </c>
      <c r="F61" s="135">
        <f>C61*E61</f>
        <v>84.671999999999997</v>
      </c>
    </row>
    <row r="62" spans="1:7" ht="16.5" thickBot="1" x14ac:dyDescent="0.3">
      <c r="A62" s="198"/>
      <c r="B62" s="82" t="s">
        <v>168</v>
      </c>
      <c r="C62" s="82"/>
      <c r="D62" s="83"/>
      <c r="E62" s="84"/>
      <c r="F62" s="84">
        <f>SUM(F57:F61)</f>
        <v>617.15200000000004</v>
      </c>
    </row>
    <row r="63" spans="1:7" ht="16.5" thickBot="1" x14ac:dyDescent="0.3">
      <c r="A63" s="198"/>
      <c r="B63" s="82" t="s">
        <v>5</v>
      </c>
      <c r="C63" s="82"/>
      <c r="D63" s="83"/>
      <c r="E63" s="84"/>
      <c r="F63" s="107">
        <f>F62/D51</f>
        <v>77.144000000000005</v>
      </c>
    </row>
    <row r="64" spans="1:7" ht="15.75" x14ac:dyDescent="0.25">
      <c r="A64" s="198"/>
      <c r="B64" s="228"/>
      <c r="C64" s="228"/>
      <c r="D64" s="229"/>
      <c r="E64" s="230"/>
      <c r="F64" s="152"/>
      <c r="G64" s="218"/>
    </row>
    <row r="65" spans="1:6" ht="16.5" thickBot="1" x14ac:dyDescent="0.3">
      <c r="A65" s="198"/>
      <c r="B65" s="198" t="s">
        <v>227</v>
      </c>
      <c r="C65" s="199"/>
    </row>
    <row r="66" spans="1:6" ht="17.25" x14ac:dyDescent="0.25">
      <c r="A66" s="198"/>
      <c r="B66" s="432" t="s">
        <v>194</v>
      </c>
      <c r="C66" s="212" t="s">
        <v>232</v>
      </c>
      <c r="D66" s="169" t="s">
        <v>206</v>
      </c>
      <c r="E66" s="170" t="s">
        <v>197</v>
      </c>
      <c r="F66" s="171" t="s">
        <v>196</v>
      </c>
    </row>
    <row r="67" spans="1:6" ht="15.75" x14ac:dyDescent="0.25">
      <c r="A67" s="198"/>
      <c r="B67" s="433"/>
      <c r="C67" s="126" t="s">
        <v>195</v>
      </c>
      <c r="D67" s="70">
        <v>0.41</v>
      </c>
      <c r="E67" s="60">
        <f>0.68*1.05</f>
        <v>0.71400000000000008</v>
      </c>
      <c r="F67" s="220">
        <f>D67*E67</f>
        <v>0.29274</v>
      </c>
    </row>
    <row r="68" spans="1:6" ht="15.75" x14ac:dyDescent="0.25">
      <c r="A68" s="198"/>
      <c r="B68" s="433"/>
      <c r="C68" s="126" t="s">
        <v>198</v>
      </c>
      <c r="D68" s="70">
        <v>0.41</v>
      </c>
      <c r="E68" s="60">
        <f>5.2*1.05</f>
        <v>5.4600000000000009</v>
      </c>
      <c r="F68" s="220">
        <f>D68*E68</f>
        <v>2.2386000000000004</v>
      </c>
    </row>
    <row r="69" spans="1:6" ht="16.5" thickBot="1" x14ac:dyDescent="0.3">
      <c r="A69" s="198"/>
      <c r="B69" s="210"/>
      <c r="C69" s="164" t="s">
        <v>221</v>
      </c>
      <c r="D69" s="122">
        <v>0.41</v>
      </c>
      <c r="E69" s="213">
        <f>0.84*1.05</f>
        <v>0.88200000000000001</v>
      </c>
      <c r="F69" s="219">
        <f>D69*E69</f>
        <v>0.36162</v>
      </c>
    </row>
    <row r="70" spans="1:6" ht="16.5" thickBot="1" x14ac:dyDescent="0.3">
      <c r="A70" s="198"/>
      <c r="B70" s="198"/>
      <c r="C70" s="199"/>
    </row>
    <row r="71" spans="1:6" ht="15.75" x14ac:dyDescent="0.25">
      <c r="A71" s="198"/>
      <c r="B71" s="227" t="s">
        <v>228</v>
      </c>
      <c r="C71" s="130" t="s">
        <v>177</v>
      </c>
      <c r="D71" s="131" t="s">
        <v>178</v>
      </c>
      <c r="E71" s="131" t="s">
        <v>179</v>
      </c>
      <c r="F71" s="144" t="s">
        <v>6</v>
      </c>
    </row>
    <row r="72" spans="1:6" ht="15.75" x14ac:dyDescent="0.25">
      <c r="A72" s="198"/>
      <c r="B72" s="226" t="s">
        <v>249</v>
      </c>
      <c r="C72" s="222"/>
      <c r="D72" s="223"/>
      <c r="E72" s="224"/>
      <c r="F72" s="225"/>
    </row>
    <row r="73" spans="1:6" ht="17.25" x14ac:dyDescent="0.25">
      <c r="A73" s="198"/>
      <c r="B73" s="132" t="s">
        <v>180</v>
      </c>
      <c r="C73" s="163">
        <f>F67</f>
        <v>0.29274</v>
      </c>
      <c r="D73" s="61" t="s">
        <v>181</v>
      </c>
      <c r="E73" s="78">
        <v>15</v>
      </c>
      <c r="F73" s="127">
        <f>C73*E73</f>
        <v>4.3910999999999998</v>
      </c>
    </row>
    <row r="74" spans="1:6" ht="15.75" x14ac:dyDescent="0.25">
      <c r="A74" s="198"/>
      <c r="B74" s="132" t="s">
        <v>182</v>
      </c>
      <c r="C74" s="106">
        <f>F68</f>
        <v>2.2386000000000004</v>
      </c>
      <c r="D74" s="61"/>
      <c r="E74" s="78"/>
      <c r="F74" s="133"/>
    </row>
    <row r="75" spans="1:6" ht="15.75" x14ac:dyDescent="0.25">
      <c r="A75" s="198"/>
      <c r="B75" s="134" t="s">
        <v>183</v>
      </c>
      <c r="C75" s="77">
        <v>1</v>
      </c>
      <c r="D75" s="61"/>
      <c r="E75" s="1"/>
      <c r="F75" s="133"/>
    </row>
    <row r="76" spans="1:6" ht="15.75" x14ac:dyDescent="0.25">
      <c r="A76" s="198"/>
      <c r="B76" s="134"/>
      <c r="C76" s="106">
        <f>SUM(C74:C75)</f>
        <v>3.2386000000000004</v>
      </c>
      <c r="D76" s="61" t="s">
        <v>184</v>
      </c>
      <c r="E76" s="78">
        <f>9+1</f>
        <v>10</v>
      </c>
      <c r="F76" s="135">
        <f>C76*E76</f>
        <v>32.386000000000003</v>
      </c>
    </row>
    <row r="77" spans="1:6" ht="18" thickBot="1" x14ac:dyDescent="0.3">
      <c r="A77" s="198"/>
      <c r="B77" s="132" t="s">
        <v>230</v>
      </c>
      <c r="C77" s="76">
        <f>F69</f>
        <v>0.36162</v>
      </c>
      <c r="D77" s="61" t="s">
        <v>181</v>
      </c>
      <c r="E77" s="78">
        <v>12</v>
      </c>
      <c r="F77" s="135">
        <f>C77*E77</f>
        <v>4.3394399999999997</v>
      </c>
    </row>
    <row r="78" spans="1:6" ht="16.5" thickBot="1" x14ac:dyDescent="0.3">
      <c r="A78" s="198"/>
      <c r="B78" s="82" t="s">
        <v>168</v>
      </c>
      <c r="C78" s="82"/>
      <c r="D78" s="83"/>
      <c r="E78" s="84"/>
      <c r="F78" s="84">
        <f>SUM(F73:F77)</f>
        <v>41.116540000000001</v>
      </c>
    </row>
    <row r="79" spans="1:6" ht="16.5" thickBot="1" x14ac:dyDescent="0.3">
      <c r="A79" s="198"/>
      <c r="B79" s="82" t="s">
        <v>5</v>
      </c>
      <c r="C79" s="82"/>
      <c r="D79" s="83"/>
      <c r="E79" s="84"/>
      <c r="F79" s="107">
        <f>F78/D67</f>
        <v>100.28424390243903</v>
      </c>
    </row>
    <row r="80" spans="1:6" ht="15.75" x14ac:dyDescent="0.25">
      <c r="A80" s="198"/>
      <c r="B80" s="201"/>
      <c r="C80" s="202"/>
    </row>
    <row r="81" spans="1:6" ht="16.5" thickBot="1" x14ac:dyDescent="0.3">
      <c r="A81" s="102"/>
      <c r="B81" s="102" t="s">
        <v>231</v>
      </c>
      <c r="C81" s="1"/>
    </row>
    <row r="82" spans="1:6" ht="17.25" customHeight="1" x14ac:dyDescent="0.25">
      <c r="A82" s="102"/>
      <c r="B82" s="432" t="s">
        <v>194</v>
      </c>
      <c r="C82" s="212"/>
      <c r="D82" s="169" t="s">
        <v>212</v>
      </c>
      <c r="E82" s="170" t="s">
        <v>197</v>
      </c>
      <c r="F82" s="171" t="s">
        <v>196</v>
      </c>
    </row>
    <row r="83" spans="1:6" ht="15.75" customHeight="1" thickBot="1" x14ac:dyDescent="0.3">
      <c r="A83" s="102"/>
      <c r="B83" s="434"/>
      <c r="C83" s="164" t="s">
        <v>233</v>
      </c>
      <c r="D83" s="104">
        <v>15</v>
      </c>
      <c r="E83" s="103">
        <v>14.4</v>
      </c>
      <c r="F83" s="219">
        <f>D83/E83</f>
        <v>1.0416666666666667</v>
      </c>
    </row>
    <row r="84" spans="1:6" ht="16.5" thickBot="1" x14ac:dyDescent="0.3">
      <c r="A84" s="102"/>
      <c r="B84" s="102"/>
      <c r="C84" s="1"/>
    </row>
    <row r="85" spans="1:6" ht="15.75" x14ac:dyDescent="0.25">
      <c r="A85" s="102"/>
      <c r="B85" s="231" t="s">
        <v>234</v>
      </c>
      <c r="C85" s="130" t="s">
        <v>177</v>
      </c>
      <c r="D85" s="131" t="s">
        <v>178</v>
      </c>
      <c r="E85" s="131" t="s">
        <v>179</v>
      </c>
      <c r="F85" s="144" t="s">
        <v>6</v>
      </c>
    </row>
    <row r="86" spans="1:6" ht="16.5" thickBot="1" x14ac:dyDescent="0.3">
      <c r="A86" s="102"/>
      <c r="B86" s="232" t="s">
        <v>56</v>
      </c>
      <c r="C86" s="222"/>
      <c r="D86" s="223"/>
      <c r="E86" s="224"/>
      <c r="F86" s="225"/>
    </row>
    <row r="87" spans="1:6" ht="16.5" thickBot="1" x14ac:dyDescent="0.3">
      <c r="A87" s="102"/>
      <c r="B87" s="233" t="s">
        <v>235</v>
      </c>
      <c r="C87" s="234">
        <v>1</v>
      </c>
      <c r="D87" s="235" t="s">
        <v>236</v>
      </c>
      <c r="E87" s="211">
        <v>4</v>
      </c>
      <c r="F87" s="107">
        <f>C87*E87</f>
        <v>4</v>
      </c>
    </row>
    <row r="88" spans="1:6" ht="15.75" x14ac:dyDescent="0.25">
      <c r="A88" s="102"/>
      <c r="B88" s="102"/>
      <c r="C88" s="1"/>
    </row>
    <row r="89" spans="1:6" ht="16.5" thickBot="1" x14ac:dyDescent="0.3">
      <c r="A89" s="102"/>
      <c r="B89" s="102" t="s">
        <v>237</v>
      </c>
      <c r="C89" s="1"/>
    </row>
    <row r="90" spans="1:6" ht="17.25" customHeight="1" x14ac:dyDescent="0.25">
      <c r="A90" s="102"/>
      <c r="B90" s="432" t="s">
        <v>194</v>
      </c>
      <c r="C90" s="169"/>
      <c r="D90" s="169" t="s">
        <v>212</v>
      </c>
      <c r="E90" s="170" t="s">
        <v>197</v>
      </c>
      <c r="F90" s="171" t="s">
        <v>196</v>
      </c>
    </row>
    <row r="91" spans="1:6" ht="16.5" customHeight="1" x14ac:dyDescent="0.25">
      <c r="A91" s="102"/>
      <c r="B91" s="433"/>
      <c r="C91" s="60" t="s">
        <v>245</v>
      </c>
      <c r="D91" s="70">
        <v>1.78</v>
      </c>
      <c r="E91" s="61">
        <v>0</v>
      </c>
      <c r="F91" s="220"/>
    </row>
    <row r="92" spans="1:6" ht="16.5" thickBot="1" x14ac:dyDescent="0.3">
      <c r="A92" s="102"/>
      <c r="B92" s="210"/>
      <c r="C92" s="103" t="s">
        <v>246</v>
      </c>
      <c r="D92" s="104">
        <v>0.92</v>
      </c>
      <c r="E92" s="122">
        <v>0</v>
      </c>
      <c r="F92" s="237"/>
    </row>
    <row r="93" spans="1:6" ht="16.5" thickBot="1" x14ac:dyDescent="0.3">
      <c r="A93" s="102"/>
      <c r="B93" s="102"/>
      <c r="C93" s="1"/>
    </row>
    <row r="94" spans="1:6" ht="15.75" x14ac:dyDescent="0.25">
      <c r="A94" s="102"/>
      <c r="B94" s="129" t="s">
        <v>243</v>
      </c>
      <c r="C94" s="130" t="s">
        <v>177</v>
      </c>
      <c r="D94" s="131" t="s">
        <v>178</v>
      </c>
      <c r="E94" s="131" t="s">
        <v>179</v>
      </c>
      <c r="F94" s="144" t="s">
        <v>6</v>
      </c>
    </row>
    <row r="95" spans="1:6" ht="17.25" x14ac:dyDescent="0.25">
      <c r="A95" s="102"/>
      <c r="B95" s="132" t="s">
        <v>238</v>
      </c>
      <c r="C95" s="163">
        <f>D91</f>
        <v>1.78</v>
      </c>
      <c r="D95" s="61" t="s">
        <v>181</v>
      </c>
      <c r="E95" s="78">
        <v>6</v>
      </c>
      <c r="F95" s="135">
        <f>C95*E95</f>
        <v>10.68</v>
      </c>
    </row>
    <row r="96" spans="1:6" ht="15.75" x14ac:dyDescent="0.25">
      <c r="A96" s="102"/>
      <c r="B96" s="132" t="s">
        <v>239</v>
      </c>
      <c r="C96" s="106"/>
      <c r="D96" s="61"/>
      <c r="E96" s="78"/>
      <c r="F96" s="133"/>
    </row>
    <row r="97" spans="1:6" ht="16.5" thickBot="1" x14ac:dyDescent="0.3">
      <c r="A97" s="102"/>
      <c r="B97" s="132" t="s">
        <v>240</v>
      </c>
      <c r="C97" s="77">
        <v>2</v>
      </c>
      <c r="D97" s="61" t="s">
        <v>241</v>
      </c>
      <c r="E97" s="236">
        <v>2</v>
      </c>
      <c r="F97" s="135">
        <f>C97*E97</f>
        <v>4</v>
      </c>
    </row>
    <row r="98" spans="1:6" ht="16.5" thickBot="1" x14ac:dyDescent="0.3">
      <c r="A98" s="102"/>
      <c r="B98" s="82" t="s">
        <v>168</v>
      </c>
      <c r="C98" s="82"/>
      <c r="D98" s="83"/>
      <c r="E98" s="84"/>
      <c r="F98" s="84">
        <f>SUM(F95:F97)</f>
        <v>14.68</v>
      </c>
    </row>
    <row r="99" spans="1:6" ht="16.5" thickBot="1" x14ac:dyDescent="0.3">
      <c r="A99" s="102"/>
      <c r="B99" s="82" t="s">
        <v>5</v>
      </c>
      <c r="C99" s="82"/>
      <c r="D99" s="83"/>
      <c r="E99" s="84"/>
      <c r="F99" s="107">
        <f>F98*D91</f>
        <v>26.130400000000002</v>
      </c>
    </row>
    <row r="100" spans="1:6" ht="16.5" thickBot="1" x14ac:dyDescent="0.3">
      <c r="A100" s="102"/>
      <c r="B100" s="102"/>
      <c r="C100" s="1"/>
    </row>
    <row r="101" spans="1:6" ht="15.75" x14ac:dyDescent="0.25">
      <c r="A101" s="102"/>
      <c r="B101" s="129" t="s">
        <v>244</v>
      </c>
      <c r="C101" s="130" t="s">
        <v>177</v>
      </c>
      <c r="D101" s="131" t="s">
        <v>178</v>
      </c>
      <c r="E101" s="131" t="s">
        <v>179</v>
      </c>
      <c r="F101" s="144" t="s">
        <v>6</v>
      </c>
    </row>
    <row r="102" spans="1:6" ht="17.25" x14ac:dyDescent="0.25">
      <c r="A102" s="102"/>
      <c r="B102" s="132" t="s">
        <v>238</v>
      </c>
      <c r="C102" s="163">
        <v>0.92</v>
      </c>
      <c r="D102" s="61" t="s">
        <v>181</v>
      </c>
      <c r="E102" s="78">
        <v>6</v>
      </c>
      <c r="F102" s="135">
        <f>C102*E102</f>
        <v>5.5200000000000005</v>
      </c>
    </row>
    <row r="103" spans="1:6" ht="15.75" x14ac:dyDescent="0.25">
      <c r="A103" s="102"/>
      <c r="B103" s="132" t="s">
        <v>239</v>
      </c>
      <c r="C103" s="106"/>
      <c r="D103" s="61"/>
      <c r="E103" s="78"/>
      <c r="F103" s="133"/>
    </row>
    <row r="104" spans="1:6" ht="16.5" thickBot="1" x14ac:dyDescent="0.3">
      <c r="A104" s="102"/>
      <c r="B104" s="132" t="s">
        <v>240</v>
      </c>
      <c r="C104" s="77">
        <v>2</v>
      </c>
      <c r="D104" s="61" t="s">
        <v>241</v>
      </c>
      <c r="E104" s="236">
        <v>2</v>
      </c>
      <c r="F104" s="135">
        <f>C104*E104</f>
        <v>4</v>
      </c>
    </row>
    <row r="105" spans="1:6" ht="16.5" thickBot="1" x14ac:dyDescent="0.3">
      <c r="A105" s="102"/>
      <c r="B105" s="82" t="s">
        <v>168</v>
      </c>
      <c r="C105" s="82"/>
      <c r="D105" s="83"/>
      <c r="E105" s="84"/>
      <c r="F105" s="84">
        <f>SUM(F102:F104)</f>
        <v>9.52</v>
      </c>
    </row>
    <row r="106" spans="1:6" ht="16.5" thickBot="1" x14ac:dyDescent="0.3">
      <c r="A106" s="102"/>
      <c r="B106" s="82" t="s">
        <v>5</v>
      </c>
      <c r="C106" s="82"/>
      <c r="D106" s="83"/>
      <c r="E106" s="84"/>
      <c r="F106" s="107">
        <f>F105*D92</f>
        <v>8.7584</v>
      </c>
    </row>
    <row r="107" spans="1:6" ht="15.75" x14ac:dyDescent="0.25">
      <c r="A107" s="102"/>
      <c r="B107" s="228"/>
      <c r="C107" s="228"/>
      <c r="D107" s="229"/>
      <c r="E107" s="230"/>
      <c r="F107" s="152"/>
    </row>
    <row r="108" spans="1:6" ht="16.5" thickBot="1" x14ac:dyDescent="0.3">
      <c r="A108" s="102"/>
      <c r="B108" s="102" t="s">
        <v>242</v>
      </c>
      <c r="C108" s="1"/>
    </row>
    <row r="109" spans="1:6" ht="17.25" customHeight="1" x14ac:dyDescent="0.25">
      <c r="A109" s="102"/>
      <c r="B109" s="432" t="s">
        <v>194</v>
      </c>
      <c r="C109" s="212"/>
      <c r="D109" s="169" t="s">
        <v>247</v>
      </c>
      <c r="E109" s="170" t="s">
        <v>197</v>
      </c>
      <c r="F109" s="171" t="s">
        <v>196</v>
      </c>
    </row>
    <row r="110" spans="1:6" ht="16.5" customHeight="1" thickBot="1" x14ac:dyDescent="0.3">
      <c r="A110" s="102"/>
      <c r="B110" s="434"/>
      <c r="C110" s="164"/>
      <c r="D110" s="104">
        <v>50</v>
      </c>
      <c r="E110" s="122">
        <v>0</v>
      </c>
      <c r="F110" s="219"/>
    </row>
    <row r="111" spans="1:6" ht="16.5" thickBot="1" x14ac:dyDescent="0.3">
      <c r="A111" s="102"/>
      <c r="B111" s="102"/>
      <c r="C111" s="1"/>
    </row>
    <row r="112" spans="1:6" ht="15.75" x14ac:dyDescent="0.25">
      <c r="A112" s="102"/>
      <c r="B112" s="129" t="s">
        <v>248</v>
      </c>
      <c r="C112" s="130" t="s">
        <v>177</v>
      </c>
      <c r="D112" s="131" t="s">
        <v>178</v>
      </c>
      <c r="E112" s="131" t="s">
        <v>179</v>
      </c>
      <c r="F112" s="144" t="s">
        <v>6</v>
      </c>
    </row>
    <row r="113" spans="1:6" ht="18" thickBot="1" x14ac:dyDescent="0.3">
      <c r="A113" s="102"/>
      <c r="B113" s="75" t="s">
        <v>155</v>
      </c>
      <c r="C113" s="163">
        <v>50</v>
      </c>
      <c r="D113" s="61" t="s">
        <v>241</v>
      </c>
      <c r="E113" s="78">
        <v>1.2</v>
      </c>
      <c r="F113" s="135">
        <f>C113*E113</f>
        <v>60</v>
      </c>
    </row>
    <row r="114" spans="1:6" ht="16.5" thickBot="1" x14ac:dyDescent="0.3">
      <c r="A114" s="102"/>
      <c r="B114" s="82" t="s">
        <v>5</v>
      </c>
      <c r="C114" s="82"/>
      <c r="D114" s="83"/>
      <c r="E114" s="84"/>
      <c r="F114" s="107">
        <f>SUM(F113:F113)</f>
        <v>60</v>
      </c>
    </row>
    <row r="115" spans="1:6" ht="15.75" x14ac:dyDescent="0.25">
      <c r="A115" s="102"/>
      <c r="B115" s="102"/>
      <c r="C115" s="1"/>
    </row>
    <row r="116" spans="1:6" ht="16.5" thickBot="1" x14ac:dyDescent="0.3">
      <c r="A116" s="102"/>
      <c r="B116" s="102" t="s">
        <v>268</v>
      </c>
      <c r="C116" s="1"/>
    </row>
    <row r="117" spans="1:6" ht="17.25" x14ac:dyDescent="0.25">
      <c r="A117" s="102"/>
      <c r="B117" s="432" t="s">
        <v>194</v>
      </c>
      <c r="C117" s="212"/>
      <c r="D117" s="169" t="s">
        <v>269</v>
      </c>
      <c r="E117" s="170" t="s">
        <v>197</v>
      </c>
      <c r="F117" s="171" t="s">
        <v>196</v>
      </c>
    </row>
    <row r="118" spans="1:6" ht="16.5" thickBot="1" x14ac:dyDescent="0.3">
      <c r="A118" s="102"/>
      <c r="B118" s="434"/>
      <c r="C118" s="164"/>
      <c r="D118" s="104">
        <v>15</v>
      </c>
      <c r="E118" s="122">
        <v>1.5</v>
      </c>
      <c r="F118" s="219">
        <f>D118/1.5</f>
        <v>10</v>
      </c>
    </row>
    <row r="119" spans="1:6" ht="16.5" thickBot="1" x14ac:dyDescent="0.3">
      <c r="A119" s="102"/>
      <c r="B119" s="102"/>
      <c r="C119" s="1"/>
    </row>
    <row r="120" spans="1:6" ht="15.75" x14ac:dyDescent="0.25">
      <c r="A120" s="102"/>
      <c r="B120" s="129" t="s">
        <v>270</v>
      </c>
      <c r="C120" s="130" t="s">
        <v>177</v>
      </c>
      <c r="D120" s="131" t="s">
        <v>178</v>
      </c>
      <c r="E120" s="131" t="s">
        <v>179</v>
      </c>
      <c r="F120" s="144" t="s">
        <v>6</v>
      </c>
    </row>
    <row r="121" spans="1:6" ht="16.5" thickBot="1" x14ac:dyDescent="0.3">
      <c r="A121" s="102"/>
      <c r="B121" s="75" t="s">
        <v>268</v>
      </c>
      <c r="C121" s="163">
        <f>F118</f>
        <v>10</v>
      </c>
      <c r="D121" s="61" t="s">
        <v>241</v>
      </c>
      <c r="E121" s="78">
        <v>1.2</v>
      </c>
      <c r="F121" s="135">
        <f>C121*E121</f>
        <v>12</v>
      </c>
    </row>
    <row r="122" spans="1:6" ht="16.5" thickBot="1" x14ac:dyDescent="0.3">
      <c r="A122" s="102"/>
      <c r="B122" s="82" t="s">
        <v>5</v>
      </c>
      <c r="C122" s="82"/>
      <c r="D122" s="83"/>
      <c r="E122" s="84"/>
      <c r="F122" s="107">
        <f>D118/F121</f>
        <v>1.25</v>
      </c>
    </row>
    <row r="123" spans="1:6" ht="15.75" x14ac:dyDescent="0.25">
      <c r="A123" s="102"/>
      <c r="B123" s="102"/>
      <c r="C123" s="1"/>
    </row>
    <row r="124" spans="1:6" ht="15.75" thickBot="1" x14ac:dyDescent="0.3"/>
    <row r="125" spans="1:6" ht="16.5" thickBot="1" x14ac:dyDescent="0.3">
      <c r="A125" s="92" t="s">
        <v>277</v>
      </c>
      <c r="B125" s="92" t="s">
        <v>278</v>
      </c>
      <c r="C125" s="207"/>
      <c r="D125" s="208"/>
    </row>
    <row r="127" spans="1:6" ht="16.5" thickBot="1" x14ac:dyDescent="0.3">
      <c r="B127" s="201" t="s">
        <v>279</v>
      </c>
      <c r="C127" s="202"/>
    </row>
    <row r="128" spans="1:6" x14ac:dyDescent="0.25">
      <c r="B128" s="432" t="s">
        <v>194</v>
      </c>
      <c r="C128" s="247"/>
      <c r="D128" s="169" t="s">
        <v>199</v>
      </c>
      <c r="E128" s="170" t="s">
        <v>197</v>
      </c>
      <c r="F128" s="171" t="s">
        <v>196</v>
      </c>
    </row>
    <row r="129" spans="2:10" x14ac:dyDescent="0.25">
      <c r="B129" s="433"/>
      <c r="C129" s="126" t="s">
        <v>195</v>
      </c>
      <c r="D129" s="70">
        <v>152</v>
      </c>
      <c r="E129" s="61">
        <f>0.3313*10.5</f>
        <v>3.47865</v>
      </c>
      <c r="F129" s="162">
        <f>D129*E129</f>
        <v>528.75480000000005</v>
      </c>
    </row>
    <row r="130" spans="2:10" x14ac:dyDescent="0.25">
      <c r="B130" s="433"/>
      <c r="C130" s="126" t="s">
        <v>198</v>
      </c>
      <c r="D130" s="70">
        <v>152</v>
      </c>
      <c r="E130" s="61">
        <f>0.0599*1.05</f>
        <v>6.2895000000000006E-2</v>
      </c>
      <c r="F130" s="248">
        <f>D130*E130</f>
        <v>9.5600400000000008</v>
      </c>
    </row>
    <row r="131" spans="2:10" ht="16.5" thickBot="1" x14ac:dyDescent="0.3">
      <c r="B131" s="210"/>
      <c r="C131" s="164" t="s">
        <v>280</v>
      </c>
      <c r="D131" s="104">
        <v>152</v>
      </c>
      <c r="E131" s="122">
        <f>110*1.05</f>
        <v>115.5</v>
      </c>
      <c r="F131" s="105">
        <f>D131*E131</f>
        <v>17556</v>
      </c>
    </row>
    <row r="132" spans="2:10" ht="16.5" thickBot="1" x14ac:dyDescent="0.3">
      <c r="B132" s="102"/>
    </row>
    <row r="133" spans="2:10" x14ac:dyDescent="0.25">
      <c r="B133" s="129" t="s">
        <v>284</v>
      </c>
      <c r="C133" s="130" t="s">
        <v>177</v>
      </c>
      <c r="D133" s="131" t="s">
        <v>178</v>
      </c>
      <c r="E133" s="131" t="s">
        <v>179</v>
      </c>
      <c r="F133" s="144" t="s">
        <v>6</v>
      </c>
    </row>
    <row r="134" spans="2:10" ht="17.25" x14ac:dyDescent="0.25">
      <c r="B134" s="132" t="s">
        <v>180</v>
      </c>
      <c r="C134" s="163">
        <f>F129</f>
        <v>528.75480000000005</v>
      </c>
      <c r="D134" s="61" t="s">
        <v>175</v>
      </c>
      <c r="E134" s="78">
        <v>15</v>
      </c>
      <c r="F134" s="127">
        <f>C134*E134</f>
        <v>7931.322000000001</v>
      </c>
    </row>
    <row r="135" spans="2:10" x14ac:dyDescent="0.25">
      <c r="B135" s="132" t="s">
        <v>182</v>
      </c>
      <c r="C135" s="106">
        <f>F130</f>
        <v>9.5600400000000008</v>
      </c>
      <c r="D135" s="61"/>
      <c r="E135" s="78"/>
      <c r="F135" s="133"/>
    </row>
    <row r="136" spans="2:10" x14ac:dyDescent="0.25">
      <c r="B136" s="134" t="s">
        <v>183</v>
      </c>
      <c r="C136" s="76">
        <v>1</v>
      </c>
      <c r="D136" s="61"/>
      <c r="E136" s="1"/>
      <c r="F136" s="133"/>
    </row>
    <row r="137" spans="2:10" x14ac:dyDescent="0.25">
      <c r="B137" s="134"/>
      <c r="C137" s="106">
        <f>SUM(C135:C136)</f>
        <v>10.560040000000001</v>
      </c>
      <c r="D137" s="61" t="s">
        <v>184</v>
      </c>
      <c r="E137" s="78">
        <v>9</v>
      </c>
      <c r="F137" s="135">
        <v>99</v>
      </c>
      <c r="H137">
        <v>11</v>
      </c>
      <c r="I137">
        <v>9</v>
      </c>
      <c r="J137">
        <f>H137*I137</f>
        <v>99</v>
      </c>
    </row>
    <row r="138" spans="2:10" ht="15.75" thickBot="1" x14ac:dyDescent="0.3">
      <c r="B138" s="252" t="s">
        <v>281</v>
      </c>
      <c r="C138" s="253">
        <f>F131</f>
        <v>17556</v>
      </c>
      <c r="D138" s="61" t="s">
        <v>282</v>
      </c>
      <c r="E138" s="254">
        <v>0.35</v>
      </c>
      <c r="F138" s="135">
        <f>C138*E138</f>
        <v>6144.5999999999995</v>
      </c>
    </row>
    <row r="139" spans="2:10" ht="15.75" thickBot="1" x14ac:dyDescent="0.3">
      <c r="B139" s="82" t="s">
        <v>168</v>
      </c>
      <c r="C139" s="274">
        <f>SUM(C135:C137)</f>
        <v>21.120080000000002</v>
      </c>
      <c r="D139" s="83"/>
      <c r="E139" s="84"/>
      <c r="F139" s="84">
        <f>SUM(F137:F138)</f>
        <v>6243.5999999999995</v>
      </c>
    </row>
    <row r="140" spans="2:10" ht="16.5" thickBot="1" x14ac:dyDescent="0.3">
      <c r="B140" s="256" t="s">
        <v>5</v>
      </c>
      <c r="C140" s="257"/>
      <c r="D140" s="257"/>
      <c r="E140" s="258"/>
      <c r="F140" s="107">
        <f>F139/D129</f>
        <v>41.076315789473682</v>
      </c>
    </row>
    <row r="142" spans="2:10" ht="16.5" thickBot="1" x14ac:dyDescent="0.3">
      <c r="B142" s="201" t="s">
        <v>283</v>
      </c>
      <c r="C142" s="202"/>
    </row>
    <row r="143" spans="2:10" x14ac:dyDescent="0.25">
      <c r="B143" s="432" t="s">
        <v>194</v>
      </c>
      <c r="C143" s="247"/>
      <c r="D143" s="169" t="s">
        <v>199</v>
      </c>
      <c r="E143" s="170" t="s">
        <v>197</v>
      </c>
      <c r="F143" s="171" t="s">
        <v>196</v>
      </c>
    </row>
    <row r="144" spans="2:10" x14ac:dyDescent="0.25">
      <c r="B144" s="433"/>
      <c r="C144" s="126" t="s">
        <v>195</v>
      </c>
      <c r="D144" s="70">
        <v>92</v>
      </c>
      <c r="E144" s="61">
        <f>0.0236*10.5</f>
        <v>0.24779999999999999</v>
      </c>
      <c r="F144" s="162">
        <f>D144*E144</f>
        <v>22.797599999999999</v>
      </c>
    </row>
    <row r="145" spans="2:6" x14ac:dyDescent="0.25">
      <c r="B145" s="433"/>
      <c r="C145" s="126" t="s">
        <v>198</v>
      </c>
      <c r="D145" s="70">
        <v>92</v>
      </c>
      <c r="E145" s="61">
        <f>0.1301*1.05</f>
        <v>0.136605</v>
      </c>
      <c r="F145" s="248">
        <f>D145*E145</f>
        <v>12.56766</v>
      </c>
    </row>
    <row r="146" spans="2:6" ht="16.5" thickBot="1" x14ac:dyDescent="0.3">
      <c r="B146" s="210"/>
      <c r="C146" s="164" t="s">
        <v>280</v>
      </c>
      <c r="D146" s="104">
        <v>92</v>
      </c>
      <c r="E146" s="122">
        <f>55*1.05</f>
        <v>57.75</v>
      </c>
      <c r="F146" s="105">
        <f>D146*E146</f>
        <v>5313</v>
      </c>
    </row>
    <row r="147" spans="2:6" ht="16.5" thickBot="1" x14ac:dyDescent="0.3">
      <c r="B147" s="102"/>
    </row>
    <row r="148" spans="2:6" x14ac:dyDescent="0.25">
      <c r="B148" s="129" t="s">
        <v>285</v>
      </c>
      <c r="C148" s="130" t="s">
        <v>177</v>
      </c>
      <c r="D148" s="131" t="s">
        <v>178</v>
      </c>
      <c r="E148" s="131" t="s">
        <v>179</v>
      </c>
      <c r="F148" s="144" t="s">
        <v>6</v>
      </c>
    </row>
    <row r="149" spans="2:6" ht="17.25" x14ac:dyDescent="0.25">
      <c r="B149" s="132" t="s">
        <v>180</v>
      </c>
      <c r="C149" s="163">
        <f>F144</f>
        <v>22.797599999999999</v>
      </c>
      <c r="D149" s="61" t="s">
        <v>175</v>
      </c>
      <c r="E149" s="78">
        <v>15</v>
      </c>
      <c r="F149" s="127">
        <f>C149*E149</f>
        <v>341.964</v>
      </c>
    </row>
    <row r="150" spans="2:6" x14ac:dyDescent="0.25">
      <c r="B150" s="132" t="s">
        <v>182</v>
      </c>
      <c r="C150" s="106">
        <f>F145</f>
        <v>12.56766</v>
      </c>
      <c r="D150" s="61"/>
      <c r="E150" s="78"/>
      <c r="F150" s="133"/>
    </row>
    <row r="151" spans="2:6" x14ac:dyDescent="0.25">
      <c r="B151" s="134" t="s">
        <v>183</v>
      </c>
      <c r="C151" s="77">
        <v>1</v>
      </c>
      <c r="D151" s="61"/>
      <c r="E151" s="1"/>
      <c r="F151" s="133"/>
    </row>
    <row r="152" spans="2:6" x14ac:dyDescent="0.25">
      <c r="B152" s="134"/>
      <c r="C152" s="106">
        <f>SUM(C150:C151)</f>
        <v>13.56766</v>
      </c>
      <c r="D152" s="61" t="s">
        <v>184</v>
      </c>
      <c r="E152" s="78">
        <f>9+1</f>
        <v>10</v>
      </c>
      <c r="F152" s="135">
        <f>C152*E152</f>
        <v>135.67660000000001</v>
      </c>
    </row>
    <row r="153" spans="2:6" ht="15.75" thickBot="1" x14ac:dyDescent="0.3">
      <c r="B153" s="252" t="s">
        <v>281</v>
      </c>
      <c r="C153" s="253">
        <f>F146</f>
        <v>5313</v>
      </c>
      <c r="D153" s="61" t="s">
        <v>282</v>
      </c>
      <c r="E153" s="254">
        <v>0.35</v>
      </c>
      <c r="F153" s="135">
        <f>C153*E153</f>
        <v>1859.55</v>
      </c>
    </row>
    <row r="154" spans="2:6" ht="15.75" thickBot="1" x14ac:dyDescent="0.3">
      <c r="B154" s="82" t="s">
        <v>168</v>
      </c>
      <c r="C154" s="82"/>
      <c r="D154" s="83"/>
      <c r="E154" s="84"/>
      <c r="F154" s="84">
        <f>SUM(F152:F153)</f>
        <v>1995.2266</v>
      </c>
    </row>
    <row r="155" spans="2:6" ht="16.5" thickBot="1" x14ac:dyDescent="0.3">
      <c r="B155" s="256" t="s">
        <v>5</v>
      </c>
      <c r="C155" s="257"/>
      <c r="D155" s="257"/>
      <c r="E155" s="258"/>
      <c r="F155" s="255">
        <f>F154/D144</f>
        <v>21.687245652173914</v>
      </c>
    </row>
    <row r="157" spans="2:6" ht="16.5" thickBot="1" x14ac:dyDescent="0.3">
      <c r="B157" s="201" t="s">
        <v>286</v>
      </c>
      <c r="C157" s="202"/>
    </row>
    <row r="158" spans="2:6" x14ac:dyDescent="0.25">
      <c r="B158" s="432" t="s">
        <v>194</v>
      </c>
      <c r="C158" s="247"/>
      <c r="D158" s="169" t="s">
        <v>64</v>
      </c>
      <c r="E158" s="170" t="s">
        <v>197</v>
      </c>
      <c r="F158" s="171" t="s">
        <v>196</v>
      </c>
    </row>
    <row r="159" spans="2:6" x14ac:dyDescent="0.25">
      <c r="B159" s="433"/>
      <c r="C159" s="126" t="s">
        <v>287</v>
      </c>
      <c r="D159" s="70">
        <v>69</v>
      </c>
      <c r="E159" s="61">
        <v>20</v>
      </c>
      <c r="F159" s="162">
        <f>ROUNDUP(3.5,0)</f>
        <v>4</v>
      </c>
    </row>
    <row r="160" spans="2:6" x14ac:dyDescent="0.25">
      <c r="B160" s="433"/>
      <c r="C160" s="126" t="s">
        <v>288</v>
      </c>
      <c r="D160" s="70">
        <v>113</v>
      </c>
      <c r="E160" s="61">
        <v>20</v>
      </c>
      <c r="F160" s="162">
        <f>D160/E160</f>
        <v>5.65</v>
      </c>
    </row>
    <row r="161" spans="2:6" ht="16.5" thickBot="1" x14ac:dyDescent="0.3">
      <c r="B161" s="102"/>
    </row>
    <row r="162" spans="2:6" x14ac:dyDescent="0.25">
      <c r="B162" s="129" t="s">
        <v>285</v>
      </c>
      <c r="C162" s="130" t="s">
        <v>177</v>
      </c>
      <c r="D162" s="131" t="s">
        <v>178</v>
      </c>
      <c r="E162" s="131" t="s">
        <v>179</v>
      </c>
      <c r="F162" s="144" t="s">
        <v>6</v>
      </c>
    </row>
    <row r="163" spans="2:6" ht="15.75" x14ac:dyDescent="0.25">
      <c r="B163" s="244" t="s">
        <v>63</v>
      </c>
      <c r="C163" s="162">
        <f>ROUNDUP(3.5,0)</f>
        <v>4</v>
      </c>
      <c r="D163" s="61" t="s">
        <v>64</v>
      </c>
      <c r="E163" s="78">
        <v>3</v>
      </c>
      <c r="F163" s="127">
        <f>C163*E163</f>
        <v>12</v>
      </c>
    </row>
    <row r="164" spans="2:6" ht="16.5" thickBot="1" x14ac:dyDescent="0.3">
      <c r="B164" s="244" t="s">
        <v>65</v>
      </c>
      <c r="C164" s="162">
        <f>ROUNDUP(5.7,0)</f>
        <v>6</v>
      </c>
      <c r="D164" s="61" t="s">
        <v>64</v>
      </c>
      <c r="E164" s="78">
        <v>3</v>
      </c>
      <c r="F164" s="127">
        <f t="shared" ref="F164" si="0">C164*E164</f>
        <v>18</v>
      </c>
    </row>
    <row r="165" spans="2:6" ht="15.75" thickBot="1" x14ac:dyDescent="0.3">
      <c r="B165" s="82" t="s">
        <v>168</v>
      </c>
      <c r="C165" s="82"/>
      <c r="D165" s="83"/>
      <c r="E165" s="84"/>
      <c r="F165" s="127">
        <f>SUM(F163:F164)</f>
        <v>30</v>
      </c>
    </row>
    <row r="166" spans="2:6" ht="16.5" thickBot="1" x14ac:dyDescent="0.3">
      <c r="B166" s="256" t="s">
        <v>5</v>
      </c>
      <c r="C166" s="257"/>
      <c r="D166" s="257"/>
      <c r="E166" s="258"/>
      <c r="F166" s="255">
        <f>F165/D159</f>
        <v>0.43478260869565216</v>
      </c>
    </row>
    <row r="168" spans="2:6" ht="16.5" thickBot="1" x14ac:dyDescent="0.3">
      <c r="B168" s="201" t="s">
        <v>289</v>
      </c>
      <c r="C168" s="202"/>
    </row>
    <row r="169" spans="2:6" ht="17.25" x14ac:dyDescent="0.25">
      <c r="B169" s="432" t="s">
        <v>194</v>
      </c>
      <c r="C169" s="247"/>
      <c r="D169" s="169" t="s">
        <v>290</v>
      </c>
      <c r="E169" s="170" t="s">
        <v>197</v>
      </c>
      <c r="F169" s="171" t="s">
        <v>196</v>
      </c>
    </row>
    <row r="170" spans="2:6" x14ac:dyDescent="0.25">
      <c r="B170" s="433"/>
      <c r="C170" s="126" t="s">
        <v>287</v>
      </c>
      <c r="D170" s="70">
        <v>7</v>
      </c>
      <c r="E170" s="61">
        <v>22</v>
      </c>
      <c r="F170" s="162">
        <f>D170/E170</f>
        <v>0.31818181818181818</v>
      </c>
    </row>
    <row r="171" spans="2:6" x14ac:dyDescent="0.25">
      <c r="B171" s="433"/>
      <c r="C171" s="126" t="s">
        <v>288</v>
      </c>
      <c r="D171" s="70">
        <v>11</v>
      </c>
      <c r="E171" s="61">
        <v>22</v>
      </c>
      <c r="F171" s="162">
        <f>D171/E171</f>
        <v>0.5</v>
      </c>
    </row>
    <row r="172" spans="2:6" ht="16.5" thickBot="1" x14ac:dyDescent="0.3">
      <c r="B172" s="102"/>
    </row>
    <row r="173" spans="2:6" x14ac:dyDescent="0.25">
      <c r="B173" s="129" t="s">
        <v>285</v>
      </c>
      <c r="C173" s="130" t="s">
        <v>177</v>
      </c>
      <c r="D173" s="131" t="s">
        <v>178</v>
      </c>
      <c r="E173" s="131" t="s">
        <v>179</v>
      </c>
      <c r="F173" s="144" t="s">
        <v>6</v>
      </c>
    </row>
    <row r="174" spans="2:6" ht="15.75" x14ac:dyDescent="0.25">
      <c r="B174" s="244" t="s">
        <v>69</v>
      </c>
      <c r="C174" s="106">
        <f>ROUNDUP(0.3, 0)</f>
        <v>1</v>
      </c>
      <c r="D174" s="61" t="s">
        <v>64</v>
      </c>
      <c r="E174" s="78">
        <v>3</v>
      </c>
      <c r="F174" s="127">
        <f>C174*E174</f>
        <v>3</v>
      </c>
    </row>
    <row r="175" spans="2:6" ht="16.5" thickBot="1" x14ac:dyDescent="0.3">
      <c r="B175" s="246" t="s">
        <v>68</v>
      </c>
      <c r="C175" s="106">
        <f>F171</f>
        <v>0.5</v>
      </c>
      <c r="D175" s="61" t="s">
        <v>64</v>
      </c>
      <c r="E175" s="78">
        <v>3</v>
      </c>
      <c r="F175" s="127">
        <v>3</v>
      </c>
    </row>
    <row r="176" spans="2:6" ht="15.75" thickBot="1" x14ac:dyDescent="0.3">
      <c r="B176" s="82" t="s">
        <v>168</v>
      </c>
      <c r="C176" s="82"/>
      <c r="D176" s="83"/>
      <c r="E176" s="84"/>
      <c r="F176" s="127">
        <f>SUM(F174:F175)</f>
        <v>6</v>
      </c>
    </row>
    <row r="177" spans="2:6" ht="16.5" thickBot="1" x14ac:dyDescent="0.3">
      <c r="B177" s="256" t="s">
        <v>5</v>
      </c>
      <c r="C177" s="257"/>
      <c r="D177" s="257"/>
      <c r="E177" s="258"/>
      <c r="F177" s="255">
        <f>F176/D170</f>
        <v>0.8571428571428571</v>
      </c>
    </row>
    <row r="179" spans="2:6" ht="15.75" x14ac:dyDescent="0.25">
      <c r="B179" s="201" t="s">
        <v>289</v>
      </c>
      <c r="C179" s="202"/>
    </row>
    <row r="180" spans="2:6" ht="16.5" thickBot="1" x14ac:dyDescent="0.3">
      <c r="B180" s="102"/>
    </row>
    <row r="181" spans="2:6" x14ac:dyDescent="0.25">
      <c r="B181" s="129" t="s">
        <v>285</v>
      </c>
      <c r="C181" s="130" t="s">
        <v>177</v>
      </c>
      <c r="D181" s="131" t="s">
        <v>178</v>
      </c>
      <c r="E181" s="131" t="s">
        <v>179</v>
      </c>
      <c r="F181" s="144" t="s">
        <v>6</v>
      </c>
    </row>
    <row r="182" spans="2:6" ht="15.75" x14ac:dyDescent="0.25">
      <c r="B182" s="244" t="s">
        <v>273</v>
      </c>
      <c r="C182" s="106">
        <v>1</v>
      </c>
      <c r="D182" s="61" t="s">
        <v>15</v>
      </c>
      <c r="E182" s="78">
        <v>3</v>
      </c>
      <c r="F182" s="127">
        <f>C182*E182</f>
        <v>3</v>
      </c>
    </row>
    <row r="183" spans="2:6" ht="15.75" x14ac:dyDescent="0.25">
      <c r="B183" s="244" t="s">
        <v>274</v>
      </c>
      <c r="C183" s="106"/>
      <c r="D183" s="61"/>
      <c r="E183" s="78"/>
      <c r="F183" s="127"/>
    </row>
    <row r="184" spans="2:6" ht="15.75" x14ac:dyDescent="0.25">
      <c r="B184" s="244" t="s">
        <v>275</v>
      </c>
      <c r="C184" s="106"/>
      <c r="D184" s="61"/>
      <c r="E184" s="78"/>
      <c r="F184" s="127"/>
    </row>
    <row r="185" spans="2:6" ht="16.5" thickBot="1" x14ac:dyDescent="0.3">
      <c r="B185" s="244" t="s">
        <v>276</v>
      </c>
      <c r="C185" s="106">
        <v>1</v>
      </c>
      <c r="D185" s="61" t="s">
        <v>15</v>
      </c>
      <c r="E185" s="78">
        <v>3</v>
      </c>
      <c r="F185" s="127">
        <f t="shared" ref="F185" si="1">C185*E185</f>
        <v>3</v>
      </c>
    </row>
    <row r="186" spans="2:6" ht="15.75" thickBot="1" x14ac:dyDescent="0.3">
      <c r="B186" s="82" t="s">
        <v>168</v>
      </c>
      <c r="C186" s="82"/>
      <c r="D186" s="83"/>
      <c r="E186" s="84"/>
      <c r="F186" s="127">
        <f>SUM(F182:F185)</f>
        <v>6</v>
      </c>
    </row>
    <row r="187" spans="2:6" ht="16.5" thickBot="1" x14ac:dyDescent="0.3">
      <c r="B187" s="256" t="s">
        <v>5</v>
      </c>
      <c r="C187" s="257"/>
      <c r="D187" s="257"/>
      <c r="E187" s="258"/>
      <c r="F187" s="255">
        <f>F186</f>
        <v>6</v>
      </c>
    </row>
    <row r="189" spans="2:6" ht="15.75" thickBot="1" x14ac:dyDescent="0.3">
      <c r="B189" s="120" t="s">
        <v>295</v>
      </c>
    </row>
    <row r="190" spans="2:6" ht="17.25" x14ac:dyDescent="0.25">
      <c r="B190" s="432" t="s">
        <v>194</v>
      </c>
      <c r="C190" s="247"/>
      <c r="D190" s="169" t="s">
        <v>290</v>
      </c>
      <c r="E190" s="170" t="s">
        <v>197</v>
      </c>
      <c r="F190" s="171" t="s">
        <v>196</v>
      </c>
    </row>
    <row r="191" spans="2:6" x14ac:dyDescent="0.25">
      <c r="B191" s="433"/>
      <c r="C191" s="126" t="s">
        <v>296</v>
      </c>
      <c r="D191" s="70">
        <v>12</v>
      </c>
      <c r="E191" s="61">
        <v>20</v>
      </c>
      <c r="F191" s="162">
        <f>D191/E191</f>
        <v>0.6</v>
      </c>
    </row>
    <row r="192" spans="2:6" ht="15.75" thickBot="1" x14ac:dyDescent="0.3"/>
    <row r="193" spans="2:6" x14ac:dyDescent="0.25">
      <c r="B193" s="129" t="s">
        <v>285</v>
      </c>
      <c r="C193" s="130" t="s">
        <v>177</v>
      </c>
      <c r="D193" s="131" t="s">
        <v>178</v>
      </c>
      <c r="E193" s="131" t="s">
        <v>179</v>
      </c>
      <c r="F193" s="144" t="s">
        <v>6</v>
      </c>
    </row>
    <row r="194" spans="2:6" ht="15.75" x14ac:dyDescent="0.25">
      <c r="B194" s="244" t="s">
        <v>271</v>
      </c>
      <c r="C194" s="106">
        <v>1</v>
      </c>
      <c r="D194" s="61" t="s">
        <v>15</v>
      </c>
      <c r="E194" s="78">
        <v>3</v>
      </c>
      <c r="F194" s="127">
        <f>C194*E194</f>
        <v>3</v>
      </c>
    </row>
    <row r="195" spans="2:6" ht="16.5" thickBot="1" x14ac:dyDescent="0.3">
      <c r="B195" s="244" t="s">
        <v>272</v>
      </c>
      <c r="C195" s="106"/>
      <c r="D195" s="61"/>
      <c r="E195" s="78"/>
      <c r="F195" s="127"/>
    </row>
    <row r="196" spans="2:6" ht="15.75" thickBot="1" x14ac:dyDescent="0.3">
      <c r="B196" s="82" t="s">
        <v>168</v>
      </c>
      <c r="C196" s="82"/>
      <c r="D196" s="83"/>
      <c r="E196" s="84"/>
      <c r="F196" s="127">
        <f>SUM(F194:F195)</f>
        <v>3</v>
      </c>
    </row>
    <row r="197" spans="2:6" ht="16.5" thickBot="1" x14ac:dyDescent="0.3">
      <c r="B197" s="256" t="s">
        <v>5</v>
      </c>
      <c r="C197" s="257"/>
      <c r="D197" s="257"/>
      <c r="E197" s="258"/>
      <c r="F197" s="255">
        <f>F196</f>
        <v>3</v>
      </c>
    </row>
    <row r="199" spans="2:6" ht="15.75" thickBot="1" x14ac:dyDescent="0.3">
      <c r="B199" s="120" t="s">
        <v>297</v>
      </c>
    </row>
    <row r="200" spans="2:6" ht="17.25" x14ac:dyDescent="0.25">
      <c r="B200" s="270"/>
      <c r="C200" s="268"/>
      <c r="D200" s="169" t="s">
        <v>290</v>
      </c>
      <c r="E200" s="170" t="s">
        <v>197</v>
      </c>
      <c r="F200" s="171" t="s">
        <v>196</v>
      </c>
    </row>
    <row r="201" spans="2:6" ht="26.25" x14ac:dyDescent="0.4">
      <c r="B201" s="272" t="s">
        <v>194</v>
      </c>
      <c r="C201" s="60" t="s">
        <v>282</v>
      </c>
      <c r="D201" s="70">
        <v>4</v>
      </c>
      <c r="E201" s="61">
        <f>38*1.01</f>
        <v>38.380000000000003</v>
      </c>
      <c r="F201" s="162">
        <f>D201*E201</f>
        <v>153.52000000000001</v>
      </c>
    </row>
    <row r="202" spans="2:6" ht="15" customHeight="1" x14ac:dyDescent="0.25">
      <c r="B202" s="437"/>
      <c r="C202" s="60" t="s">
        <v>182</v>
      </c>
      <c r="D202" s="70">
        <v>4</v>
      </c>
      <c r="E202" s="61">
        <f>0.0234*1.05</f>
        <v>2.4570000000000002E-2</v>
      </c>
      <c r="F202" s="162">
        <f>D202*E202</f>
        <v>9.8280000000000006E-2</v>
      </c>
    </row>
    <row r="203" spans="2:6" ht="15.75" customHeight="1" thickBot="1" x14ac:dyDescent="0.3">
      <c r="B203" s="438"/>
      <c r="C203" s="103" t="s">
        <v>180</v>
      </c>
      <c r="D203" s="104">
        <v>4</v>
      </c>
      <c r="E203" s="122">
        <f>0.017*1.05</f>
        <v>1.7850000000000001E-2</v>
      </c>
      <c r="F203" s="269">
        <f>D203*E203</f>
        <v>7.1400000000000005E-2</v>
      </c>
    </row>
    <row r="204" spans="2:6" ht="15.75" thickBot="1" x14ac:dyDescent="0.3"/>
    <row r="205" spans="2:6" x14ac:dyDescent="0.25">
      <c r="B205" s="129" t="s">
        <v>298</v>
      </c>
      <c r="C205" s="130" t="s">
        <v>177</v>
      </c>
      <c r="D205" s="131" t="s">
        <v>178</v>
      </c>
      <c r="E205" s="131" t="s">
        <v>179</v>
      </c>
      <c r="F205" s="144" t="s">
        <v>6</v>
      </c>
    </row>
    <row r="206" spans="2:6" x14ac:dyDescent="0.25">
      <c r="B206" s="263"/>
      <c r="C206" s="222"/>
      <c r="D206" s="223"/>
      <c r="E206" s="224"/>
      <c r="F206" s="225"/>
    </row>
    <row r="207" spans="2:6" x14ac:dyDescent="0.25">
      <c r="B207" s="264" t="s">
        <v>282</v>
      </c>
      <c r="C207" s="265">
        <f>F201</f>
        <v>153.52000000000001</v>
      </c>
      <c r="D207" s="266" t="s">
        <v>282</v>
      </c>
      <c r="E207" s="267">
        <v>0.35</v>
      </c>
      <c r="F207" s="127">
        <f>C207*E207</f>
        <v>53.731999999999999</v>
      </c>
    </row>
    <row r="208" spans="2:6" ht="15.75" thickBot="1" x14ac:dyDescent="0.3">
      <c r="B208" s="1" t="s">
        <v>182</v>
      </c>
      <c r="C208" s="106">
        <f>ROUNDUP(0.1,0)</f>
        <v>1</v>
      </c>
      <c r="D208" s="61" t="s">
        <v>299</v>
      </c>
      <c r="E208" s="78">
        <v>9</v>
      </c>
      <c r="F208" s="127">
        <f>C208*E208</f>
        <v>9</v>
      </c>
    </row>
    <row r="209" spans="1:6" ht="18" thickBot="1" x14ac:dyDescent="0.3">
      <c r="B209" s="1" t="s">
        <v>180</v>
      </c>
      <c r="C209" s="106">
        <f>ROUNDUP(0.1,0)</f>
        <v>1</v>
      </c>
      <c r="D209" s="273" t="s">
        <v>300</v>
      </c>
      <c r="E209" s="78">
        <v>12</v>
      </c>
      <c r="F209" s="127">
        <f>C209*E209</f>
        <v>12</v>
      </c>
    </row>
    <row r="210" spans="1:6" ht="15.75" thickBot="1" x14ac:dyDescent="0.3">
      <c r="B210" s="82" t="s">
        <v>168</v>
      </c>
      <c r="C210" s="82"/>
      <c r="D210" s="83"/>
      <c r="E210" s="84"/>
      <c r="F210" s="127">
        <f>SUM(F208:F209)</f>
        <v>21</v>
      </c>
    </row>
    <row r="211" spans="1:6" ht="16.5" thickBot="1" x14ac:dyDescent="0.3">
      <c r="B211" s="256" t="s">
        <v>5</v>
      </c>
      <c r="C211" s="257"/>
      <c r="D211" s="257"/>
      <c r="E211" s="258"/>
      <c r="F211" s="255">
        <f>F210</f>
        <v>21</v>
      </c>
    </row>
    <row r="213" spans="1:6" ht="15.75" thickBot="1" x14ac:dyDescent="0.3"/>
    <row r="214" spans="1:6" ht="16.5" thickBot="1" x14ac:dyDescent="0.3">
      <c r="A214" s="92" t="s">
        <v>277</v>
      </c>
      <c r="B214" s="92" t="s">
        <v>319</v>
      </c>
      <c r="C214" s="207"/>
      <c r="D214" s="208"/>
    </row>
    <row r="215" spans="1:6" ht="15.75" thickBot="1" x14ac:dyDescent="0.3"/>
    <row r="216" spans="1:6" ht="17.25" x14ac:dyDescent="0.25">
      <c r="B216" s="281"/>
      <c r="C216" s="168"/>
      <c r="D216" s="169" t="s">
        <v>290</v>
      </c>
      <c r="E216" s="170" t="s">
        <v>197</v>
      </c>
      <c r="F216" s="171" t="s">
        <v>196</v>
      </c>
    </row>
    <row r="217" spans="1:6" x14ac:dyDescent="0.25">
      <c r="B217" s="271"/>
      <c r="C217" s="60" t="s">
        <v>303</v>
      </c>
      <c r="D217" s="70">
        <v>143</v>
      </c>
      <c r="E217" s="61">
        <f>14*1.05</f>
        <v>14.700000000000001</v>
      </c>
      <c r="F217" s="162">
        <f>D217*E217</f>
        <v>2102.1000000000004</v>
      </c>
    </row>
    <row r="218" spans="1:6" ht="26.25" x14ac:dyDescent="0.4">
      <c r="B218" s="272"/>
      <c r="C218" s="60" t="s">
        <v>307</v>
      </c>
      <c r="D218" s="79">
        <v>143</v>
      </c>
      <c r="E218" s="80">
        <v>0.1</v>
      </c>
      <c r="F218" s="162">
        <f>D218*E218</f>
        <v>14.3</v>
      </c>
    </row>
    <row r="219" spans="1:6" ht="26.25" x14ac:dyDescent="0.4">
      <c r="B219" s="272" t="s">
        <v>194</v>
      </c>
      <c r="C219" s="283" t="s">
        <v>308</v>
      </c>
      <c r="D219" s="79">
        <v>143</v>
      </c>
      <c r="E219" s="80">
        <v>3.2</v>
      </c>
      <c r="F219" s="162">
        <f>D219*E219</f>
        <v>457.6</v>
      </c>
    </row>
    <row r="220" spans="1:6" ht="26.25" x14ac:dyDescent="0.4">
      <c r="B220" s="272"/>
      <c r="C220" s="60" t="s">
        <v>309</v>
      </c>
      <c r="D220" s="79">
        <v>143</v>
      </c>
      <c r="E220" s="80">
        <f>1/11.96*1.05*2</f>
        <v>0.17558528428093645</v>
      </c>
      <c r="F220" s="162">
        <f>D220*E220</f>
        <v>25.108695652173914</v>
      </c>
    </row>
    <row r="221" spans="1:6" ht="26.25" x14ac:dyDescent="0.4">
      <c r="B221" s="272"/>
      <c r="C221" s="60" t="s">
        <v>310</v>
      </c>
      <c r="D221" s="70">
        <v>143</v>
      </c>
      <c r="E221" s="61">
        <f>1/11.96*1.05*2</f>
        <v>0.17558528428093645</v>
      </c>
      <c r="F221" s="162">
        <f>D221*E221</f>
        <v>25.108695652173914</v>
      </c>
    </row>
    <row r="222" spans="1:6" ht="15.75" customHeight="1" x14ac:dyDescent="0.25">
      <c r="B222" s="209"/>
      <c r="C222" s="60" t="s">
        <v>311</v>
      </c>
      <c r="D222" s="70">
        <v>143</v>
      </c>
      <c r="E222" s="61"/>
      <c r="F222" s="162"/>
    </row>
    <row r="223" spans="1:6" x14ac:dyDescent="0.25">
      <c r="B223" s="191"/>
      <c r="C223" s="109"/>
      <c r="D223" s="276" t="s">
        <v>312</v>
      </c>
      <c r="E223" s="60">
        <f>1/0.75*1.05</f>
        <v>1.4</v>
      </c>
      <c r="F223" s="278">
        <f>D222*E223</f>
        <v>200.2</v>
      </c>
    </row>
    <row r="224" spans="1:6" ht="15.75" thickBot="1" x14ac:dyDescent="0.3">
      <c r="B224" s="282"/>
      <c r="C224" s="123"/>
      <c r="D224" s="279" t="s">
        <v>313</v>
      </c>
      <c r="E224" s="213">
        <f>1/10.12*1.05</f>
        <v>0.10375494071146246</v>
      </c>
      <c r="F224" s="280">
        <f>ROUNDUP(14.8,0)</f>
        <v>15</v>
      </c>
    </row>
    <row r="225" spans="2:6" ht="15.75" thickBot="1" x14ac:dyDescent="0.3">
      <c r="B225" s="289"/>
      <c r="C225" s="1"/>
      <c r="D225" s="275"/>
      <c r="E225" s="288"/>
      <c r="F225" s="290">
        <f>SUM(F223:F224)</f>
        <v>215.2</v>
      </c>
    </row>
    <row r="226" spans="2:6" ht="15.75" thickBot="1" x14ac:dyDescent="0.3"/>
    <row r="227" spans="2:6" x14ac:dyDescent="0.25">
      <c r="B227" s="129" t="s">
        <v>314</v>
      </c>
      <c r="C227" s="130" t="s">
        <v>177</v>
      </c>
      <c r="D227" s="131" t="s">
        <v>178</v>
      </c>
      <c r="E227" s="131" t="s">
        <v>179</v>
      </c>
      <c r="F227" s="144" t="s">
        <v>6</v>
      </c>
    </row>
    <row r="228" spans="2:6" x14ac:dyDescent="0.25">
      <c r="B228" s="249"/>
      <c r="C228" s="222"/>
      <c r="D228" s="223"/>
      <c r="E228" s="224"/>
      <c r="F228" s="225"/>
    </row>
    <row r="229" spans="2:6" ht="15.75" x14ac:dyDescent="0.25">
      <c r="B229" s="291" t="s">
        <v>70</v>
      </c>
      <c r="C229" s="284"/>
      <c r="D229" s="250"/>
      <c r="E229" s="251"/>
      <c r="F229" s="285"/>
    </row>
    <row r="230" spans="2:6" ht="15.75" x14ac:dyDescent="0.25">
      <c r="B230" s="291" t="s">
        <v>71</v>
      </c>
      <c r="C230" s="284"/>
      <c r="D230" s="250"/>
      <c r="E230" s="251"/>
      <c r="F230" s="285"/>
    </row>
    <row r="231" spans="2:6" ht="15.75" x14ac:dyDescent="0.25">
      <c r="B231" s="291" t="s">
        <v>315</v>
      </c>
      <c r="C231" s="106">
        <f>F217</f>
        <v>2102.1000000000004</v>
      </c>
      <c r="D231" s="61" t="s">
        <v>15</v>
      </c>
      <c r="E231" s="78">
        <v>0.77</v>
      </c>
      <c r="F231" s="127">
        <f>C231*E231</f>
        <v>1618.6170000000004</v>
      </c>
    </row>
    <row r="232" spans="2:6" ht="15.75" x14ac:dyDescent="0.25">
      <c r="B232" s="292" t="s">
        <v>304</v>
      </c>
      <c r="C232" s="106">
        <f>F218</f>
        <v>14.3</v>
      </c>
      <c r="D232" s="155" t="s">
        <v>247</v>
      </c>
      <c r="E232" s="78">
        <v>2</v>
      </c>
      <c r="F232" s="127">
        <f t="shared" ref="F232:F236" si="2">C232*E232</f>
        <v>28.6</v>
      </c>
    </row>
    <row r="233" spans="2:6" ht="15.75" x14ac:dyDescent="0.25">
      <c r="B233" s="292" t="s">
        <v>316</v>
      </c>
      <c r="C233" s="106">
        <f>F219</f>
        <v>457.6</v>
      </c>
      <c r="D233" s="155" t="s">
        <v>64</v>
      </c>
      <c r="E233" s="78">
        <v>4</v>
      </c>
      <c r="F233" s="127">
        <f t="shared" si="2"/>
        <v>1830.4</v>
      </c>
    </row>
    <row r="234" spans="2:6" ht="16.5" thickBot="1" x14ac:dyDescent="0.3">
      <c r="B234" s="292" t="s">
        <v>318</v>
      </c>
      <c r="C234" s="106">
        <f>F220</f>
        <v>25.108695652173914</v>
      </c>
      <c r="D234" s="155" t="s">
        <v>317</v>
      </c>
      <c r="E234" s="78">
        <v>5</v>
      </c>
      <c r="F234" s="127">
        <f t="shared" si="2"/>
        <v>125.54347826086956</v>
      </c>
    </row>
    <row r="235" spans="2:6" ht="16.5" thickBot="1" x14ac:dyDescent="0.3">
      <c r="B235" s="293" t="s">
        <v>305</v>
      </c>
      <c r="C235" s="106">
        <f>F221</f>
        <v>25.108695652173914</v>
      </c>
      <c r="D235" s="273" t="s">
        <v>317</v>
      </c>
      <c r="E235" s="78">
        <v>4</v>
      </c>
      <c r="F235" s="127">
        <f t="shared" si="2"/>
        <v>100.43478260869566</v>
      </c>
    </row>
    <row r="236" spans="2:6" ht="16.5" thickBot="1" x14ac:dyDescent="0.3">
      <c r="B236" s="293" t="s">
        <v>306</v>
      </c>
      <c r="C236" s="286">
        <f>F225</f>
        <v>215.2</v>
      </c>
      <c r="D236" s="287" t="s">
        <v>15</v>
      </c>
      <c r="E236" s="236">
        <v>6</v>
      </c>
      <c r="F236" s="127">
        <f t="shared" si="2"/>
        <v>1291.1999999999998</v>
      </c>
    </row>
    <row r="237" spans="2:6" ht="15.75" thickBot="1" x14ac:dyDescent="0.3">
      <c r="B237" s="82" t="s">
        <v>168</v>
      </c>
      <c r="C237" s="82"/>
      <c r="D237" s="83"/>
      <c r="E237" s="84"/>
      <c r="F237" s="127">
        <f>SUM(F231:F235)</f>
        <v>3703.5952608695652</v>
      </c>
    </row>
    <row r="238" spans="2:6" ht="16.5" thickBot="1" x14ac:dyDescent="0.3">
      <c r="B238" s="256" t="s">
        <v>5</v>
      </c>
      <c r="C238" s="257"/>
      <c r="D238" s="257"/>
      <c r="E238" s="258"/>
      <c r="F238" s="255">
        <f>F237/143</f>
        <v>25.899267558528429</v>
      </c>
    </row>
    <row r="240" spans="2:6" ht="16.5" thickBot="1" x14ac:dyDescent="0.3">
      <c r="B240" s="201" t="s">
        <v>320</v>
      </c>
      <c r="C240" s="202"/>
    </row>
    <row r="241" spans="2:6" x14ac:dyDescent="0.25">
      <c r="B241" s="429" t="s">
        <v>194</v>
      </c>
      <c r="C241" s="168"/>
      <c r="D241" s="169" t="s">
        <v>64</v>
      </c>
      <c r="E241" s="170" t="s">
        <v>197</v>
      </c>
      <c r="F241" s="171" t="s">
        <v>196</v>
      </c>
    </row>
    <row r="242" spans="2:6" x14ac:dyDescent="0.25">
      <c r="B242" s="430"/>
      <c r="C242" s="109" t="s">
        <v>321</v>
      </c>
      <c r="D242" s="70">
        <v>15</v>
      </c>
      <c r="E242" s="61">
        <v>1</v>
      </c>
      <c r="F242" s="162">
        <f>D242*E242</f>
        <v>15</v>
      </c>
    </row>
    <row r="243" spans="2:6" ht="15.75" thickBot="1" x14ac:dyDescent="0.3">
      <c r="B243" s="431"/>
      <c r="C243" s="123"/>
      <c r="D243" s="104"/>
      <c r="E243" s="103"/>
      <c r="F243" s="105"/>
    </row>
    <row r="244" spans="2:6" ht="16.5" thickBot="1" x14ac:dyDescent="0.3">
      <c r="B244" s="102"/>
    </row>
    <row r="245" spans="2:6" x14ac:dyDescent="0.25">
      <c r="B245" s="129" t="s">
        <v>325</v>
      </c>
      <c r="C245" s="130" t="s">
        <v>177</v>
      </c>
      <c r="D245" s="131" t="s">
        <v>178</v>
      </c>
      <c r="E245" s="131" t="s">
        <v>179</v>
      </c>
      <c r="F245" s="144" t="s">
        <v>6</v>
      </c>
    </row>
    <row r="246" spans="2:6" ht="15.75" x14ac:dyDescent="0.25">
      <c r="B246" s="243" t="s">
        <v>74</v>
      </c>
      <c r="C246" s="163"/>
    </row>
    <row r="247" spans="2:6" x14ac:dyDescent="0.25">
      <c r="B247" t="s">
        <v>322</v>
      </c>
      <c r="C247" s="106">
        <f>F242</f>
        <v>15</v>
      </c>
      <c r="D247" s="61" t="s">
        <v>64</v>
      </c>
      <c r="E247" s="78">
        <v>2.5</v>
      </c>
      <c r="F247" s="135">
        <f t="shared" ref="F247:F249" si="3">C247*E247</f>
        <v>37.5</v>
      </c>
    </row>
    <row r="248" spans="2:6" ht="15.75" x14ac:dyDescent="0.25">
      <c r="B248" s="243" t="s">
        <v>326</v>
      </c>
      <c r="C248" s="77">
        <v>1</v>
      </c>
      <c r="D248" s="61" t="s">
        <v>327</v>
      </c>
      <c r="E248" s="236">
        <v>5</v>
      </c>
      <c r="F248" s="135">
        <f t="shared" si="3"/>
        <v>5</v>
      </c>
    </row>
    <row r="249" spans="2:6" ht="15.75" thickBot="1" x14ac:dyDescent="0.3">
      <c r="B249" t="s">
        <v>328</v>
      </c>
      <c r="C249" s="106">
        <v>1</v>
      </c>
      <c r="D249" s="61" t="s">
        <v>317</v>
      </c>
      <c r="E249" s="78">
        <f>9+1</f>
        <v>10</v>
      </c>
      <c r="F249" s="135">
        <f t="shared" si="3"/>
        <v>10</v>
      </c>
    </row>
    <row r="250" spans="2:6" ht="15.75" thickBot="1" x14ac:dyDescent="0.3">
      <c r="B250" s="82" t="s">
        <v>168</v>
      </c>
      <c r="C250" s="82"/>
      <c r="D250" s="83"/>
      <c r="E250" s="84"/>
      <c r="F250" s="84">
        <f>SUM(F247:F249)</f>
        <v>52.5</v>
      </c>
    </row>
    <row r="251" spans="2:6" ht="16.5" thickBot="1" x14ac:dyDescent="0.3">
      <c r="B251" s="82" t="s">
        <v>5</v>
      </c>
      <c r="C251" s="82"/>
      <c r="D251" s="83"/>
      <c r="E251" s="84"/>
      <c r="F251" s="107">
        <f>F250/D242</f>
        <v>3.5</v>
      </c>
    </row>
    <row r="253" spans="2:6" ht="16.5" thickBot="1" x14ac:dyDescent="0.3">
      <c r="B253" s="201" t="s">
        <v>323</v>
      </c>
      <c r="C253" s="202"/>
    </row>
    <row r="254" spans="2:6" x14ac:dyDescent="0.25">
      <c r="B254" s="429" t="s">
        <v>194</v>
      </c>
      <c r="C254" s="168"/>
      <c r="D254" s="169" t="s">
        <v>64</v>
      </c>
      <c r="E254" s="170" t="s">
        <v>197</v>
      </c>
      <c r="F254" s="171" t="s">
        <v>196</v>
      </c>
    </row>
    <row r="255" spans="2:6" x14ac:dyDescent="0.25">
      <c r="B255" s="430"/>
      <c r="C255" s="109" t="s">
        <v>321</v>
      </c>
      <c r="D255" s="70">
        <v>50</v>
      </c>
      <c r="E255" s="60">
        <v>1</v>
      </c>
      <c r="F255" s="162">
        <f>D255*E255</f>
        <v>50</v>
      </c>
    </row>
    <row r="256" spans="2:6" ht="15.75" thickBot="1" x14ac:dyDescent="0.3">
      <c r="B256" s="431"/>
      <c r="C256" s="123"/>
      <c r="D256" s="104"/>
      <c r="E256" s="103"/>
      <c r="F256" s="105"/>
    </row>
    <row r="257" spans="1:6" ht="16.5" thickBot="1" x14ac:dyDescent="0.3">
      <c r="B257" s="102"/>
    </row>
    <row r="258" spans="1:6" x14ac:dyDescent="0.25">
      <c r="B258" s="129" t="s">
        <v>324</v>
      </c>
      <c r="C258" s="130" t="s">
        <v>177</v>
      </c>
      <c r="D258" s="131" t="s">
        <v>178</v>
      </c>
      <c r="E258" s="131" t="s">
        <v>179</v>
      </c>
      <c r="F258" s="144" t="s">
        <v>6</v>
      </c>
    </row>
    <row r="259" spans="1:6" ht="15.75" x14ac:dyDescent="0.25">
      <c r="B259" s="243" t="s">
        <v>72</v>
      </c>
    </row>
    <row r="260" spans="1:6" ht="15.75" x14ac:dyDescent="0.25">
      <c r="B260" s="243" t="s">
        <v>73</v>
      </c>
      <c r="C260" s="106"/>
      <c r="D260" s="61"/>
      <c r="E260" s="78"/>
      <c r="F260" s="133"/>
    </row>
    <row r="261" spans="1:6" ht="15.75" x14ac:dyDescent="0.25">
      <c r="B261" s="243" t="s">
        <v>329</v>
      </c>
      <c r="C261" s="163">
        <f>F255</f>
        <v>50</v>
      </c>
      <c r="D261" s="61" t="s">
        <v>64</v>
      </c>
      <c r="E261" s="78">
        <v>8</v>
      </c>
      <c r="F261" s="135">
        <f>C261*E261</f>
        <v>400</v>
      </c>
    </row>
    <row r="262" spans="1:6" ht="15.75" x14ac:dyDescent="0.25">
      <c r="B262" s="243" t="s">
        <v>330</v>
      </c>
      <c r="C262" s="106">
        <v>1</v>
      </c>
      <c r="D262" s="61" t="s">
        <v>327</v>
      </c>
      <c r="E262" s="78">
        <v>6</v>
      </c>
      <c r="F262" s="135">
        <f>C262*E262</f>
        <v>6</v>
      </c>
    </row>
    <row r="263" spans="1:6" ht="16.5" thickBot="1" x14ac:dyDescent="0.3">
      <c r="B263" s="243" t="s">
        <v>331</v>
      </c>
      <c r="C263" s="106">
        <v>1</v>
      </c>
      <c r="D263" s="61" t="s">
        <v>184</v>
      </c>
      <c r="E263" s="78">
        <v>12</v>
      </c>
      <c r="F263" s="135">
        <f>C263*E263</f>
        <v>12</v>
      </c>
    </row>
    <row r="264" spans="1:6" ht="15.75" thickBot="1" x14ac:dyDescent="0.3">
      <c r="B264" s="82" t="s">
        <v>168</v>
      </c>
      <c r="C264" s="82"/>
      <c r="D264" s="83"/>
      <c r="E264" s="84"/>
      <c r="F264" s="84">
        <f>SUM(F260:F263)</f>
        <v>418</v>
      </c>
    </row>
    <row r="265" spans="1:6" ht="16.5" thickBot="1" x14ac:dyDescent="0.3">
      <c r="B265" s="82" t="s">
        <v>5</v>
      </c>
      <c r="C265" s="82"/>
      <c r="D265" s="83"/>
      <c r="E265" s="84"/>
      <c r="F265" s="107">
        <f>F264/D255</f>
        <v>8.36</v>
      </c>
    </row>
    <row r="267" spans="1:6" ht="15.75" thickBot="1" x14ac:dyDescent="0.3"/>
    <row r="268" spans="1:6" ht="16.5" thickBot="1" x14ac:dyDescent="0.3">
      <c r="A268" s="92" t="s">
        <v>338</v>
      </c>
      <c r="B268" s="92" t="s">
        <v>337</v>
      </c>
    </row>
    <row r="269" spans="1:6" ht="15.75" thickBot="1" x14ac:dyDescent="0.3"/>
    <row r="270" spans="1:6" x14ac:dyDescent="0.25">
      <c r="B270" s="432" t="s">
        <v>194</v>
      </c>
      <c r="C270" s="247"/>
      <c r="D270" s="169" t="s">
        <v>64</v>
      </c>
      <c r="E270" s="170" t="s">
        <v>197</v>
      </c>
      <c r="F270" s="171" t="s">
        <v>196</v>
      </c>
    </row>
    <row r="271" spans="1:6" x14ac:dyDescent="0.25">
      <c r="B271" s="433"/>
      <c r="C271" s="126" t="s">
        <v>311</v>
      </c>
      <c r="D271" s="70">
        <v>45</v>
      </c>
      <c r="E271" s="61"/>
      <c r="F271" s="162"/>
    </row>
    <row r="272" spans="1:6" x14ac:dyDescent="0.25">
      <c r="B272" s="433"/>
      <c r="C272" s="126"/>
      <c r="D272" s="276" t="s">
        <v>312</v>
      </c>
      <c r="E272" s="60">
        <f>1/0.75*1.05</f>
        <v>1.4</v>
      </c>
      <c r="F272" s="278">
        <f>D271*E272</f>
        <v>62.999999999999993</v>
      </c>
    </row>
    <row r="273" spans="2:6" x14ac:dyDescent="0.25">
      <c r="B273" s="271"/>
      <c r="C273" s="126"/>
      <c r="D273" s="276" t="s">
        <v>313</v>
      </c>
      <c r="E273" s="277">
        <f>1/10.12*1.05</f>
        <v>0.10375494071146246</v>
      </c>
      <c r="F273" s="278">
        <f>ROUNDUP(14.8,0)</f>
        <v>15</v>
      </c>
    </row>
    <row r="274" spans="2:6" ht="15.75" thickBot="1" x14ac:dyDescent="0.3">
      <c r="B274" s="307"/>
      <c r="C274" s="164"/>
      <c r="D274" s="279"/>
      <c r="E274" s="213"/>
      <c r="F274" s="280">
        <f>SUM(F272:F273)</f>
        <v>78</v>
      </c>
    </row>
    <row r="275" spans="2:6" ht="15.75" thickBot="1" x14ac:dyDescent="0.3"/>
    <row r="276" spans="2:6" ht="15.75" thickBot="1" x14ac:dyDescent="0.3">
      <c r="B276" s="317" t="s">
        <v>311</v>
      </c>
      <c r="C276" s="106">
        <f>F274</f>
        <v>78</v>
      </c>
      <c r="D276" s="308" t="s">
        <v>15</v>
      </c>
      <c r="E276" s="67">
        <v>6</v>
      </c>
      <c r="F276" s="66">
        <f t="shared" ref="F276" si="4">C276*E276</f>
        <v>468</v>
      </c>
    </row>
    <row r="277" spans="2:6" ht="15.75" thickBot="1" x14ac:dyDescent="0.3">
      <c r="B277" s="309" t="s">
        <v>168</v>
      </c>
      <c r="C277" s="310"/>
      <c r="D277" s="311"/>
      <c r="E277" s="312"/>
      <c r="F277" s="313">
        <f>SUM(F271:F275)</f>
        <v>156</v>
      </c>
    </row>
    <row r="278" spans="2:6" ht="16.5" thickBot="1" x14ac:dyDescent="0.3">
      <c r="B278" s="314" t="s">
        <v>5</v>
      </c>
      <c r="C278" s="315"/>
      <c r="D278" s="315"/>
      <c r="E278" s="316"/>
      <c r="F278" s="255">
        <f>F277/143</f>
        <v>1.0909090909090908</v>
      </c>
    </row>
    <row r="279" spans="2:6" ht="15.75" thickBot="1" x14ac:dyDescent="0.3"/>
    <row r="280" spans="2:6" x14ac:dyDescent="0.25">
      <c r="B280" s="432" t="s">
        <v>194</v>
      </c>
      <c r="C280" s="247"/>
      <c r="D280" s="169" t="s">
        <v>64</v>
      </c>
      <c r="E280" s="170" t="s">
        <v>197</v>
      </c>
      <c r="F280" s="171" t="s">
        <v>196</v>
      </c>
    </row>
    <row r="281" spans="2:6" x14ac:dyDescent="0.25">
      <c r="B281" s="433"/>
      <c r="C281" s="126" t="s">
        <v>339</v>
      </c>
      <c r="D281" s="70">
        <v>1333</v>
      </c>
      <c r="E281" s="61">
        <v>1</v>
      </c>
      <c r="F281" s="162">
        <f>D281*E281</f>
        <v>1333</v>
      </c>
    </row>
    <row r="282" spans="2:6" ht="15.75" thickBot="1" x14ac:dyDescent="0.3">
      <c r="B282" s="434"/>
      <c r="C282" s="164" t="s">
        <v>343</v>
      </c>
      <c r="D282" s="279"/>
      <c r="E282" s="103"/>
      <c r="F282" s="280"/>
    </row>
    <row r="283" spans="2:6" ht="21.75" thickBot="1" x14ac:dyDescent="0.3">
      <c r="B283" s="319"/>
      <c r="C283" s="1"/>
      <c r="D283" s="275"/>
      <c r="E283" s="1"/>
      <c r="F283" s="318"/>
    </row>
    <row r="284" spans="2:6" ht="15.75" thickBot="1" x14ac:dyDescent="0.3">
      <c r="B284" s="320" t="s">
        <v>339</v>
      </c>
    </row>
    <row r="285" spans="2:6" x14ac:dyDescent="0.25">
      <c r="B285" s="129" t="s">
        <v>340</v>
      </c>
      <c r="C285" s="130" t="s">
        <v>177</v>
      </c>
      <c r="D285" s="131" t="s">
        <v>178</v>
      </c>
      <c r="E285" s="131" t="s">
        <v>179</v>
      </c>
      <c r="F285" s="144" t="s">
        <v>6</v>
      </c>
    </row>
    <row r="286" spans="2:6" ht="15.75" x14ac:dyDescent="0.25">
      <c r="B286" s="244" t="s">
        <v>341</v>
      </c>
      <c r="C286" s="163"/>
    </row>
    <row r="287" spans="2:6" x14ac:dyDescent="0.25">
      <c r="B287" t="s">
        <v>342</v>
      </c>
      <c r="C287" s="106">
        <f>F281</f>
        <v>1333</v>
      </c>
      <c r="D287" s="61" t="s">
        <v>64</v>
      </c>
      <c r="E287" s="78">
        <v>1.75</v>
      </c>
      <c r="F287" s="135">
        <f t="shared" ref="F287:F289" si="5">C287*E287</f>
        <v>2332.75</v>
      </c>
    </row>
    <row r="288" spans="2:6" ht="15.75" x14ac:dyDescent="0.25">
      <c r="B288" s="243" t="s">
        <v>326</v>
      </c>
      <c r="C288" s="77">
        <v>4</v>
      </c>
      <c r="D288" s="61" t="s">
        <v>327</v>
      </c>
      <c r="E288" s="236">
        <v>5</v>
      </c>
      <c r="F288" s="135">
        <f t="shared" si="5"/>
        <v>20</v>
      </c>
    </row>
    <row r="289" spans="2:6" ht="15.75" thickBot="1" x14ac:dyDescent="0.3">
      <c r="B289" t="s">
        <v>328</v>
      </c>
      <c r="C289" s="106">
        <v>10</v>
      </c>
      <c r="D289" s="61" t="s">
        <v>317</v>
      </c>
      <c r="E289" s="78">
        <f>9+1</f>
        <v>10</v>
      </c>
      <c r="F289" s="135">
        <f t="shared" si="5"/>
        <v>100</v>
      </c>
    </row>
    <row r="290" spans="2:6" ht="15.75" thickBot="1" x14ac:dyDescent="0.3">
      <c r="B290" s="82" t="s">
        <v>168</v>
      </c>
      <c r="C290" s="82"/>
      <c r="D290" s="83"/>
      <c r="E290" s="84"/>
      <c r="F290" s="84">
        <f>SUM(F287:F289)</f>
        <v>2452.75</v>
      </c>
    </row>
    <row r="291" spans="2:6" ht="16.5" thickBot="1" x14ac:dyDescent="0.3">
      <c r="B291" s="82" t="s">
        <v>5</v>
      </c>
      <c r="C291" s="82"/>
      <c r="D291" s="83"/>
      <c r="E291" s="84"/>
      <c r="F291" s="107">
        <f>F290/D281</f>
        <v>1.8400225056264066</v>
      </c>
    </row>
    <row r="292" spans="2:6" ht="15.75" thickBot="1" x14ac:dyDescent="0.3"/>
    <row r="293" spans="2:6" x14ac:dyDescent="0.25">
      <c r="B293" s="432" t="s">
        <v>194</v>
      </c>
      <c r="C293" s="247"/>
      <c r="D293" s="169" t="s">
        <v>64</v>
      </c>
      <c r="E293" s="170" t="s">
        <v>197</v>
      </c>
      <c r="F293" s="171" t="s">
        <v>196</v>
      </c>
    </row>
    <row r="294" spans="2:6" x14ac:dyDescent="0.25">
      <c r="B294" s="433"/>
      <c r="C294" s="126" t="s">
        <v>339</v>
      </c>
      <c r="D294" s="70">
        <v>15</v>
      </c>
      <c r="E294" s="61">
        <v>1</v>
      </c>
      <c r="F294" s="162">
        <f>D294*E294</f>
        <v>15</v>
      </c>
    </row>
    <row r="295" spans="2:6" ht="15.75" thickBot="1" x14ac:dyDescent="0.3">
      <c r="B295" s="434"/>
      <c r="C295" s="164" t="s">
        <v>344</v>
      </c>
      <c r="D295" s="279"/>
      <c r="E295" s="103"/>
      <c r="F295" s="280"/>
    </row>
    <row r="296" spans="2:6" ht="15.75" thickBot="1" x14ac:dyDescent="0.3"/>
    <row r="297" spans="2:6" x14ac:dyDescent="0.25">
      <c r="B297" s="129" t="s">
        <v>340</v>
      </c>
      <c r="C297" s="130" t="s">
        <v>177</v>
      </c>
      <c r="D297" s="131" t="s">
        <v>178</v>
      </c>
      <c r="E297" s="131" t="s">
        <v>179</v>
      </c>
      <c r="F297" s="144" t="s">
        <v>6</v>
      </c>
    </row>
    <row r="298" spans="2:6" ht="15.75" x14ac:dyDescent="0.25">
      <c r="B298" s="244" t="s">
        <v>345</v>
      </c>
      <c r="C298" s="163"/>
    </row>
    <row r="299" spans="2:6" x14ac:dyDescent="0.25">
      <c r="B299" t="s">
        <v>342</v>
      </c>
      <c r="C299" s="106">
        <f>F294</f>
        <v>15</v>
      </c>
      <c r="D299" s="61" t="s">
        <v>64</v>
      </c>
      <c r="E299" s="78">
        <v>2</v>
      </c>
      <c r="F299" s="135">
        <f t="shared" ref="F299:F301" si="6">C299*E299</f>
        <v>30</v>
      </c>
    </row>
    <row r="300" spans="2:6" ht="15.75" x14ac:dyDescent="0.25">
      <c r="B300" s="243" t="s">
        <v>326</v>
      </c>
      <c r="C300" s="77">
        <v>1</v>
      </c>
      <c r="D300" s="61" t="s">
        <v>327</v>
      </c>
      <c r="E300" s="236">
        <v>5</v>
      </c>
      <c r="F300" s="135">
        <f t="shared" si="6"/>
        <v>5</v>
      </c>
    </row>
    <row r="301" spans="2:6" ht="15.75" thickBot="1" x14ac:dyDescent="0.3">
      <c r="B301" t="s">
        <v>328</v>
      </c>
      <c r="C301" s="106">
        <v>1</v>
      </c>
      <c r="D301" s="61" t="s">
        <v>317</v>
      </c>
      <c r="E301" s="78">
        <f>9+1</f>
        <v>10</v>
      </c>
      <c r="F301" s="135">
        <f t="shared" si="6"/>
        <v>10</v>
      </c>
    </row>
    <row r="302" spans="2:6" ht="15.75" thickBot="1" x14ac:dyDescent="0.3">
      <c r="B302" s="82" t="s">
        <v>168</v>
      </c>
      <c r="C302" s="82"/>
      <c r="D302" s="83"/>
      <c r="E302" s="84"/>
      <c r="F302" s="84">
        <f>SUM(F299:F301)</f>
        <v>45</v>
      </c>
    </row>
    <row r="303" spans="2:6" ht="16.5" thickBot="1" x14ac:dyDescent="0.3">
      <c r="B303" s="82" t="s">
        <v>5</v>
      </c>
      <c r="C303" s="82"/>
      <c r="D303" s="83"/>
      <c r="E303" s="84"/>
      <c r="F303" s="107">
        <f>F302/D294</f>
        <v>3</v>
      </c>
    </row>
    <row r="306" spans="1:6" x14ac:dyDescent="0.25">
      <c r="A306" s="149" t="s">
        <v>347</v>
      </c>
      <c r="B306" s="150" t="s">
        <v>348</v>
      </c>
    </row>
    <row r="307" spans="1:6" ht="15.75" thickBot="1" x14ac:dyDescent="0.3"/>
    <row r="308" spans="1:6" ht="17.25" x14ac:dyDescent="0.25">
      <c r="B308" s="432" t="s">
        <v>194</v>
      </c>
      <c r="C308" s="247"/>
      <c r="D308" s="169" t="s">
        <v>290</v>
      </c>
      <c r="E308" s="170" t="s">
        <v>197</v>
      </c>
      <c r="F308" s="171" t="s">
        <v>196</v>
      </c>
    </row>
    <row r="309" spans="1:6" x14ac:dyDescent="0.25">
      <c r="B309" s="433"/>
      <c r="C309" s="126" t="s">
        <v>352</v>
      </c>
      <c r="D309" s="70">
        <v>93</v>
      </c>
      <c r="E309" s="61">
        <v>1</v>
      </c>
      <c r="F309" s="162">
        <f>D309*E309</f>
        <v>93</v>
      </c>
    </row>
    <row r="310" spans="1:6" ht="15.75" thickBot="1" x14ac:dyDescent="0.3">
      <c r="B310" s="434"/>
      <c r="C310" s="164"/>
      <c r="D310" s="279"/>
      <c r="E310" s="103"/>
      <c r="F310" s="280"/>
    </row>
    <row r="311" spans="1:6" ht="21.75" thickBot="1" x14ac:dyDescent="0.3">
      <c r="B311" s="319"/>
      <c r="C311" s="1"/>
      <c r="D311" s="275"/>
      <c r="E311" s="1"/>
      <c r="F311" s="318"/>
    </row>
    <row r="312" spans="1:6" ht="15.75" thickBot="1" x14ac:dyDescent="0.3">
      <c r="B312" s="320" t="s">
        <v>352</v>
      </c>
    </row>
    <row r="313" spans="1:6" x14ac:dyDescent="0.25">
      <c r="B313" s="129" t="s">
        <v>354</v>
      </c>
      <c r="C313" s="130" t="s">
        <v>177</v>
      </c>
      <c r="D313" s="131" t="s">
        <v>178</v>
      </c>
      <c r="E313" s="131" t="s">
        <v>179</v>
      </c>
      <c r="F313" s="144" t="s">
        <v>6</v>
      </c>
    </row>
    <row r="314" spans="1:6" ht="15.75" x14ac:dyDescent="0.25">
      <c r="B314" s="244" t="s">
        <v>137</v>
      </c>
      <c r="C314" s="163"/>
    </row>
    <row r="315" spans="1:6" x14ac:dyDescent="0.25">
      <c r="B315" t="s">
        <v>353</v>
      </c>
      <c r="C315" s="106">
        <f>F309</f>
        <v>93</v>
      </c>
      <c r="D315" s="61" t="s">
        <v>64</v>
      </c>
      <c r="E315" s="78">
        <v>1.75</v>
      </c>
      <c r="F315" s="135">
        <f t="shared" ref="F315:F317" si="7">C315*E315</f>
        <v>162.75</v>
      </c>
    </row>
    <row r="316" spans="1:6" ht="15.75" x14ac:dyDescent="0.25">
      <c r="B316" s="243" t="s">
        <v>326</v>
      </c>
      <c r="C316" s="77">
        <v>40</v>
      </c>
      <c r="D316" s="61" t="s">
        <v>327</v>
      </c>
      <c r="E316" s="236">
        <v>5</v>
      </c>
      <c r="F316" s="135">
        <f t="shared" si="7"/>
        <v>200</v>
      </c>
    </row>
    <row r="317" spans="1:6" ht="15.75" thickBot="1" x14ac:dyDescent="0.3">
      <c r="B317" t="s">
        <v>328</v>
      </c>
      <c r="C317" s="106">
        <v>19</v>
      </c>
      <c r="D317" s="61" t="s">
        <v>317</v>
      </c>
      <c r="E317" s="78">
        <f>9+1</f>
        <v>10</v>
      </c>
      <c r="F317" s="135">
        <f t="shared" si="7"/>
        <v>190</v>
      </c>
    </row>
    <row r="318" spans="1:6" ht="15.75" thickBot="1" x14ac:dyDescent="0.3">
      <c r="B318" s="82" t="s">
        <v>168</v>
      </c>
      <c r="C318" s="82"/>
      <c r="D318" s="83"/>
      <c r="E318" s="84"/>
      <c r="F318" s="84">
        <f>SUM(F315:F317)</f>
        <v>552.75</v>
      </c>
    </row>
    <row r="319" spans="1:6" ht="16.5" thickBot="1" x14ac:dyDescent="0.3">
      <c r="B319" s="82" t="s">
        <v>5</v>
      </c>
      <c r="C319" s="82"/>
      <c r="D319" s="83"/>
      <c r="E319" s="84"/>
      <c r="F319" s="107">
        <f>F318/D309</f>
        <v>5.943548387096774</v>
      </c>
    </row>
    <row r="322" spans="1:7" x14ac:dyDescent="0.25">
      <c r="A322" s="149" t="s">
        <v>355</v>
      </c>
      <c r="B322" s="150" t="s">
        <v>360</v>
      </c>
    </row>
    <row r="323" spans="1:7" ht="15.75" thickBot="1" x14ac:dyDescent="0.3"/>
    <row r="324" spans="1:7" ht="17.25" x14ac:dyDescent="0.25">
      <c r="B324" s="432" t="s">
        <v>194</v>
      </c>
      <c r="C324" s="247"/>
      <c r="D324" s="169" t="s">
        <v>290</v>
      </c>
      <c r="E324" s="170" t="s">
        <v>197</v>
      </c>
      <c r="F324" s="338" t="s">
        <v>196</v>
      </c>
      <c r="G324" s="171" t="s">
        <v>363</v>
      </c>
    </row>
    <row r="325" spans="1:7" x14ac:dyDescent="0.25">
      <c r="B325" s="433"/>
      <c r="C325" s="126" t="s">
        <v>198</v>
      </c>
      <c r="D325" s="70">
        <f>125*G325</f>
        <v>250</v>
      </c>
      <c r="E325" s="61">
        <f>0.016*6</f>
        <v>9.6000000000000002E-2</v>
      </c>
      <c r="F325" s="339">
        <f>D325*E325</f>
        <v>24</v>
      </c>
      <c r="G325" s="133">
        <v>2</v>
      </c>
    </row>
    <row r="326" spans="1:7" ht="15.75" thickBot="1" x14ac:dyDescent="0.3">
      <c r="B326" s="434"/>
      <c r="C326" s="164" t="s">
        <v>195</v>
      </c>
      <c r="D326" s="70">
        <f>125*G326</f>
        <v>250</v>
      </c>
      <c r="E326" s="122">
        <f>0.016*1.6</f>
        <v>2.5600000000000001E-2</v>
      </c>
      <c r="F326" s="340">
        <f>D326*E326</f>
        <v>6.4</v>
      </c>
      <c r="G326" s="341">
        <v>2</v>
      </c>
    </row>
    <row r="327" spans="1:7" ht="21.75" thickBot="1" x14ac:dyDescent="0.3">
      <c r="B327" s="319"/>
      <c r="C327" s="1"/>
      <c r="D327" s="275"/>
      <c r="E327" s="1"/>
      <c r="F327" s="318"/>
    </row>
    <row r="328" spans="1:7" ht="15.75" thickBot="1" x14ac:dyDescent="0.3">
      <c r="B328" s="320" t="s">
        <v>362</v>
      </c>
    </row>
    <row r="329" spans="1:7" x14ac:dyDescent="0.25">
      <c r="B329" s="129" t="s">
        <v>361</v>
      </c>
      <c r="C329" s="130" t="s">
        <v>177</v>
      </c>
      <c r="D329" s="131" t="s">
        <v>178</v>
      </c>
      <c r="E329" s="131" t="s">
        <v>179</v>
      </c>
      <c r="F329" s="144" t="s">
        <v>6</v>
      </c>
    </row>
    <row r="330" spans="1:7" ht="15.75" x14ac:dyDescent="0.25">
      <c r="B330" s="335" t="s">
        <v>121</v>
      </c>
      <c r="C330" s="163"/>
      <c r="D330" s="1"/>
      <c r="E330" s="1"/>
      <c r="F330" s="26"/>
    </row>
    <row r="331" spans="1:7" ht="15.75" x14ac:dyDescent="0.25">
      <c r="B331" s="244" t="s">
        <v>122</v>
      </c>
      <c r="C331" s="106"/>
      <c r="D331" s="61"/>
      <c r="E331" s="78"/>
      <c r="F331" s="135"/>
    </row>
    <row r="332" spans="1:7" ht="15.75" x14ac:dyDescent="0.25">
      <c r="B332" s="244" t="s">
        <v>182</v>
      </c>
      <c r="C332" s="163">
        <f>F325</f>
        <v>24</v>
      </c>
      <c r="D332" s="61" t="s">
        <v>184</v>
      </c>
      <c r="E332" s="236">
        <v>9</v>
      </c>
      <c r="F332" s="135">
        <f t="shared" ref="F332:F333" si="8">C332*E332</f>
        <v>216</v>
      </c>
    </row>
    <row r="333" spans="1:7" ht="18" thickBot="1" x14ac:dyDescent="0.3">
      <c r="B333" s="323" t="s">
        <v>180</v>
      </c>
      <c r="C333" s="344">
        <f>ROUNDUP(6.4,0)</f>
        <v>7</v>
      </c>
      <c r="D333" s="80" t="s">
        <v>181</v>
      </c>
      <c r="E333" s="81">
        <v>12</v>
      </c>
      <c r="F333" s="137">
        <f t="shared" si="8"/>
        <v>84</v>
      </c>
    </row>
    <row r="334" spans="1:7" ht="15.75" thickBot="1" x14ac:dyDescent="0.3">
      <c r="B334" s="82" t="s">
        <v>168</v>
      </c>
      <c r="C334" s="82"/>
      <c r="D334" s="83"/>
      <c r="E334" s="84"/>
      <c r="F334" s="84">
        <f>SUM(F331:F333)</f>
        <v>300</v>
      </c>
    </row>
    <row r="335" spans="1:7" ht="16.5" thickBot="1" x14ac:dyDescent="0.3">
      <c r="B335" s="82" t="s">
        <v>5</v>
      </c>
      <c r="C335" s="82"/>
      <c r="D335" s="83"/>
      <c r="E335" s="84"/>
      <c r="F335" s="107">
        <f>F334/D325</f>
        <v>1.2</v>
      </c>
    </row>
    <row r="336" spans="1:7" x14ac:dyDescent="0.25">
      <c r="A336" s="1"/>
      <c r="B336" s="1"/>
      <c r="C336" s="1"/>
      <c r="D336" s="1"/>
      <c r="E336" s="1"/>
      <c r="F336" s="1"/>
    </row>
    <row r="337" spans="1:7" ht="15.75" thickBot="1" x14ac:dyDescent="0.3"/>
    <row r="338" spans="1:7" ht="17.25" x14ac:dyDescent="0.25">
      <c r="B338" s="432" t="s">
        <v>194</v>
      </c>
      <c r="C338" s="247"/>
      <c r="D338" s="169" t="s">
        <v>290</v>
      </c>
      <c r="E338" s="170" t="s">
        <v>197</v>
      </c>
      <c r="F338" s="338" t="s">
        <v>196</v>
      </c>
      <c r="G338" s="171" t="s">
        <v>363</v>
      </c>
    </row>
    <row r="339" spans="1:7" x14ac:dyDescent="0.25">
      <c r="B339" s="433"/>
      <c r="C339" s="126" t="s">
        <v>198</v>
      </c>
      <c r="D339" s="70">
        <v>276</v>
      </c>
      <c r="E339" s="61">
        <f>0.016*6</f>
        <v>9.6000000000000002E-2</v>
      </c>
      <c r="F339" s="339">
        <f>D339*E339*G339</f>
        <v>26.496000000000002</v>
      </c>
      <c r="G339" s="133">
        <v>1</v>
      </c>
    </row>
    <row r="340" spans="1:7" ht="15.75" thickBot="1" x14ac:dyDescent="0.3">
      <c r="B340" s="434"/>
      <c r="C340" s="164" t="s">
        <v>195</v>
      </c>
      <c r="D340" s="279">
        <v>276</v>
      </c>
      <c r="E340" s="122">
        <f>0.016*1.6</f>
        <v>2.5600000000000001E-2</v>
      </c>
      <c r="F340" s="340">
        <f>D340*E340*G340</f>
        <v>7.0656000000000008</v>
      </c>
      <c r="G340" s="341">
        <v>1</v>
      </c>
    </row>
    <row r="341" spans="1:7" ht="21.75" thickBot="1" x14ac:dyDescent="0.3">
      <c r="B341" s="319"/>
      <c r="C341" s="1"/>
      <c r="D341" s="275"/>
      <c r="E341" s="1"/>
      <c r="F341" s="318"/>
    </row>
    <row r="342" spans="1:7" ht="15.75" thickBot="1" x14ac:dyDescent="0.3">
      <c r="B342" s="320" t="s">
        <v>362</v>
      </c>
    </row>
    <row r="343" spans="1:7" x14ac:dyDescent="0.25">
      <c r="B343" s="129" t="s">
        <v>361</v>
      </c>
      <c r="C343" s="130" t="s">
        <v>177</v>
      </c>
      <c r="D343" s="131" t="s">
        <v>178</v>
      </c>
      <c r="E343" s="131" t="s">
        <v>179</v>
      </c>
      <c r="F343" s="144" t="s">
        <v>6</v>
      </c>
    </row>
    <row r="344" spans="1:7" ht="15.75" x14ac:dyDescent="0.25">
      <c r="B344" s="335" t="s">
        <v>123</v>
      </c>
      <c r="C344" s="163"/>
      <c r="D344" s="1"/>
      <c r="E344" s="1"/>
      <c r="F344" s="26"/>
    </row>
    <row r="345" spans="1:7" ht="15.75" x14ac:dyDescent="0.25">
      <c r="B345" s="335" t="s">
        <v>122</v>
      </c>
      <c r="C345" s="106"/>
      <c r="D345" s="61"/>
      <c r="E345" s="78"/>
      <c r="F345" s="135"/>
    </row>
    <row r="346" spans="1:7" ht="15.75" x14ac:dyDescent="0.25">
      <c r="B346" s="335" t="s">
        <v>182</v>
      </c>
      <c r="C346" s="163">
        <f>F339</f>
        <v>26.496000000000002</v>
      </c>
      <c r="D346" s="61" t="s">
        <v>184</v>
      </c>
      <c r="E346" s="236">
        <v>9</v>
      </c>
      <c r="F346" s="135">
        <f t="shared" ref="F346:F347" si="9">C346*E346</f>
        <v>238.46400000000003</v>
      </c>
    </row>
    <row r="347" spans="1:7" ht="18" thickBot="1" x14ac:dyDescent="0.3">
      <c r="B347" s="126" t="s">
        <v>180</v>
      </c>
      <c r="C347" s="106">
        <f>ROUNDUP(6.4,0)</f>
        <v>7</v>
      </c>
      <c r="D347" s="61" t="s">
        <v>181</v>
      </c>
      <c r="E347" s="78">
        <v>12</v>
      </c>
      <c r="F347" s="135">
        <f t="shared" si="9"/>
        <v>84</v>
      </c>
    </row>
    <row r="348" spans="1:7" ht="15.75" thickBot="1" x14ac:dyDescent="0.3">
      <c r="B348" s="337" t="s">
        <v>168</v>
      </c>
      <c r="C348" s="82"/>
      <c r="D348" s="83"/>
      <c r="E348" s="84"/>
      <c r="F348" s="84">
        <f>SUM(F345:F347)</f>
        <v>322.46400000000006</v>
      </c>
    </row>
    <row r="349" spans="1:7" ht="16.5" thickBot="1" x14ac:dyDescent="0.3">
      <c r="B349" s="82" t="s">
        <v>5</v>
      </c>
      <c r="C349" s="82"/>
      <c r="D349" s="83"/>
      <c r="E349" s="84"/>
      <c r="F349" s="107">
        <f>F348/D339</f>
        <v>1.1683478260869566</v>
      </c>
    </row>
    <row r="350" spans="1:7" ht="15.75" x14ac:dyDescent="0.25">
      <c r="B350" s="321"/>
      <c r="C350" s="321"/>
      <c r="D350" s="342"/>
      <c r="E350" s="343"/>
      <c r="F350" s="159"/>
    </row>
    <row r="351" spans="1:7" ht="15.75" thickBot="1" x14ac:dyDescent="0.3">
      <c r="A351" s="1"/>
      <c r="B351" s="1"/>
      <c r="C351" s="1"/>
      <c r="D351" s="1"/>
      <c r="E351" s="1"/>
      <c r="F351" s="1"/>
    </row>
    <row r="352" spans="1:7" ht="17.25" customHeight="1" x14ac:dyDescent="0.25">
      <c r="A352" s="1"/>
      <c r="B352" s="432" t="s">
        <v>194</v>
      </c>
      <c r="C352" s="247"/>
      <c r="D352" s="169" t="s">
        <v>290</v>
      </c>
      <c r="E352" s="170" t="s">
        <v>197</v>
      </c>
      <c r="F352" s="338" t="s">
        <v>196</v>
      </c>
      <c r="G352" s="171" t="s">
        <v>363</v>
      </c>
    </row>
    <row r="353" spans="2:7" x14ac:dyDescent="0.25">
      <c r="B353" s="433"/>
      <c r="C353" s="126" t="s">
        <v>365</v>
      </c>
      <c r="D353" s="70">
        <f>27*G353</f>
        <v>27</v>
      </c>
      <c r="E353" s="61">
        <v>8</v>
      </c>
      <c r="F353" s="339">
        <f>D353/E353</f>
        <v>3.375</v>
      </c>
      <c r="G353" s="133">
        <v>1</v>
      </c>
    </row>
    <row r="354" spans="2:7" ht="15.75" thickBot="1" x14ac:dyDescent="0.3">
      <c r="B354" s="434"/>
      <c r="C354" s="164" t="s">
        <v>366</v>
      </c>
      <c r="D354" s="104">
        <f>27*G354</f>
        <v>54</v>
      </c>
      <c r="E354" s="122">
        <v>16</v>
      </c>
      <c r="F354" s="340">
        <f>D354/E354</f>
        <v>3.375</v>
      </c>
      <c r="G354" s="341">
        <v>2</v>
      </c>
    </row>
    <row r="355" spans="2:7" ht="21.75" thickBot="1" x14ac:dyDescent="0.3">
      <c r="B355" s="319"/>
      <c r="C355" s="1"/>
      <c r="D355" s="275"/>
      <c r="E355" s="1"/>
      <c r="F355" s="318"/>
    </row>
    <row r="356" spans="2:7" ht="15.75" thickBot="1" x14ac:dyDescent="0.3">
      <c r="B356" s="320" t="s">
        <v>362</v>
      </c>
    </row>
    <row r="357" spans="2:7" x14ac:dyDescent="0.25">
      <c r="B357" s="129" t="s">
        <v>364</v>
      </c>
      <c r="C357" s="130" t="s">
        <v>177</v>
      </c>
      <c r="D357" s="131" t="s">
        <v>178</v>
      </c>
      <c r="E357" s="131" t="s">
        <v>179</v>
      </c>
      <c r="F357" s="144" t="s">
        <v>6</v>
      </c>
    </row>
    <row r="358" spans="2:7" ht="15.75" x14ac:dyDescent="0.25">
      <c r="B358" s="335" t="s">
        <v>124</v>
      </c>
      <c r="C358" s="163"/>
      <c r="D358" s="1"/>
      <c r="E358" s="1"/>
      <c r="F358" s="26"/>
    </row>
    <row r="359" spans="2:7" ht="15.75" x14ac:dyDescent="0.25">
      <c r="B359" s="335" t="s">
        <v>125</v>
      </c>
      <c r="C359" s="106"/>
      <c r="D359" s="61"/>
      <c r="E359" s="78"/>
      <c r="F359" s="135"/>
    </row>
    <row r="360" spans="2:7" ht="15.75" x14ac:dyDescent="0.25">
      <c r="B360" s="335" t="s">
        <v>126</v>
      </c>
      <c r="C360" s="106"/>
      <c r="D360" s="61"/>
      <c r="E360" s="236"/>
      <c r="F360" s="135"/>
    </row>
    <row r="361" spans="2:7" ht="15.75" x14ac:dyDescent="0.25">
      <c r="B361" s="335" t="s">
        <v>369</v>
      </c>
      <c r="C361" s="106">
        <v>3</v>
      </c>
      <c r="D361" s="61" t="s">
        <v>370</v>
      </c>
      <c r="E361" s="236">
        <v>20</v>
      </c>
      <c r="F361" s="135">
        <f>C361*E361</f>
        <v>60</v>
      </c>
    </row>
    <row r="362" spans="2:7" ht="15.75" x14ac:dyDescent="0.25">
      <c r="B362" s="335" t="s">
        <v>367</v>
      </c>
      <c r="C362" s="163">
        <f>F353</f>
        <v>3.375</v>
      </c>
      <c r="D362" s="61" t="s">
        <v>370</v>
      </c>
      <c r="E362" s="236">
        <v>24</v>
      </c>
      <c r="F362" s="135">
        <f>C362*E362</f>
        <v>81</v>
      </c>
    </row>
    <row r="363" spans="2:7" ht="15.75" thickBot="1" x14ac:dyDescent="0.3">
      <c r="B363" s="126" t="s">
        <v>368</v>
      </c>
      <c r="C363" s="106">
        <f>ROUNDUP(6.4,0)</f>
        <v>7</v>
      </c>
      <c r="D363" s="61" t="s">
        <v>370</v>
      </c>
      <c r="E363" s="78">
        <v>21</v>
      </c>
      <c r="F363" s="135">
        <f t="shared" ref="F363" si="10">C363*E363</f>
        <v>147</v>
      </c>
    </row>
    <row r="364" spans="2:7" ht="15.75" thickBot="1" x14ac:dyDescent="0.3">
      <c r="B364" s="337" t="s">
        <v>168</v>
      </c>
      <c r="C364" s="82"/>
      <c r="D364" s="83"/>
      <c r="E364" s="84"/>
      <c r="F364" s="84">
        <f>SUM(F359:F363)</f>
        <v>288</v>
      </c>
    </row>
    <row r="365" spans="2:7" ht="16.5" thickBot="1" x14ac:dyDescent="0.3">
      <c r="B365" s="82" t="s">
        <v>5</v>
      </c>
      <c r="C365" s="82"/>
      <c r="D365" s="83"/>
      <c r="E365" s="84"/>
      <c r="F365" s="107">
        <f>F364/D353</f>
        <v>10.666666666666666</v>
      </c>
    </row>
    <row r="367" spans="2:7" ht="15.75" thickBot="1" x14ac:dyDescent="0.3"/>
    <row r="368" spans="2:7" ht="17.25" x14ac:dyDescent="0.25">
      <c r="B368" s="432" t="s">
        <v>194</v>
      </c>
      <c r="C368" s="247"/>
      <c r="D368" s="169" t="s">
        <v>290</v>
      </c>
      <c r="E368" s="170" t="s">
        <v>197</v>
      </c>
      <c r="F368" s="338" t="s">
        <v>196</v>
      </c>
      <c r="G368" s="171" t="s">
        <v>363</v>
      </c>
    </row>
    <row r="369" spans="2:7" x14ac:dyDescent="0.25">
      <c r="B369" s="433"/>
      <c r="C369" s="126" t="s">
        <v>365</v>
      </c>
      <c r="D369" s="70">
        <f>276*G369</f>
        <v>276</v>
      </c>
      <c r="E369" s="61">
        <v>8</v>
      </c>
      <c r="F369" s="339">
        <f>D369/E369</f>
        <v>34.5</v>
      </c>
      <c r="G369" s="133">
        <v>1</v>
      </c>
    </row>
    <row r="370" spans="2:7" ht="15.75" thickBot="1" x14ac:dyDescent="0.3">
      <c r="B370" s="434"/>
      <c r="C370" s="164" t="s">
        <v>366</v>
      </c>
      <c r="D370" s="70">
        <f>276*G370</f>
        <v>552</v>
      </c>
      <c r="E370" s="122">
        <v>16</v>
      </c>
      <c r="F370" s="339">
        <f>D370/E370</f>
        <v>34.5</v>
      </c>
      <c r="G370" s="341">
        <v>2</v>
      </c>
    </row>
    <row r="371" spans="2:7" ht="21.75" thickBot="1" x14ac:dyDescent="0.3">
      <c r="B371" s="319"/>
      <c r="C371" s="1"/>
      <c r="D371" s="275"/>
      <c r="E371" s="1"/>
      <c r="F371" s="318"/>
    </row>
    <row r="372" spans="2:7" ht="15.75" thickBot="1" x14ac:dyDescent="0.3">
      <c r="B372" s="320" t="s">
        <v>362</v>
      </c>
    </row>
    <row r="373" spans="2:7" x14ac:dyDescent="0.25">
      <c r="B373" s="129" t="s">
        <v>364</v>
      </c>
      <c r="C373" s="130" t="s">
        <v>177</v>
      </c>
      <c r="D373" s="131" t="s">
        <v>178</v>
      </c>
      <c r="E373" s="131" t="s">
        <v>179</v>
      </c>
      <c r="F373" s="144" t="s">
        <v>6</v>
      </c>
    </row>
    <row r="374" spans="2:7" ht="15.75" x14ac:dyDescent="0.25">
      <c r="B374" s="244" t="s">
        <v>132</v>
      </c>
      <c r="C374" s="163"/>
      <c r="D374" s="1"/>
      <c r="E374" s="1"/>
      <c r="F374" s="26"/>
    </row>
    <row r="375" spans="2:7" ht="15.75" x14ac:dyDescent="0.25">
      <c r="B375" s="244" t="s">
        <v>138</v>
      </c>
      <c r="C375" s="106"/>
      <c r="D375" s="61"/>
      <c r="E375" s="78"/>
      <c r="F375" s="135"/>
    </row>
    <row r="376" spans="2:7" ht="15.75" x14ac:dyDescent="0.25">
      <c r="B376" s="244" t="s">
        <v>139</v>
      </c>
      <c r="C376" s="106"/>
      <c r="D376" s="61"/>
      <c r="E376" s="236"/>
      <c r="F376" s="135"/>
    </row>
    <row r="377" spans="2:7" ht="15.75" x14ac:dyDescent="0.25">
      <c r="B377" s="335" t="s">
        <v>369</v>
      </c>
      <c r="C377" s="106">
        <v>3</v>
      </c>
      <c r="D377" s="61" t="s">
        <v>370</v>
      </c>
      <c r="E377" s="236">
        <v>20</v>
      </c>
      <c r="F377" s="135">
        <f>C377*E377</f>
        <v>60</v>
      </c>
    </row>
    <row r="378" spans="2:7" ht="15.75" x14ac:dyDescent="0.25">
      <c r="B378" s="335" t="s">
        <v>367</v>
      </c>
      <c r="C378" s="163">
        <f>F369</f>
        <v>34.5</v>
      </c>
      <c r="D378" s="61" t="s">
        <v>370</v>
      </c>
      <c r="E378" s="236">
        <v>24</v>
      </c>
      <c r="F378" s="135">
        <f>C378*E378</f>
        <v>828</v>
      </c>
    </row>
    <row r="379" spans="2:7" ht="15.75" thickBot="1" x14ac:dyDescent="0.3">
      <c r="B379" s="126" t="s">
        <v>368</v>
      </c>
      <c r="C379" s="106">
        <f>ROUNDUP(6.4,0)</f>
        <v>7</v>
      </c>
      <c r="D379" s="61" t="s">
        <v>370</v>
      </c>
      <c r="E379" s="78">
        <v>21</v>
      </c>
      <c r="F379" s="135">
        <f t="shared" ref="F379" si="11">C379*E379</f>
        <v>147</v>
      </c>
    </row>
    <row r="380" spans="2:7" ht="15.75" thickBot="1" x14ac:dyDescent="0.3">
      <c r="B380" s="337" t="s">
        <v>168</v>
      </c>
      <c r="C380" s="82"/>
      <c r="D380" s="83"/>
      <c r="E380" s="84"/>
      <c r="F380" s="84">
        <f>SUM(F375:F379)</f>
        <v>1035</v>
      </c>
    </row>
    <row r="381" spans="2:7" ht="16.5" thickBot="1" x14ac:dyDescent="0.3">
      <c r="B381" s="82" t="s">
        <v>5</v>
      </c>
      <c r="C381" s="82"/>
      <c r="D381" s="83"/>
      <c r="E381" s="84"/>
      <c r="F381" s="107">
        <f>F380/D369</f>
        <v>3.75</v>
      </c>
    </row>
    <row r="383" spans="2:7" ht="15.75" thickBot="1" x14ac:dyDescent="0.3"/>
    <row r="384" spans="2:7" ht="17.25" x14ac:dyDescent="0.25">
      <c r="B384" s="432" t="s">
        <v>194</v>
      </c>
      <c r="C384" s="247"/>
      <c r="D384" s="169" t="s">
        <v>290</v>
      </c>
      <c r="E384" s="170" t="s">
        <v>197</v>
      </c>
      <c r="F384" s="338" t="s">
        <v>196</v>
      </c>
      <c r="G384" s="171" t="s">
        <v>363</v>
      </c>
    </row>
    <row r="385" spans="2:7" x14ac:dyDescent="0.25">
      <c r="B385" s="433"/>
      <c r="C385" s="126" t="s">
        <v>365</v>
      </c>
      <c r="D385" s="70">
        <f>11*G385</f>
        <v>11</v>
      </c>
      <c r="E385" s="61">
        <v>8</v>
      </c>
      <c r="F385" s="339">
        <f>D385/E385</f>
        <v>1.375</v>
      </c>
      <c r="G385" s="133">
        <v>1</v>
      </c>
    </row>
    <row r="386" spans="2:7" ht="15.75" thickBot="1" x14ac:dyDescent="0.3">
      <c r="B386" s="434"/>
      <c r="C386" s="164" t="s">
        <v>366</v>
      </c>
      <c r="D386" s="104">
        <f>11*G386</f>
        <v>22</v>
      </c>
      <c r="E386" s="122">
        <v>16</v>
      </c>
      <c r="F386" s="340">
        <f>D386/E386</f>
        <v>1.375</v>
      </c>
      <c r="G386" s="341">
        <v>2</v>
      </c>
    </row>
    <row r="387" spans="2:7" ht="21.75" thickBot="1" x14ac:dyDescent="0.3">
      <c r="B387" s="319"/>
      <c r="C387" s="1"/>
      <c r="D387" s="275"/>
      <c r="E387" s="1"/>
      <c r="F387" s="318"/>
    </row>
    <row r="388" spans="2:7" ht="15.75" thickBot="1" x14ac:dyDescent="0.3">
      <c r="B388" s="320" t="s">
        <v>362</v>
      </c>
    </row>
    <row r="389" spans="2:7" x14ac:dyDescent="0.25">
      <c r="B389" s="129" t="s">
        <v>364</v>
      </c>
      <c r="C389" s="130" t="s">
        <v>177</v>
      </c>
      <c r="D389" s="131" t="s">
        <v>178</v>
      </c>
      <c r="E389" s="131" t="s">
        <v>179</v>
      </c>
      <c r="F389" s="144" t="s">
        <v>6</v>
      </c>
    </row>
    <row r="390" spans="2:7" ht="15.75" x14ac:dyDescent="0.25">
      <c r="B390" s="244" t="s">
        <v>127</v>
      </c>
      <c r="C390" s="163"/>
      <c r="D390" s="1"/>
      <c r="E390" s="1"/>
      <c r="F390" s="26"/>
    </row>
    <row r="391" spans="2:7" ht="15.75" x14ac:dyDescent="0.25">
      <c r="B391" s="244" t="s">
        <v>128</v>
      </c>
      <c r="C391" s="106"/>
      <c r="D391" s="61"/>
      <c r="E391" s="67"/>
      <c r="F391" s="67"/>
    </row>
    <row r="392" spans="2:7" ht="15.75" x14ac:dyDescent="0.25">
      <c r="B392" s="244" t="s">
        <v>129</v>
      </c>
      <c r="C392" s="106"/>
      <c r="D392" s="61"/>
      <c r="E392" s="67"/>
      <c r="F392" s="67"/>
    </row>
    <row r="393" spans="2:7" ht="15.75" x14ac:dyDescent="0.25">
      <c r="B393" s="244" t="s">
        <v>130</v>
      </c>
      <c r="C393" s="60"/>
      <c r="D393" s="60"/>
      <c r="E393" s="60"/>
      <c r="F393" s="60"/>
    </row>
    <row r="394" spans="2:7" ht="15.75" x14ac:dyDescent="0.25">
      <c r="B394" s="335" t="s">
        <v>367</v>
      </c>
      <c r="C394" s="163">
        <f>F385</f>
        <v>1.375</v>
      </c>
      <c r="D394" s="61" t="s">
        <v>370</v>
      </c>
      <c r="E394" s="67">
        <v>24</v>
      </c>
      <c r="F394" s="67">
        <f>C394*E394</f>
        <v>33</v>
      </c>
    </row>
    <row r="395" spans="2:7" ht="15.75" thickBot="1" x14ac:dyDescent="0.3">
      <c r="B395" s="126" t="s">
        <v>368</v>
      </c>
      <c r="C395" s="106">
        <f>ROUNDUP(6.4,0)</f>
        <v>7</v>
      </c>
      <c r="D395" s="61" t="s">
        <v>370</v>
      </c>
      <c r="E395" s="78">
        <v>21</v>
      </c>
      <c r="F395" s="135">
        <f t="shared" ref="F395" si="12">C395*E395</f>
        <v>147</v>
      </c>
    </row>
    <row r="396" spans="2:7" ht="15.75" thickBot="1" x14ac:dyDescent="0.3">
      <c r="B396" s="337" t="s">
        <v>168</v>
      </c>
      <c r="C396" s="82"/>
      <c r="D396" s="83"/>
      <c r="E396" s="84"/>
      <c r="F396" s="84">
        <f>SUM(F391:F395)</f>
        <v>180</v>
      </c>
    </row>
    <row r="397" spans="2:7" ht="16.5" thickBot="1" x14ac:dyDescent="0.3">
      <c r="B397" s="82" t="s">
        <v>5</v>
      </c>
      <c r="C397" s="82"/>
      <c r="D397" s="83"/>
      <c r="E397" s="84"/>
      <c r="F397" s="107">
        <f>F396/D385</f>
        <v>16.363636363636363</v>
      </c>
    </row>
    <row r="398" spans="2:7" ht="15.75" thickBot="1" x14ac:dyDescent="0.3"/>
    <row r="399" spans="2:7" ht="17.25" x14ac:dyDescent="0.25">
      <c r="B399" s="432" t="s">
        <v>194</v>
      </c>
      <c r="C399" s="247"/>
      <c r="D399" s="169" t="s">
        <v>290</v>
      </c>
      <c r="E399" s="170" t="s">
        <v>197</v>
      </c>
      <c r="F399" s="338" t="s">
        <v>196</v>
      </c>
      <c r="G399" s="171" t="s">
        <v>363</v>
      </c>
    </row>
    <row r="400" spans="2:7" x14ac:dyDescent="0.25">
      <c r="B400" s="433"/>
      <c r="C400" s="126" t="s">
        <v>365</v>
      </c>
      <c r="D400" s="70">
        <f>8*G400</f>
        <v>8</v>
      </c>
      <c r="E400" s="61">
        <v>8</v>
      </c>
      <c r="F400" s="339">
        <f>D400/E400</f>
        <v>1</v>
      </c>
      <c r="G400" s="133">
        <v>1</v>
      </c>
    </row>
    <row r="401" spans="1:7" ht="15.75" thickBot="1" x14ac:dyDescent="0.3">
      <c r="B401" s="434"/>
      <c r="C401" s="164" t="s">
        <v>366</v>
      </c>
      <c r="D401" s="104">
        <f>8*G401</f>
        <v>16</v>
      </c>
      <c r="E401" s="122">
        <v>16</v>
      </c>
      <c r="F401" s="340">
        <f>D401/E401</f>
        <v>1</v>
      </c>
      <c r="G401" s="341">
        <v>2</v>
      </c>
    </row>
    <row r="402" spans="1:7" ht="21.75" thickBot="1" x14ac:dyDescent="0.3">
      <c r="B402" s="319"/>
      <c r="C402" s="1"/>
      <c r="D402" s="275"/>
      <c r="E402" s="1"/>
      <c r="F402" s="318"/>
    </row>
    <row r="403" spans="1:7" ht="15.75" thickBot="1" x14ac:dyDescent="0.3">
      <c r="B403" s="320" t="s">
        <v>362</v>
      </c>
    </row>
    <row r="404" spans="1:7" x14ac:dyDescent="0.25">
      <c r="B404" s="129" t="s">
        <v>364</v>
      </c>
      <c r="C404" s="130" t="s">
        <v>177</v>
      </c>
      <c r="D404" s="131" t="s">
        <v>178</v>
      </c>
      <c r="E404" s="131" t="s">
        <v>179</v>
      </c>
      <c r="F404" s="144" t="s">
        <v>6</v>
      </c>
    </row>
    <row r="405" spans="1:7" ht="15.75" x14ac:dyDescent="0.25">
      <c r="B405" s="244" t="s">
        <v>127</v>
      </c>
      <c r="C405" s="163"/>
      <c r="D405" s="1"/>
      <c r="E405" s="1"/>
      <c r="F405" s="26"/>
    </row>
    <row r="406" spans="1:7" ht="15.75" x14ac:dyDescent="0.25">
      <c r="B406" s="244" t="s">
        <v>128</v>
      </c>
      <c r="C406" s="106"/>
      <c r="D406" s="61"/>
      <c r="E406" s="67"/>
      <c r="F406" s="67"/>
    </row>
    <row r="407" spans="1:7" ht="15.75" x14ac:dyDescent="0.25">
      <c r="B407" s="244" t="s">
        <v>129</v>
      </c>
      <c r="C407" s="106"/>
      <c r="D407" s="61"/>
      <c r="E407" s="67"/>
      <c r="F407" s="67"/>
    </row>
    <row r="408" spans="1:7" ht="15.75" x14ac:dyDescent="0.25">
      <c r="B408" s="244" t="s">
        <v>131</v>
      </c>
      <c r="C408" s="60"/>
      <c r="D408" s="60"/>
      <c r="E408" s="60"/>
      <c r="F408" s="60"/>
    </row>
    <row r="409" spans="1:7" ht="15.75" x14ac:dyDescent="0.25">
      <c r="B409" s="335" t="s">
        <v>367</v>
      </c>
      <c r="C409" s="163">
        <f>F400</f>
        <v>1</v>
      </c>
      <c r="D409" s="61" t="s">
        <v>370</v>
      </c>
      <c r="E409" s="67">
        <v>24</v>
      </c>
      <c r="F409" s="67">
        <f>C409*E409</f>
        <v>24</v>
      </c>
    </row>
    <row r="410" spans="1:7" x14ac:dyDescent="0.25">
      <c r="B410" s="126" t="s">
        <v>368</v>
      </c>
      <c r="C410" s="106">
        <v>1</v>
      </c>
      <c r="D410" s="61" t="s">
        <v>370</v>
      </c>
      <c r="E410" s="78">
        <v>21</v>
      </c>
      <c r="F410" s="135">
        <f t="shared" ref="F410" si="13">C410*E410</f>
        <v>21</v>
      </c>
    </row>
    <row r="411" spans="1:7" ht="15.75" thickBot="1" x14ac:dyDescent="0.3">
      <c r="B411" s="336" t="s">
        <v>371</v>
      </c>
      <c r="C411" s="345">
        <v>0.5</v>
      </c>
      <c r="D411" s="124" t="s">
        <v>370</v>
      </c>
      <c r="E411" s="236">
        <v>5</v>
      </c>
      <c r="F411" s="135">
        <f>C411*E411</f>
        <v>2.5</v>
      </c>
    </row>
    <row r="412" spans="1:7" ht="15.75" thickBot="1" x14ac:dyDescent="0.3">
      <c r="B412" s="337" t="s">
        <v>168</v>
      </c>
      <c r="C412" s="82"/>
      <c r="D412" s="83"/>
      <c r="E412" s="84"/>
      <c r="F412" s="84">
        <f>SUM(F406:F410)</f>
        <v>45</v>
      </c>
    </row>
    <row r="413" spans="1:7" ht="16.5" thickBot="1" x14ac:dyDescent="0.3">
      <c r="B413" s="82" t="s">
        <v>5</v>
      </c>
      <c r="C413" s="82"/>
      <c r="D413" s="83"/>
      <c r="E413" s="84"/>
      <c r="F413" s="107">
        <f>F412/D400</f>
        <v>5.625</v>
      </c>
    </row>
    <row r="415" spans="1:7" ht="15.75" thickBot="1" x14ac:dyDescent="0.3"/>
    <row r="416" spans="1:7" ht="16.5" thickBot="1" x14ac:dyDescent="0.3">
      <c r="A416" s="92" t="s">
        <v>190</v>
      </c>
      <c r="B416" s="92" t="s">
        <v>359</v>
      </c>
      <c r="C416" s="207"/>
      <c r="D416" s="208"/>
    </row>
    <row r="417" spans="1:6" ht="15.75" x14ac:dyDescent="0.25">
      <c r="A417" s="198"/>
      <c r="B417" s="201"/>
      <c r="C417" s="202"/>
    </row>
    <row r="418" spans="1:6" ht="16.5" thickBot="1" x14ac:dyDescent="0.3">
      <c r="A418" s="198"/>
      <c r="B418" s="201" t="s">
        <v>226</v>
      </c>
      <c r="C418" s="202"/>
    </row>
    <row r="419" spans="1:6" ht="15.75" customHeight="1" x14ac:dyDescent="0.25">
      <c r="A419" s="101"/>
      <c r="B419" s="429" t="s">
        <v>194</v>
      </c>
      <c r="C419" s="168"/>
      <c r="D419" s="169" t="s">
        <v>199</v>
      </c>
      <c r="E419" s="170" t="s">
        <v>197</v>
      </c>
      <c r="F419" s="171" t="s">
        <v>196</v>
      </c>
    </row>
    <row r="420" spans="1:6" ht="15.75" customHeight="1" x14ac:dyDescent="0.25">
      <c r="A420" s="101"/>
      <c r="B420" s="430"/>
      <c r="C420" s="109" t="s">
        <v>195</v>
      </c>
      <c r="D420" s="70">
        <v>93</v>
      </c>
      <c r="E420" s="60">
        <f>0.04*1.1*1.05</f>
        <v>4.6200000000000005E-2</v>
      </c>
      <c r="F420" s="162">
        <f>D420*E420</f>
        <v>4.2966000000000006</v>
      </c>
    </row>
    <row r="421" spans="1:6" ht="16.5" customHeight="1" thickBot="1" x14ac:dyDescent="0.3">
      <c r="A421" s="101"/>
      <c r="B421" s="431"/>
      <c r="C421" s="123" t="s">
        <v>198</v>
      </c>
      <c r="D421" s="104">
        <v>93</v>
      </c>
      <c r="E421" s="103">
        <f>0.04*10.56*1.05</f>
        <v>0.44352000000000008</v>
      </c>
      <c r="F421" s="105">
        <f>D421*E421</f>
        <v>41.247360000000008</v>
      </c>
    </row>
    <row r="422" spans="1:6" ht="16.5" thickBot="1" x14ac:dyDescent="0.3">
      <c r="A422" s="101"/>
      <c r="B422" s="102"/>
    </row>
    <row r="423" spans="1:6" ht="15.75" x14ac:dyDescent="0.25">
      <c r="A423" s="71" t="s">
        <v>187</v>
      </c>
      <c r="B423" s="129" t="s">
        <v>200</v>
      </c>
      <c r="C423" s="130" t="s">
        <v>177</v>
      </c>
      <c r="D423" s="131" t="s">
        <v>178</v>
      </c>
      <c r="E423" s="131" t="s">
        <v>179</v>
      </c>
      <c r="F423" s="144" t="s">
        <v>6</v>
      </c>
    </row>
    <row r="424" spans="1:6" ht="17.25" x14ac:dyDescent="0.25">
      <c r="B424" s="132" t="s">
        <v>180</v>
      </c>
      <c r="C424" s="163">
        <f>F420</f>
        <v>4.2966000000000006</v>
      </c>
      <c r="D424" s="61" t="s">
        <v>181</v>
      </c>
      <c r="E424" s="78">
        <v>15</v>
      </c>
      <c r="F424" s="127">
        <f>C424*E424</f>
        <v>64.449000000000012</v>
      </c>
    </row>
    <row r="425" spans="1:6" x14ac:dyDescent="0.25">
      <c r="B425" s="132" t="s">
        <v>182</v>
      </c>
      <c r="C425" s="106">
        <f>F421</f>
        <v>41.247360000000008</v>
      </c>
      <c r="D425" s="61"/>
      <c r="E425" s="78"/>
      <c r="F425" s="133"/>
    </row>
    <row r="426" spans="1:6" x14ac:dyDescent="0.25">
      <c r="B426" s="134" t="s">
        <v>183</v>
      </c>
      <c r="C426" s="77">
        <v>1</v>
      </c>
      <c r="D426" s="61"/>
      <c r="E426" s="1"/>
      <c r="F426" s="133"/>
    </row>
    <row r="427" spans="1:6" x14ac:dyDescent="0.25">
      <c r="B427" s="134"/>
      <c r="C427" s="106">
        <f>SUM(C425:C426)</f>
        <v>42.247360000000008</v>
      </c>
      <c r="D427" s="61" t="s">
        <v>184</v>
      </c>
      <c r="E427" s="78">
        <f>9+1</f>
        <v>10</v>
      </c>
      <c r="F427" s="135">
        <f>C427*E427</f>
        <v>422.47360000000009</v>
      </c>
    </row>
    <row r="428" spans="1:6" x14ac:dyDescent="0.25">
      <c r="B428" s="134" t="s">
        <v>185</v>
      </c>
      <c r="C428" s="61"/>
      <c r="D428" s="60"/>
      <c r="E428" s="78"/>
      <c r="F428" s="133"/>
    </row>
    <row r="429" spans="1:6" ht="15.75" thickBot="1" x14ac:dyDescent="0.3">
      <c r="B429" s="136" t="s">
        <v>186</v>
      </c>
      <c r="C429" s="79">
        <v>1</v>
      </c>
      <c r="D429" s="80" t="s">
        <v>156</v>
      </c>
      <c r="E429" s="81">
        <v>2</v>
      </c>
      <c r="F429" s="137">
        <f>C429*E429</f>
        <v>2</v>
      </c>
    </row>
    <row r="430" spans="1:6" ht="15.75" thickBot="1" x14ac:dyDescent="0.3">
      <c r="A430" s="1"/>
      <c r="B430" s="82" t="s">
        <v>168</v>
      </c>
      <c r="C430" s="82"/>
      <c r="D430" s="83"/>
      <c r="E430" s="84"/>
      <c r="F430" s="84">
        <f>SUM(F424:F429)</f>
        <v>488.9226000000001</v>
      </c>
    </row>
    <row r="431" spans="1:6" ht="16.5" thickBot="1" x14ac:dyDescent="0.3">
      <c r="A431" s="1"/>
      <c r="B431" s="82" t="s">
        <v>5</v>
      </c>
      <c r="C431" s="82"/>
      <c r="D431" s="83"/>
      <c r="E431" s="84"/>
      <c r="F431" s="107">
        <f>F430/93</f>
        <v>5.2572322580645174</v>
      </c>
    </row>
    <row r="432" spans="1:6" ht="15.75" thickBot="1" x14ac:dyDescent="0.3"/>
    <row r="433" spans="1:6" x14ac:dyDescent="0.25">
      <c r="A433" s="72" t="s">
        <v>187</v>
      </c>
      <c r="B433" s="138" t="s">
        <v>201</v>
      </c>
      <c r="C433" s="130" t="s">
        <v>177</v>
      </c>
      <c r="D433" s="131" t="s">
        <v>178</v>
      </c>
      <c r="E433" s="139" t="s">
        <v>179</v>
      </c>
      <c r="F433" s="140" t="s">
        <v>6</v>
      </c>
    </row>
    <row r="434" spans="1:6" ht="17.25" x14ac:dyDescent="0.25">
      <c r="B434" s="132" t="s">
        <v>180</v>
      </c>
      <c r="C434" s="163">
        <f>F420</f>
        <v>4.2966000000000006</v>
      </c>
      <c r="D434" s="61" t="s">
        <v>181</v>
      </c>
      <c r="E434" s="160">
        <v>15</v>
      </c>
      <c r="F434" s="127">
        <f>C434*E434</f>
        <v>64.449000000000012</v>
      </c>
    </row>
    <row r="435" spans="1:6" x14ac:dyDescent="0.25">
      <c r="B435" s="132" t="s">
        <v>182</v>
      </c>
      <c r="C435" s="106">
        <f>F421</f>
        <v>41.247360000000008</v>
      </c>
      <c r="D435" s="60"/>
      <c r="E435" s="78"/>
      <c r="F435" s="141"/>
    </row>
    <row r="436" spans="1:6" x14ac:dyDescent="0.25">
      <c r="B436" s="134" t="s">
        <v>183</v>
      </c>
      <c r="C436" s="76">
        <f>0.0125*41</f>
        <v>0.51250000000000007</v>
      </c>
      <c r="D436" s="60"/>
      <c r="E436" s="60"/>
      <c r="F436" s="60"/>
    </row>
    <row r="437" spans="1:6" ht="15.75" thickBot="1" x14ac:dyDescent="0.3">
      <c r="B437" s="142"/>
      <c r="C437" s="85">
        <f>SUM(C435:C436)</f>
        <v>41.75986000000001</v>
      </c>
      <c r="D437" s="80" t="s">
        <v>184</v>
      </c>
      <c r="E437" s="86">
        <f>9+1</f>
        <v>10</v>
      </c>
      <c r="F437" s="143">
        <f>C437*E437</f>
        <v>417.59860000000009</v>
      </c>
    </row>
    <row r="438" spans="1:6" ht="15.75" thickBot="1" x14ac:dyDescent="0.3">
      <c r="B438" s="87" t="s">
        <v>168</v>
      </c>
      <c r="C438" s="87"/>
      <c r="D438" s="88"/>
      <c r="E438" s="89">
        <f>SUM(E434:E437)</f>
        <v>25</v>
      </c>
      <c r="F438" s="90">
        <f>SUM(F432:F437)</f>
        <v>482.0476000000001</v>
      </c>
    </row>
    <row r="439" spans="1:6" ht="16.5" thickBot="1" x14ac:dyDescent="0.3">
      <c r="B439" s="87" t="s">
        <v>5</v>
      </c>
      <c r="C439" s="91"/>
      <c r="D439" s="91"/>
      <c r="E439" s="91"/>
      <c r="F439" s="107">
        <f>F438/93</f>
        <v>5.1833075268817215</v>
      </c>
    </row>
    <row r="441" spans="1:6" x14ac:dyDescent="0.25">
      <c r="C441" s="1"/>
    </row>
    <row r="442" spans="1:6" x14ac:dyDescent="0.25">
      <c r="C442" s="289"/>
    </row>
    <row r="443" spans="1:6" x14ac:dyDescent="0.25">
      <c r="C443" s="1"/>
    </row>
  </sheetData>
  <mergeCells count="27">
    <mergeCell ref="B90:B91"/>
    <mergeCell ref="B109:B110"/>
    <mergeCell ref="B117:B118"/>
    <mergeCell ref="B270:B272"/>
    <mergeCell ref="B280:B282"/>
    <mergeCell ref="B190:B191"/>
    <mergeCell ref="B202:B203"/>
    <mergeCell ref="B241:B243"/>
    <mergeCell ref="B254:B256"/>
    <mergeCell ref="B128:B130"/>
    <mergeCell ref="B143:B145"/>
    <mergeCell ref="B158:B160"/>
    <mergeCell ref="B169:B171"/>
    <mergeCell ref="B7:B8"/>
    <mergeCell ref="B34:B36"/>
    <mergeCell ref="B50:B52"/>
    <mergeCell ref="B66:B68"/>
    <mergeCell ref="B82:B83"/>
    <mergeCell ref="B419:B421"/>
    <mergeCell ref="B293:B295"/>
    <mergeCell ref="B384:B386"/>
    <mergeCell ref="B399:B401"/>
    <mergeCell ref="B308:B310"/>
    <mergeCell ref="B324:B326"/>
    <mergeCell ref="B338:B340"/>
    <mergeCell ref="B352:B354"/>
    <mergeCell ref="B368:B37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5"/>
  <sheetViews>
    <sheetView workbookViewId="0">
      <selection activeCell="I23" sqref="I23"/>
    </sheetView>
  </sheetViews>
  <sheetFormatPr defaultRowHeight="15" x14ac:dyDescent="0.25"/>
  <cols>
    <col min="3" max="3" width="36.42578125" customWidth="1"/>
    <col min="7" max="7" width="12.5703125" customWidth="1"/>
  </cols>
  <sheetData>
    <row r="2" spans="2:7" x14ac:dyDescent="0.25">
      <c r="C2" s="120" t="s">
        <v>505</v>
      </c>
    </row>
    <row r="3" spans="2:7" ht="15.75" thickBot="1" x14ac:dyDescent="0.3"/>
    <row r="4" spans="2:7" s="120" customFormat="1" x14ac:dyDescent="0.25">
      <c r="B4" s="440" t="s">
        <v>456</v>
      </c>
      <c r="C4" s="441" t="s">
        <v>457</v>
      </c>
      <c r="D4" s="446" t="s">
        <v>171</v>
      </c>
      <c r="E4" s="446" t="s">
        <v>458</v>
      </c>
      <c r="F4" s="446" t="s">
        <v>459</v>
      </c>
      <c r="G4" s="447" t="s">
        <v>460</v>
      </c>
    </row>
    <row r="5" spans="2:7" x14ac:dyDescent="0.25">
      <c r="B5" s="336" t="s">
        <v>461</v>
      </c>
      <c r="C5" s="1"/>
      <c r="D5" s="443"/>
      <c r="E5" s="443"/>
      <c r="F5" s="443"/>
      <c r="G5" s="448"/>
    </row>
    <row r="6" spans="2:7" x14ac:dyDescent="0.25">
      <c r="B6" s="336">
        <v>2.1</v>
      </c>
      <c r="C6" s="1" t="s">
        <v>204</v>
      </c>
      <c r="D6" s="443" t="s">
        <v>20</v>
      </c>
      <c r="E6" s="444">
        <v>5</v>
      </c>
      <c r="F6" s="443">
        <v>63</v>
      </c>
      <c r="G6" s="449">
        <v>315</v>
      </c>
    </row>
    <row r="7" spans="2:7" x14ac:dyDescent="0.25">
      <c r="B7" s="336">
        <v>2.2000000000000002</v>
      </c>
      <c r="C7" s="1" t="s">
        <v>462</v>
      </c>
      <c r="D7" s="443" t="s">
        <v>45</v>
      </c>
      <c r="E7" s="444">
        <v>0.75</v>
      </c>
      <c r="F7" s="443">
        <v>1.8</v>
      </c>
      <c r="G7" s="449">
        <v>9</v>
      </c>
    </row>
    <row r="8" spans="2:7" x14ac:dyDescent="0.25">
      <c r="B8" s="336">
        <v>2.2999999999999998</v>
      </c>
      <c r="C8" s="1" t="s">
        <v>51</v>
      </c>
      <c r="D8" s="443" t="s">
        <v>45</v>
      </c>
      <c r="E8" s="444">
        <v>3</v>
      </c>
      <c r="F8" s="443">
        <v>3</v>
      </c>
      <c r="G8" s="449">
        <v>45</v>
      </c>
    </row>
    <row r="9" spans="2:7" x14ac:dyDescent="0.25">
      <c r="B9" s="336" t="s">
        <v>463</v>
      </c>
      <c r="C9" s="1"/>
      <c r="D9" s="443"/>
      <c r="E9" s="443"/>
      <c r="F9" s="443"/>
      <c r="G9" s="449">
        <v>369</v>
      </c>
    </row>
    <row r="10" spans="2:7" x14ac:dyDescent="0.25">
      <c r="B10" s="336"/>
      <c r="C10" s="1"/>
      <c r="D10" s="443"/>
      <c r="E10" s="443"/>
      <c r="F10" s="443"/>
      <c r="G10" s="448"/>
    </row>
    <row r="11" spans="2:7" x14ac:dyDescent="0.25">
      <c r="B11" s="336" t="s">
        <v>464</v>
      </c>
      <c r="C11" s="1"/>
      <c r="D11" s="443"/>
      <c r="E11" s="443"/>
      <c r="F11" s="443"/>
      <c r="G11" s="448"/>
    </row>
    <row r="12" spans="2:7" x14ac:dyDescent="0.25">
      <c r="B12" s="336">
        <v>3.1</v>
      </c>
      <c r="C12" s="1" t="s">
        <v>465</v>
      </c>
      <c r="D12" s="443" t="s">
        <v>45</v>
      </c>
      <c r="E12" s="444">
        <v>15</v>
      </c>
      <c r="F12" s="443">
        <v>7.9</v>
      </c>
      <c r="G12" s="449">
        <v>117.81</v>
      </c>
    </row>
    <row r="13" spans="2:7" x14ac:dyDescent="0.25">
      <c r="B13" s="336">
        <v>3.2</v>
      </c>
      <c r="C13" s="1" t="s">
        <v>466</v>
      </c>
      <c r="D13" s="443" t="s">
        <v>184</v>
      </c>
      <c r="E13" s="444">
        <v>10</v>
      </c>
      <c r="F13" s="443">
        <v>61</v>
      </c>
      <c r="G13" s="449">
        <v>610.6</v>
      </c>
    </row>
    <row r="14" spans="2:7" x14ac:dyDescent="0.25">
      <c r="B14" s="336">
        <v>3.3</v>
      </c>
      <c r="C14" s="1" t="s">
        <v>467</v>
      </c>
      <c r="D14" s="443" t="s">
        <v>45</v>
      </c>
      <c r="E14" s="444">
        <v>12</v>
      </c>
      <c r="F14" s="443">
        <v>9.6999999999999993</v>
      </c>
      <c r="G14" s="449">
        <v>116.42</v>
      </c>
    </row>
    <row r="15" spans="2:7" x14ac:dyDescent="0.25">
      <c r="B15" s="336">
        <v>3.4</v>
      </c>
      <c r="C15" s="1" t="s">
        <v>468</v>
      </c>
      <c r="D15" s="443" t="s">
        <v>45</v>
      </c>
      <c r="E15" s="444">
        <v>15</v>
      </c>
      <c r="F15" s="443">
        <v>5.7</v>
      </c>
      <c r="G15" s="449">
        <v>85.68</v>
      </c>
    </row>
    <row r="16" spans="2:7" x14ac:dyDescent="0.25">
      <c r="B16" s="336">
        <v>3.5</v>
      </c>
      <c r="C16" s="1" t="s">
        <v>469</v>
      </c>
      <c r="D16" s="443" t="s">
        <v>184</v>
      </c>
      <c r="E16" s="444">
        <v>10</v>
      </c>
      <c r="F16" s="443">
        <v>45</v>
      </c>
      <c r="G16" s="449">
        <v>446.8</v>
      </c>
    </row>
    <row r="17" spans="2:7" x14ac:dyDescent="0.25">
      <c r="B17" s="336">
        <v>3.6</v>
      </c>
      <c r="C17" s="1" t="s">
        <v>470</v>
      </c>
      <c r="D17" s="443" t="s">
        <v>45</v>
      </c>
      <c r="E17" s="444">
        <v>12</v>
      </c>
      <c r="F17" s="443">
        <v>7.06</v>
      </c>
      <c r="G17" s="449">
        <v>84.67</v>
      </c>
    </row>
    <row r="18" spans="2:7" x14ac:dyDescent="0.25">
      <c r="B18" s="336">
        <v>3.7</v>
      </c>
      <c r="C18" s="1" t="s">
        <v>471</v>
      </c>
      <c r="D18" s="443" t="s">
        <v>45</v>
      </c>
      <c r="E18" s="444">
        <v>15</v>
      </c>
      <c r="F18" s="443">
        <v>0.3</v>
      </c>
      <c r="G18" s="449">
        <v>4.3899999999999997</v>
      </c>
    </row>
    <row r="19" spans="2:7" x14ac:dyDescent="0.25">
      <c r="B19" s="336">
        <v>3.8</v>
      </c>
      <c r="C19" s="1" t="s">
        <v>472</v>
      </c>
      <c r="D19" s="443" t="s">
        <v>184</v>
      </c>
      <c r="E19" s="444">
        <v>10</v>
      </c>
      <c r="F19" s="443">
        <v>3</v>
      </c>
      <c r="G19" s="449">
        <v>32.39</v>
      </c>
    </row>
    <row r="20" spans="2:7" x14ac:dyDescent="0.25">
      <c r="B20" s="336">
        <v>3.9</v>
      </c>
      <c r="C20" s="1" t="s">
        <v>473</v>
      </c>
      <c r="D20" s="443" t="s">
        <v>45</v>
      </c>
      <c r="E20" s="444">
        <v>12</v>
      </c>
      <c r="F20" s="443">
        <v>0.36</v>
      </c>
      <c r="G20" s="449">
        <v>4.34</v>
      </c>
    </row>
    <row r="21" spans="2:7" x14ac:dyDescent="0.25">
      <c r="B21" s="336" t="s">
        <v>474</v>
      </c>
      <c r="C21" s="1"/>
      <c r="D21" s="443"/>
      <c r="E21" s="443"/>
      <c r="F21" s="443"/>
      <c r="G21" s="449">
        <v>1502.1</v>
      </c>
    </row>
    <row r="22" spans="2:7" x14ac:dyDescent="0.25">
      <c r="B22" s="336"/>
      <c r="C22" s="1"/>
      <c r="D22" s="443"/>
      <c r="E22" s="443"/>
      <c r="F22" s="443"/>
      <c r="G22" s="448"/>
    </row>
    <row r="23" spans="2:7" x14ac:dyDescent="0.25">
      <c r="B23" s="336" t="s">
        <v>475</v>
      </c>
      <c r="C23" s="1"/>
      <c r="D23" s="443"/>
      <c r="E23" s="443"/>
      <c r="F23" s="443"/>
      <c r="G23" s="448"/>
    </row>
    <row r="24" spans="2:7" x14ac:dyDescent="0.25">
      <c r="B24" s="336">
        <v>4.0999999999999996</v>
      </c>
      <c r="C24" s="1" t="s">
        <v>476</v>
      </c>
      <c r="D24" s="443" t="s">
        <v>20</v>
      </c>
      <c r="E24" s="444">
        <v>15</v>
      </c>
      <c r="F24" s="443">
        <v>528.79999999999995</v>
      </c>
      <c r="G24" s="449">
        <v>7931.32</v>
      </c>
    </row>
    <row r="25" spans="2:7" x14ac:dyDescent="0.25">
      <c r="B25" s="336">
        <v>4.2</v>
      </c>
      <c r="C25" s="1" t="s">
        <v>477</v>
      </c>
      <c r="D25" s="443" t="s">
        <v>184</v>
      </c>
      <c r="E25" s="444">
        <v>9</v>
      </c>
      <c r="F25" s="443">
        <v>11</v>
      </c>
      <c r="G25" s="449">
        <v>99</v>
      </c>
    </row>
    <row r="26" spans="2:7" x14ac:dyDescent="0.25">
      <c r="B26" s="336">
        <v>4.3</v>
      </c>
      <c r="C26" s="1" t="s">
        <v>478</v>
      </c>
      <c r="D26" s="443" t="s">
        <v>282</v>
      </c>
      <c r="E26" s="444">
        <v>0.35</v>
      </c>
      <c r="F26" s="445">
        <v>17556</v>
      </c>
      <c r="G26" s="449">
        <v>6144.6</v>
      </c>
    </row>
    <row r="27" spans="2:7" x14ac:dyDescent="0.25">
      <c r="B27" s="336">
        <v>4.4000000000000004</v>
      </c>
      <c r="C27" s="1" t="s">
        <v>479</v>
      </c>
      <c r="D27" s="443" t="s">
        <v>20</v>
      </c>
      <c r="E27" s="444">
        <v>15</v>
      </c>
      <c r="F27" s="443">
        <v>22.8</v>
      </c>
      <c r="G27" s="449">
        <v>341.96</v>
      </c>
    </row>
    <row r="28" spans="2:7" x14ac:dyDescent="0.25">
      <c r="B28" s="336">
        <v>4.5</v>
      </c>
      <c r="C28" s="1" t="s">
        <v>480</v>
      </c>
      <c r="D28" s="443" t="s">
        <v>184</v>
      </c>
      <c r="E28" s="444">
        <v>10</v>
      </c>
      <c r="F28" s="443">
        <v>14</v>
      </c>
      <c r="G28" s="449">
        <v>135.68</v>
      </c>
    </row>
    <row r="29" spans="2:7" x14ac:dyDescent="0.25">
      <c r="B29" s="336">
        <v>4.5999999999999996</v>
      </c>
      <c r="C29" s="1" t="s">
        <v>481</v>
      </c>
      <c r="D29" s="443" t="s">
        <v>282</v>
      </c>
      <c r="E29" s="444">
        <v>0.35</v>
      </c>
      <c r="F29" s="445">
        <v>5313</v>
      </c>
      <c r="G29" s="449">
        <v>1859.55</v>
      </c>
    </row>
    <row r="30" spans="2:7" x14ac:dyDescent="0.25">
      <c r="B30" s="336">
        <v>4.7</v>
      </c>
      <c r="C30" s="1" t="s">
        <v>482</v>
      </c>
      <c r="D30" s="443" t="s">
        <v>64</v>
      </c>
      <c r="E30" s="444">
        <v>3</v>
      </c>
      <c r="F30" s="443">
        <v>4</v>
      </c>
      <c r="G30" s="449">
        <v>12</v>
      </c>
    </row>
    <row r="31" spans="2:7" x14ac:dyDescent="0.25">
      <c r="B31" s="336">
        <v>4.8</v>
      </c>
      <c r="C31" s="1" t="s">
        <v>483</v>
      </c>
      <c r="D31" s="443" t="s">
        <v>64</v>
      </c>
      <c r="E31" s="444">
        <v>3</v>
      </c>
      <c r="F31" s="443">
        <v>6</v>
      </c>
      <c r="G31" s="449">
        <v>18</v>
      </c>
    </row>
    <row r="32" spans="2:7" x14ac:dyDescent="0.25">
      <c r="B32" s="336">
        <v>4.9000000000000004</v>
      </c>
      <c r="C32" s="1" t="s">
        <v>484</v>
      </c>
      <c r="D32" s="443" t="s">
        <v>64</v>
      </c>
      <c r="E32" s="444">
        <v>3</v>
      </c>
      <c r="F32" s="443">
        <v>1</v>
      </c>
      <c r="G32" s="449">
        <v>3</v>
      </c>
    </row>
    <row r="33" spans="2:7" x14ac:dyDescent="0.25">
      <c r="B33" s="336">
        <v>4.0999999999999996</v>
      </c>
      <c r="C33" s="1" t="s">
        <v>485</v>
      </c>
      <c r="D33" s="443" t="s">
        <v>64</v>
      </c>
      <c r="E33" s="444">
        <v>3</v>
      </c>
      <c r="F33" s="443">
        <v>1</v>
      </c>
      <c r="G33" s="449">
        <v>3</v>
      </c>
    </row>
    <row r="34" spans="2:7" x14ac:dyDescent="0.25">
      <c r="B34" s="336" t="s">
        <v>486</v>
      </c>
      <c r="C34" s="1"/>
      <c r="D34" s="443"/>
      <c r="E34" s="443"/>
      <c r="F34" s="443"/>
      <c r="G34" s="449">
        <v>16548.11</v>
      </c>
    </row>
    <row r="35" spans="2:7" x14ac:dyDescent="0.25">
      <c r="B35" s="336"/>
      <c r="C35" s="1"/>
      <c r="D35" s="443"/>
      <c r="E35" s="443"/>
      <c r="F35" s="443"/>
      <c r="G35" s="448"/>
    </row>
    <row r="36" spans="2:7" x14ac:dyDescent="0.25">
      <c r="B36" s="336" t="s">
        <v>487</v>
      </c>
      <c r="C36" s="1"/>
      <c r="D36" s="443"/>
      <c r="E36" s="443"/>
      <c r="F36" s="443"/>
      <c r="G36" s="448"/>
    </row>
    <row r="37" spans="2:7" x14ac:dyDescent="0.25">
      <c r="B37" s="336">
        <v>5.0999999999999996</v>
      </c>
      <c r="C37" s="1" t="s">
        <v>488</v>
      </c>
      <c r="D37" s="443" t="s">
        <v>15</v>
      </c>
      <c r="E37" s="444">
        <v>0.77</v>
      </c>
      <c r="F37" s="445">
        <v>2102</v>
      </c>
      <c r="G37" s="449">
        <v>1618.62</v>
      </c>
    </row>
    <row r="38" spans="2:7" x14ac:dyDescent="0.25">
      <c r="B38" s="336">
        <v>5.2</v>
      </c>
      <c r="C38" s="1" t="s">
        <v>304</v>
      </c>
      <c r="D38" s="443" t="s">
        <v>156</v>
      </c>
      <c r="E38" s="444">
        <v>2</v>
      </c>
      <c r="F38" s="443">
        <v>14.3</v>
      </c>
      <c r="G38" s="449">
        <v>28.6</v>
      </c>
    </row>
    <row r="39" spans="2:7" x14ac:dyDescent="0.25">
      <c r="B39" s="336">
        <v>5.3</v>
      </c>
      <c r="C39" s="1" t="s">
        <v>489</v>
      </c>
      <c r="D39" s="443" t="s">
        <v>64</v>
      </c>
      <c r="E39" s="444">
        <v>4</v>
      </c>
      <c r="F39" s="443">
        <v>457.6</v>
      </c>
      <c r="G39" s="449">
        <v>1830.4</v>
      </c>
    </row>
    <row r="40" spans="2:7" x14ac:dyDescent="0.25">
      <c r="B40" s="336">
        <v>5.4</v>
      </c>
      <c r="C40" s="1" t="s">
        <v>490</v>
      </c>
      <c r="D40" s="443" t="s">
        <v>317</v>
      </c>
      <c r="E40" s="444">
        <v>5</v>
      </c>
      <c r="F40" s="443">
        <v>25.1</v>
      </c>
      <c r="G40" s="449">
        <v>125.54</v>
      </c>
    </row>
    <row r="41" spans="2:7" x14ac:dyDescent="0.25">
      <c r="B41" s="336">
        <v>5.5</v>
      </c>
      <c r="C41" s="1" t="s">
        <v>305</v>
      </c>
      <c r="D41" s="443" t="s">
        <v>317</v>
      </c>
      <c r="E41" s="444">
        <v>4</v>
      </c>
      <c r="F41" s="443">
        <v>25.1</v>
      </c>
      <c r="G41" s="449">
        <v>100.43</v>
      </c>
    </row>
    <row r="42" spans="2:7" x14ac:dyDescent="0.25">
      <c r="B42" s="336">
        <v>5.6</v>
      </c>
      <c r="C42" s="1" t="s">
        <v>306</v>
      </c>
      <c r="D42" s="443" t="s">
        <v>15</v>
      </c>
      <c r="E42" s="444">
        <v>6</v>
      </c>
      <c r="F42" s="443">
        <v>215.2</v>
      </c>
      <c r="G42" s="449">
        <v>1291.2</v>
      </c>
    </row>
    <row r="43" spans="2:7" x14ac:dyDescent="0.25">
      <c r="B43" s="336" t="s">
        <v>491</v>
      </c>
      <c r="C43" s="1"/>
      <c r="D43" s="443"/>
      <c r="E43" s="443"/>
      <c r="F43" s="443"/>
      <c r="G43" s="449">
        <v>3703.6</v>
      </c>
    </row>
    <row r="44" spans="2:7" x14ac:dyDescent="0.25">
      <c r="B44" s="336"/>
      <c r="C44" s="1"/>
      <c r="D44" s="443"/>
      <c r="E44" s="443"/>
      <c r="F44" s="443"/>
      <c r="G44" s="448"/>
    </row>
    <row r="45" spans="2:7" x14ac:dyDescent="0.25">
      <c r="B45" s="336" t="s">
        <v>492</v>
      </c>
      <c r="C45" s="1"/>
      <c r="D45" s="443"/>
      <c r="E45" s="443"/>
      <c r="F45" s="443"/>
      <c r="G45" s="448"/>
    </row>
    <row r="46" spans="2:7" x14ac:dyDescent="0.25">
      <c r="B46" s="336">
        <v>6.1</v>
      </c>
      <c r="C46" s="1" t="s">
        <v>306</v>
      </c>
      <c r="D46" s="443" t="s">
        <v>15</v>
      </c>
      <c r="E46" s="444">
        <v>6</v>
      </c>
      <c r="F46" s="443">
        <v>78</v>
      </c>
      <c r="G46" s="449">
        <v>468</v>
      </c>
    </row>
    <row r="47" spans="2:7" x14ac:dyDescent="0.25">
      <c r="B47" s="336">
        <v>6.2</v>
      </c>
      <c r="C47" s="1" t="s">
        <v>493</v>
      </c>
      <c r="D47" s="443" t="s">
        <v>64</v>
      </c>
      <c r="E47" s="444">
        <v>1.75</v>
      </c>
      <c r="F47" s="445">
        <v>1333</v>
      </c>
      <c r="G47" s="449">
        <v>2332.75</v>
      </c>
    </row>
    <row r="48" spans="2:7" x14ac:dyDescent="0.25">
      <c r="B48" s="336">
        <v>6.3</v>
      </c>
      <c r="C48" s="1" t="s">
        <v>326</v>
      </c>
      <c r="D48" s="443" t="s">
        <v>327</v>
      </c>
      <c r="E48" s="444">
        <v>5</v>
      </c>
      <c r="F48" s="443">
        <v>4</v>
      </c>
      <c r="G48" s="449">
        <v>20</v>
      </c>
    </row>
    <row r="49" spans="2:7" x14ac:dyDescent="0.25">
      <c r="B49" s="336" t="s">
        <v>494</v>
      </c>
      <c r="C49" s="1"/>
      <c r="D49" s="443"/>
      <c r="E49" s="443"/>
      <c r="F49" s="443"/>
      <c r="G49" s="449">
        <v>2820.75</v>
      </c>
    </row>
    <row r="50" spans="2:7" x14ac:dyDescent="0.25">
      <c r="B50" s="336"/>
      <c r="C50" s="1"/>
      <c r="D50" s="443"/>
      <c r="E50" s="443"/>
      <c r="F50" s="443"/>
      <c r="G50" s="448"/>
    </row>
    <row r="51" spans="2:7" x14ac:dyDescent="0.25">
      <c r="B51" s="336" t="s">
        <v>495</v>
      </c>
      <c r="C51" s="1"/>
      <c r="D51" s="443"/>
      <c r="E51" s="443"/>
      <c r="F51" s="443"/>
      <c r="G51" s="448"/>
    </row>
    <row r="52" spans="2:7" x14ac:dyDescent="0.25">
      <c r="B52" s="336">
        <v>7.1</v>
      </c>
      <c r="C52" s="1" t="s">
        <v>496</v>
      </c>
      <c r="D52" s="443" t="s">
        <v>64</v>
      </c>
      <c r="E52" s="444">
        <v>1.75</v>
      </c>
      <c r="F52" s="443">
        <v>93</v>
      </c>
      <c r="G52" s="449">
        <v>162.75</v>
      </c>
    </row>
    <row r="53" spans="2:7" x14ac:dyDescent="0.25">
      <c r="B53" s="336" t="s">
        <v>497</v>
      </c>
      <c r="C53" s="1"/>
      <c r="D53" s="443"/>
      <c r="E53" s="443"/>
      <c r="F53" s="443"/>
      <c r="G53" s="449">
        <v>162.75</v>
      </c>
    </row>
    <row r="54" spans="2:7" x14ac:dyDescent="0.25">
      <c r="B54" s="336"/>
      <c r="C54" s="1"/>
      <c r="D54" s="443"/>
      <c r="E54" s="443"/>
      <c r="F54" s="443"/>
      <c r="G54" s="448"/>
    </row>
    <row r="55" spans="2:7" x14ac:dyDescent="0.25">
      <c r="B55" s="336" t="s">
        <v>498</v>
      </c>
      <c r="C55" s="1"/>
      <c r="D55" s="443"/>
      <c r="E55" s="443"/>
      <c r="F55" s="443"/>
      <c r="G55" s="448"/>
    </row>
    <row r="56" spans="2:7" x14ac:dyDescent="0.25">
      <c r="B56" s="336">
        <v>9.1</v>
      </c>
      <c r="C56" s="1" t="s">
        <v>499</v>
      </c>
      <c r="D56" s="443" t="s">
        <v>184</v>
      </c>
      <c r="E56" s="444">
        <v>9</v>
      </c>
      <c r="F56" s="443">
        <v>24</v>
      </c>
      <c r="G56" s="449">
        <v>216</v>
      </c>
    </row>
    <row r="57" spans="2:7" x14ac:dyDescent="0.25">
      <c r="B57" s="336">
        <v>9.1999999999999993</v>
      </c>
      <c r="C57" s="1" t="s">
        <v>500</v>
      </c>
      <c r="D57" s="443" t="s">
        <v>45</v>
      </c>
      <c r="E57" s="444">
        <v>12</v>
      </c>
      <c r="F57" s="443">
        <v>7</v>
      </c>
      <c r="G57" s="449">
        <v>84</v>
      </c>
    </row>
    <row r="58" spans="2:7" x14ac:dyDescent="0.25">
      <c r="B58" s="336">
        <v>9.3000000000000007</v>
      </c>
      <c r="C58" s="1" t="s">
        <v>369</v>
      </c>
      <c r="D58" s="443" t="s">
        <v>317</v>
      </c>
      <c r="E58" s="444">
        <v>20</v>
      </c>
      <c r="F58" s="443">
        <v>3</v>
      </c>
      <c r="G58" s="449">
        <v>60</v>
      </c>
    </row>
    <row r="59" spans="2:7" x14ac:dyDescent="0.25">
      <c r="B59" s="336">
        <v>9.4</v>
      </c>
      <c r="C59" s="1" t="s">
        <v>501</v>
      </c>
      <c r="D59" s="443" t="s">
        <v>317</v>
      </c>
      <c r="E59" s="444">
        <v>24</v>
      </c>
      <c r="F59" s="443">
        <v>34.5</v>
      </c>
      <c r="G59" s="449">
        <v>828</v>
      </c>
    </row>
    <row r="60" spans="2:7" x14ac:dyDescent="0.25">
      <c r="B60" s="336">
        <v>9.5</v>
      </c>
      <c r="C60" s="1" t="s">
        <v>502</v>
      </c>
      <c r="D60" s="443" t="s">
        <v>317</v>
      </c>
      <c r="E60" s="444">
        <v>21</v>
      </c>
      <c r="F60" s="443">
        <v>7</v>
      </c>
      <c r="G60" s="449">
        <v>147</v>
      </c>
    </row>
    <row r="61" spans="2:7" x14ac:dyDescent="0.25">
      <c r="B61" s="336" t="s">
        <v>503</v>
      </c>
      <c r="C61" s="1"/>
      <c r="D61" s="443"/>
      <c r="E61" s="443"/>
      <c r="F61" s="443"/>
      <c r="G61" s="449">
        <v>1335</v>
      </c>
    </row>
    <row r="62" spans="2:7" x14ac:dyDescent="0.25">
      <c r="B62" s="336"/>
      <c r="C62" s="1"/>
      <c r="D62" s="443"/>
      <c r="E62" s="443"/>
      <c r="F62" s="443"/>
      <c r="G62" s="448"/>
    </row>
    <row r="63" spans="2:7" x14ac:dyDescent="0.25">
      <c r="B63" s="336" t="s">
        <v>504</v>
      </c>
      <c r="C63" s="1"/>
      <c r="D63" s="443"/>
      <c r="E63" s="443"/>
      <c r="F63" s="443"/>
      <c r="G63" s="449">
        <v>26441.31</v>
      </c>
    </row>
    <row r="64" spans="2:7" x14ac:dyDescent="0.25">
      <c r="B64" s="336" t="s">
        <v>506</v>
      </c>
      <c r="C64" s="1"/>
      <c r="D64" s="443"/>
      <c r="E64" s="443"/>
      <c r="F64" s="443"/>
      <c r="G64" s="449">
        <f>10%*G63</f>
        <v>2644.1310000000003</v>
      </c>
    </row>
    <row r="65" spans="2:7" ht="15.75" thickBot="1" x14ac:dyDescent="0.3">
      <c r="B65" s="442" t="s">
        <v>443</v>
      </c>
      <c r="C65" s="27"/>
      <c r="D65" s="234"/>
      <c r="E65" s="234"/>
      <c r="F65" s="234"/>
      <c r="G65" s="450">
        <v>27763.38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F227"/>
  <sheetViews>
    <sheetView topLeftCell="A10" workbookViewId="0">
      <selection activeCell="B1" sqref="B1:F227"/>
    </sheetView>
  </sheetViews>
  <sheetFormatPr defaultRowHeight="15" x14ac:dyDescent="0.25"/>
  <cols>
    <col min="2" max="2" width="44.140625" customWidth="1"/>
    <col min="3" max="3" width="19.5703125" customWidth="1"/>
    <col min="5" max="5" width="14.42578125" customWidth="1"/>
    <col min="6" max="6" width="11.85546875" customWidth="1"/>
  </cols>
  <sheetData>
    <row r="1" spans="1:6" ht="15.75" x14ac:dyDescent="0.25">
      <c r="A1" s="346"/>
      <c r="B1" s="347" t="s">
        <v>372</v>
      </c>
    </row>
    <row r="4" spans="1:6" ht="15.75" thickBot="1" x14ac:dyDescent="0.3"/>
    <row r="5" spans="1:6" ht="16.5" thickBot="1" x14ac:dyDescent="0.3">
      <c r="A5" s="93" t="s">
        <v>192</v>
      </c>
      <c r="B5" s="92" t="s">
        <v>191</v>
      </c>
    </row>
    <row r="6" spans="1:6" ht="15.75" x14ac:dyDescent="0.25">
      <c r="A6" s="101"/>
      <c r="B6" s="102"/>
    </row>
    <row r="7" spans="1:6" x14ac:dyDescent="0.25">
      <c r="B7" s="94" t="s">
        <v>2</v>
      </c>
      <c r="C7" s="58" t="s">
        <v>158</v>
      </c>
      <c r="D7" s="58" t="s">
        <v>159</v>
      </c>
      <c r="E7" s="58" t="s">
        <v>160</v>
      </c>
      <c r="F7" s="58" t="s">
        <v>161</v>
      </c>
    </row>
    <row r="8" spans="1:6" x14ac:dyDescent="0.25">
      <c r="B8" s="99" t="s">
        <v>193</v>
      </c>
      <c r="C8" s="98"/>
      <c r="D8" s="98"/>
      <c r="E8" s="98"/>
      <c r="F8" s="98"/>
    </row>
    <row r="9" spans="1:6" x14ac:dyDescent="0.25">
      <c r="B9" s="60" t="s">
        <v>9</v>
      </c>
      <c r="C9" s="60"/>
      <c r="D9" s="60"/>
      <c r="E9" s="60"/>
      <c r="F9" s="60"/>
    </row>
    <row r="10" spans="1:6" x14ac:dyDescent="0.25">
      <c r="B10" s="60" t="s">
        <v>10</v>
      </c>
      <c r="C10" s="60" t="s">
        <v>254</v>
      </c>
      <c r="D10" s="67">
        <v>2.1</v>
      </c>
      <c r="E10" s="60"/>
      <c r="F10" s="60"/>
    </row>
    <row r="11" spans="1:6" x14ac:dyDescent="0.25">
      <c r="B11" s="60" t="s">
        <v>11</v>
      </c>
      <c r="C11" s="60" t="s">
        <v>420</v>
      </c>
      <c r="D11" s="67">
        <f>1.6*4</f>
        <v>6.4</v>
      </c>
      <c r="E11" s="60"/>
      <c r="F11" s="60"/>
    </row>
    <row r="12" spans="1:6" x14ac:dyDescent="0.25">
      <c r="B12" s="60"/>
      <c r="C12" s="60"/>
      <c r="D12" s="67"/>
      <c r="E12" s="60"/>
      <c r="F12" s="60"/>
    </row>
    <row r="13" spans="1:6" x14ac:dyDescent="0.25">
      <c r="B13" s="60" t="s">
        <v>9</v>
      </c>
      <c r="C13" s="60"/>
      <c r="D13" s="67"/>
      <c r="E13" s="60"/>
      <c r="F13" s="60"/>
    </row>
    <row r="14" spans="1:6" x14ac:dyDescent="0.25">
      <c r="B14" s="60" t="s">
        <v>12</v>
      </c>
      <c r="C14" s="60"/>
      <c r="D14" s="67"/>
      <c r="E14" s="60"/>
      <c r="F14" s="60"/>
    </row>
    <row r="15" spans="1:6" x14ac:dyDescent="0.25">
      <c r="B15" s="60" t="s">
        <v>13</v>
      </c>
      <c r="C15" s="60"/>
      <c r="D15" s="67"/>
      <c r="E15" s="60"/>
      <c r="F15" s="60"/>
    </row>
    <row r="16" spans="1:6" x14ac:dyDescent="0.25">
      <c r="B16" s="60" t="s">
        <v>14</v>
      </c>
      <c r="C16" s="60"/>
      <c r="D16" s="67"/>
      <c r="E16" s="60"/>
      <c r="F16" s="60"/>
    </row>
    <row r="17" spans="2:6" x14ac:dyDescent="0.25">
      <c r="B17" s="60"/>
      <c r="C17" s="60"/>
      <c r="D17" s="67">
        <f>SUM(D10:D11)</f>
        <v>8.5</v>
      </c>
      <c r="E17" s="61">
        <v>7</v>
      </c>
      <c r="F17" s="67">
        <f>D17/E17</f>
        <v>1.2142857142857142</v>
      </c>
    </row>
    <row r="18" spans="2:6" x14ac:dyDescent="0.25">
      <c r="B18" s="60" t="s">
        <v>163</v>
      </c>
      <c r="C18" s="60"/>
      <c r="D18" s="60"/>
      <c r="E18" s="60"/>
      <c r="F18" s="67">
        <v>3</v>
      </c>
    </row>
    <row r="19" spans="2:6" ht="15.75" x14ac:dyDescent="0.25">
      <c r="B19" s="62" t="s">
        <v>5</v>
      </c>
      <c r="C19" s="63"/>
      <c r="D19" s="63"/>
      <c r="E19" s="63"/>
      <c r="F19" s="119">
        <f>SUM(F17:F18)</f>
        <v>4.2142857142857144</v>
      </c>
    </row>
    <row r="21" spans="2:6" x14ac:dyDescent="0.25">
      <c r="B21" s="94" t="s">
        <v>2</v>
      </c>
      <c r="C21" s="58" t="s">
        <v>158</v>
      </c>
      <c r="D21" s="58" t="s">
        <v>159</v>
      </c>
      <c r="E21" s="58" t="s">
        <v>160</v>
      </c>
      <c r="F21" s="58" t="s">
        <v>161</v>
      </c>
    </row>
    <row r="22" spans="2:6" x14ac:dyDescent="0.25">
      <c r="B22" s="111" t="s">
        <v>8</v>
      </c>
    </row>
    <row r="23" spans="2:6" x14ac:dyDescent="0.25">
      <c r="B23" s="75" t="s">
        <v>18</v>
      </c>
      <c r="C23" s="60" t="s">
        <v>254</v>
      </c>
      <c r="D23" s="67">
        <v>2.1</v>
      </c>
      <c r="E23" s="60"/>
      <c r="F23" s="60"/>
    </row>
    <row r="24" spans="2:6" x14ac:dyDescent="0.25">
      <c r="B24" s="75" t="s">
        <v>19</v>
      </c>
      <c r="C24" s="60" t="s">
        <v>420</v>
      </c>
      <c r="D24" s="67">
        <f>1.6*4</f>
        <v>6.4</v>
      </c>
      <c r="E24" s="60"/>
      <c r="F24" s="60"/>
    </row>
    <row r="25" spans="2:6" x14ac:dyDescent="0.25">
      <c r="B25" s="75"/>
      <c r="C25" s="60"/>
      <c r="D25" s="67"/>
      <c r="E25" s="60"/>
      <c r="F25" s="60"/>
    </row>
    <row r="26" spans="2:6" x14ac:dyDescent="0.25">
      <c r="B26" s="75" t="s">
        <v>22</v>
      </c>
      <c r="C26" s="60"/>
      <c r="D26" s="67"/>
      <c r="E26" s="60"/>
      <c r="F26" s="60"/>
    </row>
    <row r="27" spans="2:6" x14ac:dyDescent="0.25">
      <c r="B27" s="75" t="s">
        <v>23</v>
      </c>
      <c r="C27" s="60"/>
      <c r="D27" s="67"/>
      <c r="E27" s="60"/>
      <c r="F27" s="60"/>
    </row>
    <row r="28" spans="2:6" x14ac:dyDescent="0.25">
      <c r="B28" s="75"/>
      <c r="C28" s="65"/>
      <c r="D28" s="67"/>
      <c r="E28" s="60"/>
      <c r="F28" s="60"/>
    </row>
    <row r="29" spans="2:6" x14ac:dyDescent="0.25">
      <c r="B29" s="75" t="s">
        <v>24</v>
      </c>
      <c r="C29" s="60"/>
      <c r="D29" s="67"/>
      <c r="E29" s="60"/>
      <c r="F29" s="60"/>
    </row>
    <row r="30" spans="2:6" x14ac:dyDescent="0.25">
      <c r="B30" s="75" t="s">
        <v>25</v>
      </c>
      <c r="C30" s="60"/>
      <c r="D30" s="67">
        <f>SUM(D23:D24)</f>
        <v>8.5</v>
      </c>
      <c r="E30" s="61">
        <v>25</v>
      </c>
      <c r="F30" s="67">
        <f>D30/E30</f>
        <v>0.34</v>
      </c>
    </row>
    <row r="31" spans="2:6" x14ac:dyDescent="0.25">
      <c r="B31" s="60" t="s">
        <v>163</v>
      </c>
      <c r="C31" s="60"/>
      <c r="D31" s="60"/>
      <c r="E31" s="60"/>
      <c r="F31" s="67">
        <v>3</v>
      </c>
    </row>
    <row r="32" spans="2:6" ht="15.75" x14ac:dyDescent="0.25">
      <c r="B32" s="97"/>
      <c r="C32" s="63"/>
      <c r="D32" s="63"/>
      <c r="E32" s="63"/>
      <c r="F32" s="119">
        <f>SUM(F30:F31)</f>
        <v>3.34</v>
      </c>
    </row>
    <row r="34" spans="2:6" x14ac:dyDescent="0.25">
      <c r="B34" s="94" t="s">
        <v>2</v>
      </c>
      <c r="C34" s="58" t="s">
        <v>158</v>
      </c>
      <c r="D34" s="58" t="s">
        <v>159</v>
      </c>
      <c r="E34" s="58" t="s">
        <v>160</v>
      </c>
      <c r="F34" s="58" t="s">
        <v>161</v>
      </c>
    </row>
    <row r="35" spans="2:6" x14ac:dyDescent="0.25">
      <c r="B35" s="99" t="s">
        <v>27</v>
      </c>
      <c r="C35" s="114"/>
      <c r="D35" s="114"/>
      <c r="E35" s="114"/>
      <c r="F35" s="114"/>
    </row>
    <row r="36" spans="2:6" x14ac:dyDescent="0.25">
      <c r="B36" s="75" t="s">
        <v>259</v>
      </c>
      <c r="C36" s="60" t="s">
        <v>254</v>
      </c>
      <c r="D36" s="67">
        <v>2.1</v>
      </c>
      <c r="E36" s="60"/>
      <c r="F36" s="60"/>
    </row>
    <row r="37" spans="2:6" x14ac:dyDescent="0.25">
      <c r="B37" s="75"/>
      <c r="C37" s="60" t="s">
        <v>260</v>
      </c>
      <c r="D37" s="67">
        <f>1.6*7</f>
        <v>11.200000000000001</v>
      </c>
      <c r="E37" s="60"/>
      <c r="F37" s="60"/>
    </row>
    <row r="38" spans="2:6" x14ac:dyDescent="0.25">
      <c r="B38" s="75" t="s">
        <v>29</v>
      </c>
      <c r="C38" s="69"/>
      <c r="D38" s="69"/>
      <c r="E38" s="60"/>
      <c r="F38" s="60"/>
    </row>
    <row r="39" spans="2:6" x14ac:dyDescent="0.25">
      <c r="B39" s="75"/>
      <c r="C39" s="75"/>
      <c r="D39" s="69"/>
      <c r="E39" s="60"/>
      <c r="F39" s="60"/>
    </row>
    <row r="40" spans="2:6" x14ac:dyDescent="0.25">
      <c r="B40" s="75" t="s">
        <v>30</v>
      </c>
      <c r="C40" s="69"/>
      <c r="D40" s="112">
        <f>SUM(D36:D37)</f>
        <v>13.3</v>
      </c>
      <c r="E40" s="61">
        <v>7</v>
      </c>
      <c r="F40" s="67">
        <f>D40/E40</f>
        <v>1.9000000000000001</v>
      </c>
    </row>
    <row r="41" spans="2:6" x14ac:dyDescent="0.25">
      <c r="B41" s="60" t="s">
        <v>163</v>
      </c>
      <c r="C41" s="60"/>
      <c r="D41" s="60"/>
      <c r="E41" s="60"/>
      <c r="F41" s="67">
        <v>3</v>
      </c>
    </row>
    <row r="42" spans="2:6" ht="15.75" x14ac:dyDescent="0.25">
      <c r="B42" s="97"/>
      <c r="C42" s="116"/>
      <c r="D42" s="97"/>
      <c r="E42" s="97"/>
      <c r="F42" s="119">
        <f>SUM(F40:F41)</f>
        <v>4.9000000000000004</v>
      </c>
    </row>
    <row r="43" spans="2:6" x14ac:dyDescent="0.25">
      <c r="B43" s="75" t="s">
        <v>36</v>
      </c>
      <c r="C43" s="69"/>
      <c r="D43" s="75"/>
      <c r="E43" s="60"/>
      <c r="F43" s="60"/>
    </row>
    <row r="44" spans="2:6" x14ac:dyDescent="0.25">
      <c r="B44" s="75" t="s">
        <v>37</v>
      </c>
      <c r="C44" s="69"/>
      <c r="D44" s="69"/>
      <c r="E44" s="60"/>
      <c r="F44" s="60"/>
    </row>
    <row r="45" spans="2:6" x14ac:dyDescent="0.25">
      <c r="B45" s="75"/>
      <c r="C45" s="69"/>
      <c r="D45" s="69"/>
      <c r="E45" s="60"/>
      <c r="F45" s="60"/>
    </row>
    <row r="46" spans="2:6" x14ac:dyDescent="0.25">
      <c r="B46" s="75" t="s">
        <v>36</v>
      </c>
      <c r="C46" s="60"/>
      <c r="D46" s="60"/>
      <c r="E46" s="60"/>
      <c r="F46" s="60"/>
    </row>
    <row r="47" spans="2:6" x14ac:dyDescent="0.25">
      <c r="B47" s="75" t="s">
        <v>42</v>
      </c>
      <c r="C47" s="60"/>
      <c r="D47" s="60"/>
      <c r="E47" s="60"/>
      <c r="F47" s="60"/>
    </row>
    <row r="48" spans="2:6" x14ac:dyDescent="0.25">
      <c r="B48" s="75"/>
      <c r="C48" s="60" t="s">
        <v>254</v>
      </c>
      <c r="D48" s="67">
        <v>2.1</v>
      </c>
      <c r="E48" s="60"/>
      <c r="F48" s="60"/>
    </row>
    <row r="49" spans="1:6" x14ac:dyDescent="0.25">
      <c r="B49" s="75" t="s">
        <v>38</v>
      </c>
      <c r="C49" s="60" t="s">
        <v>258</v>
      </c>
      <c r="D49" s="67">
        <f>1.6*6</f>
        <v>9.6000000000000014</v>
      </c>
      <c r="E49" s="60"/>
      <c r="F49" s="60"/>
    </row>
    <row r="50" spans="1:6" x14ac:dyDescent="0.25">
      <c r="B50" s="75"/>
      <c r="C50" s="69"/>
      <c r="D50" s="69"/>
      <c r="E50" s="60"/>
      <c r="F50" s="60"/>
    </row>
    <row r="51" spans="1:6" x14ac:dyDescent="0.25">
      <c r="B51" s="75" t="s">
        <v>40</v>
      </c>
      <c r="C51" s="69"/>
      <c r="D51" s="69"/>
      <c r="E51" s="60"/>
      <c r="F51" s="60"/>
    </row>
    <row r="52" spans="1:6" x14ac:dyDescent="0.25">
      <c r="B52" s="75" t="s">
        <v>41</v>
      </c>
      <c r="C52" s="75"/>
      <c r="D52" s="112">
        <f>SUM(D48:D49)</f>
        <v>11.700000000000001</v>
      </c>
      <c r="E52" s="61">
        <v>7</v>
      </c>
      <c r="F52" s="67">
        <f>D52/E52</f>
        <v>1.6714285714285715</v>
      </c>
    </row>
    <row r="53" spans="1:6" x14ac:dyDescent="0.25">
      <c r="B53" s="60" t="s">
        <v>163</v>
      </c>
      <c r="C53" s="75"/>
      <c r="D53" s="60"/>
      <c r="E53" s="60"/>
      <c r="F53" s="67">
        <v>3</v>
      </c>
    </row>
    <row r="54" spans="1:6" ht="15.75" x14ac:dyDescent="0.25">
      <c r="B54" s="117"/>
      <c r="C54" s="118"/>
      <c r="D54" s="117"/>
      <c r="E54" s="117"/>
      <c r="F54" s="119">
        <f>SUM(F52:F53)</f>
        <v>4.6714285714285717</v>
      </c>
    </row>
    <row r="55" spans="1:6" x14ac:dyDescent="0.25">
      <c r="B55" s="150" t="s">
        <v>216</v>
      </c>
      <c r="C55" s="60"/>
      <c r="D55" s="60"/>
      <c r="E55" s="60"/>
      <c r="F55" s="60"/>
    </row>
    <row r="56" spans="1:6" x14ac:dyDescent="0.25">
      <c r="B56" s="60" t="s">
        <v>215</v>
      </c>
      <c r="C56" s="60" t="s">
        <v>254</v>
      </c>
      <c r="D56" s="67">
        <v>2.1</v>
      </c>
      <c r="E56" s="60"/>
      <c r="F56" s="60"/>
    </row>
    <row r="57" spans="1:6" x14ac:dyDescent="0.25">
      <c r="B57" s="60" t="s">
        <v>214</v>
      </c>
      <c r="C57" s="60" t="s">
        <v>261</v>
      </c>
      <c r="D57" s="67">
        <f>1.6*3</f>
        <v>4.8000000000000007</v>
      </c>
      <c r="E57" s="60"/>
      <c r="F57" s="60"/>
    </row>
    <row r="58" spans="1:6" x14ac:dyDescent="0.25">
      <c r="B58" s="60"/>
      <c r="C58" s="69"/>
      <c r="D58" s="69"/>
      <c r="E58" s="60"/>
      <c r="F58" s="60"/>
    </row>
    <row r="59" spans="1:6" x14ac:dyDescent="0.25">
      <c r="B59" s="60"/>
      <c r="C59" s="69"/>
      <c r="D59" s="69"/>
      <c r="E59" s="60"/>
      <c r="F59" s="60"/>
    </row>
    <row r="60" spans="1:6" x14ac:dyDescent="0.25">
      <c r="B60" s="60"/>
      <c r="C60" s="75"/>
      <c r="D60" s="112">
        <f>SUM(D56:D57)</f>
        <v>6.9</v>
      </c>
      <c r="E60" s="61">
        <v>7</v>
      </c>
      <c r="F60" s="67">
        <f>D60/E60</f>
        <v>0.98571428571428577</v>
      </c>
    </row>
    <row r="61" spans="1:6" x14ac:dyDescent="0.25">
      <c r="B61" s="60" t="s">
        <v>163</v>
      </c>
      <c r="C61" s="75"/>
      <c r="D61" s="60"/>
      <c r="E61" s="60"/>
      <c r="F61" s="67">
        <v>3</v>
      </c>
    </row>
    <row r="62" spans="1:6" ht="15.75" x14ac:dyDescent="0.25">
      <c r="B62" s="117"/>
      <c r="C62" s="117"/>
      <c r="D62" s="117"/>
      <c r="E62" s="117"/>
      <c r="F62" s="119">
        <f>SUM(F60:F61)</f>
        <v>3.9857142857142858</v>
      </c>
    </row>
    <row r="63" spans="1:6" ht="15.75" thickBot="1" x14ac:dyDescent="0.3"/>
    <row r="64" spans="1:6" ht="16.5" thickBot="1" x14ac:dyDescent="0.3">
      <c r="A64" s="93" t="s">
        <v>217</v>
      </c>
      <c r="B64" s="92" t="s">
        <v>250</v>
      </c>
    </row>
    <row r="65" spans="2:6" x14ac:dyDescent="0.25">
      <c r="B65" s="111" t="s">
        <v>263</v>
      </c>
    </row>
    <row r="66" spans="2:6" x14ac:dyDescent="0.25">
      <c r="B66" s="94" t="s">
        <v>2</v>
      </c>
      <c r="C66" s="58" t="s">
        <v>158</v>
      </c>
      <c r="D66" s="58" t="s">
        <v>159</v>
      </c>
      <c r="E66" s="58" t="s">
        <v>160</v>
      </c>
      <c r="F66" s="58" t="s">
        <v>161</v>
      </c>
    </row>
    <row r="67" spans="2:6" ht="17.25" x14ac:dyDescent="0.25">
      <c r="B67" s="75" t="s">
        <v>54</v>
      </c>
      <c r="C67" s="60"/>
      <c r="D67" s="60"/>
      <c r="E67" s="61" t="s">
        <v>252</v>
      </c>
      <c r="F67" s="60"/>
    </row>
    <row r="68" spans="2:6" x14ac:dyDescent="0.25">
      <c r="B68" s="61" t="s">
        <v>251</v>
      </c>
      <c r="C68" s="60" t="s">
        <v>253</v>
      </c>
      <c r="D68" s="67">
        <v>2.7</v>
      </c>
      <c r="E68" s="60"/>
      <c r="F68" s="60"/>
    </row>
    <row r="69" spans="2:6" x14ac:dyDescent="0.25">
      <c r="B69" s="75" t="s">
        <v>55</v>
      </c>
      <c r="C69" s="60" t="s">
        <v>265</v>
      </c>
      <c r="D69" s="67">
        <f>1.57*5</f>
        <v>7.8500000000000005</v>
      </c>
      <c r="E69" s="60"/>
      <c r="F69" s="60"/>
    </row>
    <row r="70" spans="2:6" x14ac:dyDescent="0.25">
      <c r="B70" s="75" t="s">
        <v>262</v>
      </c>
      <c r="C70" s="60"/>
      <c r="D70" s="67">
        <f>SUM(D68:D69)</f>
        <v>10.55</v>
      </c>
      <c r="E70" s="61">
        <v>3.85</v>
      </c>
      <c r="F70" s="67">
        <f>D70/E70</f>
        <v>2.7402597402597402</v>
      </c>
    </row>
    <row r="71" spans="2:6" x14ac:dyDescent="0.25">
      <c r="B71" s="60" t="s">
        <v>163</v>
      </c>
      <c r="C71" s="60"/>
      <c r="D71" s="60"/>
      <c r="E71" s="60"/>
      <c r="F71" s="67">
        <v>1.5</v>
      </c>
    </row>
    <row r="72" spans="2:6" ht="15.75" x14ac:dyDescent="0.25">
      <c r="B72" s="62" t="s">
        <v>5</v>
      </c>
      <c r="C72" s="63"/>
      <c r="D72" s="63"/>
      <c r="E72" s="63"/>
      <c r="F72" s="119">
        <f>SUM(F70:F71)</f>
        <v>4.2402597402597397</v>
      </c>
    </row>
    <row r="73" spans="2:6" ht="15.75" x14ac:dyDescent="0.25">
      <c r="B73" s="238"/>
      <c r="C73" s="239"/>
      <c r="D73" s="239"/>
      <c r="E73" s="239"/>
      <c r="F73" s="152"/>
    </row>
    <row r="74" spans="2:6" x14ac:dyDescent="0.25">
      <c r="B74" s="240" t="s">
        <v>264</v>
      </c>
    </row>
    <row r="75" spans="2:6" x14ac:dyDescent="0.25">
      <c r="B75" s="94" t="s">
        <v>2</v>
      </c>
      <c r="C75" s="58" t="s">
        <v>158</v>
      </c>
      <c r="D75" s="58" t="s">
        <v>159</v>
      </c>
      <c r="E75" s="58" t="s">
        <v>160</v>
      </c>
      <c r="F75" s="58" t="s">
        <v>161</v>
      </c>
    </row>
    <row r="76" spans="2:6" ht="17.25" x14ac:dyDescent="0.25">
      <c r="B76" s="75" t="s">
        <v>56</v>
      </c>
      <c r="C76" s="60"/>
      <c r="D76" s="60"/>
      <c r="E76" s="61" t="s">
        <v>252</v>
      </c>
      <c r="F76" s="60"/>
    </row>
    <row r="77" spans="2:6" x14ac:dyDescent="0.25">
      <c r="B77" s="61" t="s">
        <v>251</v>
      </c>
      <c r="C77" s="60" t="s">
        <v>253</v>
      </c>
      <c r="D77" s="67">
        <v>2.7</v>
      </c>
      <c r="E77" s="60"/>
      <c r="F77" s="60"/>
    </row>
    <row r="78" spans="2:6" x14ac:dyDescent="0.25">
      <c r="B78" s="75" t="s">
        <v>155</v>
      </c>
      <c r="C78" s="60" t="s">
        <v>266</v>
      </c>
      <c r="D78" s="67">
        <f>1.57*2</f>
        <v>3.14</v>
      </c>
      <c r="E78" s="60"/>
      <c r="F78" s="60"/>
    </row>
    <row r="79" spans="2:6" x14ac:dyDescent="0.25">
      <c r="B79" s="75"/>
      <c r="C79" s="60"/>
      <c r="D79" s="67">
        <f>SUM(D77:D78)</f>
        <v>5.84</v>
      </c>
      <c r="E79" s="61">
        <v>2.5</v>
      </c>
      <c r="F79" s="67">
        <f>D79/E79</f>
        <v>2.3359999999999999</v>
      </c>
    </row>
    <row r="80" spans="2:6" x14ac:dyDescent="0.25">
      <c r="B80" s="60" t="s">
        <v>163</v>
      </c>
      <c r="C80" s="60"/>
      <c r="D80" s="60"/>
      <c r="E80" s="60"/>
      <c r="F80" s="67">
        <v>1.5</v>
      </c>
    </row>
    <row r="81" spans="1:6" ht="15.75" x14ac:dyDescent="0.25">
      <c r="B81" s="62" t="s">
        <v>5</v>
      </c>
      <c r="C81" s="63"/>
      <c r="D81" s="63"/>
      <c r="E81" s="63"/>
      <c r="F81" s="119">
        <f>SUM(F79:F80)</f>
        <v>3.8359999999999999</v>
      </c>
    </row>
    <row r="83" spans="1:6" x14ac:dyDescent="0.25">
      <c r="B83" s="240" t="s">
        <v>237</v>
      </c>
    </row>
    <row r="84" spans="1:6" x14ac:dyDescent="0.25">
      <c r="B84" s="94" t="s">
        <v>2</v>
      </c>
      <c r="C84" s="58" t="s">
        <v>158</v>
      </c>
      <c r="D84" s="58" t="s">
        <v>159</v>
      </c>
      <c r="E84" s="58" t="s">
        <v>160</v>
      </c>
      <c r="F84" s="58" t="s">
        <v>161</v>
      </c>
    </row>
    <row r="85" spans="1:6" ht="17.25" x14ac:dyDescent="0.25">
      <c r="B85" s="75" t="s">
        <v>153</v>
      </c>
      <c r="C85" s="60"/>
      <c r="D85" s="60"/>
      <c r="E85" s="61" t="s">
        <v>252</v>
      </c>
      <c r="F85" s="60"/>
    </row>
    <row r="86" spans="1:6" x14ac:dyDescent="0.25">
      <c r="B86" s="61" t="s">
        <v>251</v>
      </c>
      <c r="C86" s="60" t="s">
        <v>253</v>
      </c>
      <c r="D86" s="67">
        <v>2.7</v>
      </c>
      <c r="E86" s="60"/>
      <c r="F86" s="60"/>
    </row>
    <row r="87" spans="1:6" x14ac:dyDescent="0.25">
      <c r="B87" s="75" t="s">
        <v>219</v>
      </c>
      <c r="C87" s="60" t="s">
        <v>266</v>
      </c>
      <c r="D87" s="67">
        <f>1.57*2</f>
        <v>3.14</v>
      </c>
      <c r="E87" s="60"/>
      <c r="F87" s="60"/>
    </row>
    <row r="88" spans="1:6" x14ac:dyDescent="0.25">
      <c r="B88" s="75"/>
      <c r="C88" s="60"/>
      <c r="D88" s="67">
        <f>SUM(D86:D87)</f>
        <v>5.84</v>
      </c>
      <c r="E88" s="61">
        <v>2.5</v>
      </c>
      <c r="F88" s="67">
        <f>D88/E88</f>
        <v>2.3359999999999999</v>
      </c>
    </row>
    <row r="89" spans="1:6" x14ac:dyDescent="0.25">
      <c r="B89" s="60" t="s">
        <v>163</v>
      </c>
      <c r="C89" s="60"/>
      <c r="D89" s="60"/>
      <c r="E89" s="60"/>
      <c r="F89" s="67">
        <v>1.5</v>
      </c>
    </row>
    <row r="90" spans="1:6" ht="15.75" x14ac:dyDescent="0.25">
      <c r="B90" s="242" t="s">
        <v>5</v>
      </c>
      <c r="C90" s="241"/>
      <c r="D90" s="241"/>
      <c r="E90" s="241"/>
      <c r="F90" s="119">
        <f>SUM(F88:F89)</f>
        <v>3.8359999999999999</v>
      </c>
    </row>
    <row r="91" spans="1:6" ht="15.75" thickBot="1" x14ac:dyDescent="0.3"/>
    <row r="92" spans="1:6" ht="16.5" thickBot="1" x14ac:dyDescent="0.3">
      <c r="A92" s="93" t="s">
        <v>277</v>
      </c>
      <c r="B92" s="92" t="s">
        <v>278</v>
      </c>
    </row>
    <row r="94" spans="1:6" x14ac:dyDescent="0.25">
      <c r="B94" s="240" t="s">
        <v>279</v>
      </c>
    </row>
    <row r="95" spans="1:6" x14ac:dyDescent="0.25">
      <c r="B95" s="94" t="s">
        <v>2</v>
      </c>
      <c r="C95" s="58" t="s">
        <v>158</v>
      </c>
      <c r="D95" s="58" t="s">
        <v>159</v>
      </c>
      <c r="E95" s="58" t="s">
        <v>160</v>
      </c>
      <c r="F95" s="58" t="s">
        <v>161</v>
      </c>
    </row>
    <row r="96" spans="1:6" ht="17.25" x14ac:dyDescent="0.25">
      <c r="B96" s="75"/>
      <c r="C96" s="60"/>
      <c r="D96" s="60"/>
      <c r="E96" s="61" t="s">
        <v>252</v>
      </c>
      <c r="F96" s="60"/>
    </row>
    <row r="97" spans="2:6" ht="15.75" x14ac:dyDescent="0.25">
      <c r="B97" s="244" t="s">
        <v>67</v>
      </c>
      <c r="C97" s="60" t="s">
        <v>253</v>
      </c>
      <c r="D97" s="67">
        <v>2.7</v>
      </c>
      <c r="E97" s="60"/>
      <c r="F97" s="60"/>
    </row>
    <row r="98" spans="2:6" ht="15.75" x14ac:dyDescent="0.25">
      <c r="B98" s="244" t="s">
        <v>58</v>
      </c>
      <c r="C98" s="60" t="s">
        <v>294</v>
      </c>
      <c r="D98" s="67">
        <f>1.57*6</f>
        <v>9.42</v>
      </c>
      <c r="E98" s="60"/>
      <c r="F98" s="60"/>
    </row>
    <row r="99" spans="2:6" x14ac:dyDescent="0.25">
      <c r="B99" s="75"/>
      <c r="C99" s="60"/>
      <c r="D99" s="67">
        <f>SUM(D97:D98)</f>
        <v>12.120000000000001</v>
      </c>
      <c r="E99" s="61">
        <v>400</v>
      </c>
      <c r="F99" s="67">
        <f>D99/E99</f>
        <v>3.0300000000000004E-2</v>
      </c>
    </row>
    <row r="100" spans="2:6" x14ac:dyDescent="0.25">
      <c r="B100" s="60" t="s">
        <v>163</v>
      </c>
      <c r="C100" s="60"/>
      <c r="D100" s="60"/>
      <c r="E100" s="60"/>
      <c r="F100" s="67">
        <v>1.5</v>
      </c>
    </row>
    <row r="101" spans="2:6" ht="15.75" x14ac:dyDescent="0.25">
      <c r="B101" s="242" t="s">
        <v>5</v>
      </c>
      <c r="C101" s="241"/>
      <c r="D101" s="241"/>
      <c r="E101" s="241"/>
      <c r="F101" s="119">
        <f>SUM(F99:F100)</f>
        <v>1.5303</v>
      </c>
    </row>
    <row r="103" spans="2:6" x14ac:dyDescent="0.25">
      <c r="B103" s="240" t="s">
        <v>283</v>
      </c>
    </row>
    <row r="104" spans="2:6" x14ac:dyDescent="0.25">
      <c r="B104" s="94" t="s">
        <v>2</v>
      </c>
      <c r="C104" s="58" t="s">
        <v>158</v>
      </c>
      <c r="D104" s="58" t="s">
        <v>159</v>
      </c>
      <c r="E104" s="58" t="s">
        <v>160</v>
      </c>
      <c r="F104" s="58" t="s">
        <v>161</v>
      </c>
    </row>
    <row r="105" spans="2:6" ht="17.25" x14ac:dyDescent="0.25">
      <c r="B105" s="75"/>
      <c r="C105" s="60"/>
      <c r="D105" s="60"/>
      <c r="E105" s="61" t="s">
        <v>252</v>
      </c>
      <c r="F105" s="60"/>
    </row>
    <row r="106" spans="2:6" ht="15.75" x14ac:dyDescent="0.25">
      <c r="B106" s="244" t="s">
        <v>292</v>
      </c>
      <c r="C106" s="60" t="s">
        <v>253</v>
      </c>
      <c r="D106" s="67">
        <v>2.7</v>
      </c>
      <c r="E106" s="60"/>
      <c r="F106" s="60"/>
    </row>
    <row r="107" spans="2:6" ht="15.75" x14ac:dyDescent="0.25">
      <c r="B107" s="244" t="s">
        <v>58</v>
      </c>
      <c r="C107" s="60" t="s">
        <v>293</v>
      </c>
      <c r="D107" s="67">
        <f>1.57*4</f>
        <v>6.28</v>
      </c>
      <c r="E107" s="60"/>
      <c r="F107" s="60"/>
    </row>
    <row r="108" spans="2:6" x14ac:dyDescent="0.25">
      <c r="B108" s="75"/>
      <c r="C108" s="60"/>
      <c r="D108" s="67">
        <f>SUM(D106:D107)</f>
        <v>8.98</v>
      </c>
      <c r="E108" s="61">
        <v>385</v>
      </c>
      <c r="F108" s="67">
        <f>D108/E108</f>
        <v>2.3324675324675324E-2</v>
      </c>
    </row>
    <row r="109" spans="2:6" x14ac:dyDescent="0.25">
      <c r="B109" s="60" t="s">
        <v>163</v>
      </c>
      <c r="C109" s="60"/>
      <c r="D109" s="60"/>
      <c r="E109" s="60"/>
      <c r="F109" s="67">
        <v>1.5</v>
      </c>
    </row>
    <row r="110" spans="2:6" ht="15.75" x14ac:dyDescent="0.25">
      <c r="B110" s="242" t="s">
        <v>5</v>
      </c>
      <c r="C110" s="241"/>
      <c r="D110" s="241"/>
      <c r="E110" s="241"/>
      <c r="F110" s="119">
        <f>SUM(F108:F109)</f>
        <v>1.5233246753246754</v>
      </c>
    </row>
    <row r="112" spans="2:6" x14ac:dyDescent="0.25">
      <c r="B112" s="111" t="s">
        <v>32</v>
      </c>
    </row>
    <row r="113" spans="2:6" x14ac:dyDescent="0.25">
      <c r="B113" s="58" t="s">
        <v>2</v>
      </c>
      <c r="C113" s="58" t="s">
        <v>158</v>
      </c>
      <c r="D113" s="58" t="s">
        <v>159</v>
      </c>
      <c r="E113" s="58" t="s">
        <v>160</v>
      </c>
      <c r="F113" s="58" t="s">
        <v>161</v>
      </c>
    </row>
    <row r="114" spans="2:6" ht="15.75" x14ac:dyDescent="0.25">
      <c r="B114" s="244" t="s">
        <v>271</v>
      </c>
      <c r="C114" s="1"/>
      <c r="D114" s="1"/>
      <c r="E114" s="1"/>
      <c r="F114" s="259"/>
    </row>
    <row r="115" spans="2:6" ht="15.75" x14ac:dyDescent="0.25">
      <c r="B115" s="244" t="s">
        <v>272</v>
      </c>
      <c r="C115" s="1"/>
      <c r="D115" s="1"/>
      <c r="E115" s="1"/>
      <c r="F115" s="259"/>
    </row>
    <row r="116" spans="2:6" ht="15.75" x14ac:dyDescent="0.25">
      <c r="B116" s="244"/>
      <c r="C116" s="1"/>
      <c r="D116" s="1"/>
      <c r="E116" s="1"/>
      <c r="F116" s="259"/>
    </row>
    <row r="117" spans="2:6" ht="15.75" x14ac:dyDescent="0.25">
      <c r="B117" s="244" t="s">
        <v>66</v>
      </c>
      <c r="C117" s="1"/>
      <c r="D117" s="1"/>
      <c r="E117" s="1"/>
      <c r="F117" s="259"/>
    </row>
    <row r="118" spans="2:6" ht="15.75" x14ac:dyDescent="0.25">
      <c r="B118" s="244"/>
      <c r="C118" s="1"/>
      <c r="D118" s="1"/>
      <c r="E118" s="1"/>
      <c r="F118" s="259"/>
    </row>
    <row r="119" spans="2:6" ht="15.75" x14ac:dyDescent="0.25">
      <c r="B119" s="246" t="s">
        <v>68</v>
      </c>
      <c r="C119" s="1"/>
      <c r="D119" s="1"/>
      <c r="E119" s="1"/>
      <c r="F119" s="259"/>
    </row>
    <row r="120" spans="2:6" ht="15.75" x14ac:dyDescent="0.25">
      <c r="B120" s="244"/>
      <c r="C120" s="1"/>
      <c r="D120" s="1"/>
      <c r="E120" s="1"/>
      <c r="F120" s="259"/>
    </row>
    <row r="121" spans="2:6" ht="15.75" x14ac:dyDescent="0.25">
      <c r="B121" s="244" t="s">
        <v>69</v>
      </c>
      <c r="C121" s="1"/>
      <c r="D121" s="1"/>
      <c r="E121" s="1"/>
      <c r="F121" s="259"/>
    </row>
    <row r="122" spans="2:6" ht="15.75" x14ac:dyDescent="0.25">
      <c r="B122" s="244"/>
      <c r="C122" s="1"/>
      <c r="D122" s="1"/>
      <c r="E122" s="1"/>
      <c r="F122" s="259"/>
    </row>
    <row r="123" spans="2:6" ht="15.75" x14ac:dyDescent="0.25">
      <c r="B123" s="244" t="s">
        <v>62</v>
      </c>
      <c r="C123" s="1"/>
      <c r="D123" s="1"/>
      <c r="E123" s="1"/>
      <c r="F123" s="259"/>
    </row>
    <row r="124" spans="2:6" ht="15.75" x14ac:dyDescent="0.25">
      <c r="B124" s="244" t="s">
        <v>117</v>
      </c>
      <c r="C124" s="1"/>
      <c r="D124" s="1"/>
      <c r="E124" s="1"/>
      <c r="F124" s="259"/>
    </row>
    <row r="125" spans="2:6" ht="15.75" x14ac:dyDescent="0.25">
      <c r="B125" s="244" t="s">
        <v>118</v>
      </c>
      <c r="C125" s="1"/>
      <c r="D125" s="1"/>
      <c r="E125" s="1"/>
      <c r="F125" s="259"/>
    </row>
    <row r="126" spans="2:6" ht="15.75" x14ac:dyDescent="0.25">
      <c r="B126" s="244"/>
      <c r="C126" s="1"/>
      <c r="D126" s="1"/>
      <c r="E126" s="1"/>
      <c r="F126" s="259"/>
    </row>
    <row r="127" spans="2:6" ht="15.75" x14ac:dyDescent="0.25">
      <c r="B127" s="244" t="s">
        <v>273</v>
      </c>
      <c r="C127" s="1"/>
      <c r="D127" s="1"/>
      <c r="E127" s="1"/>
      <c r="F127" s="259"/>
    </row>
    <row r="128" spans="2:6" ht="15.75" x14ac:dyDescent="0.25">
      <c r="B128" s="244" t="s">
        <v>274</v>
      </c>
      <c r="C128" s="1"/>
      <c r="D128" s="1"/>
      <c r="E128" s="1"/>
      <c r="F128" s="259"/>
    </row>
    <row r="129" spans="1:6" ht="15.75" x14ac:dyDescent="0.25">
      <c r="B129" s="244"/>
      <c r="C129" s="1"/>
      <c r="D129" s="1"/>
      <c r="E129" s="1"/>
      <c r="F129" s="259"/>
    </row>
    <row r="130" spans="1:6" ht="15.75" x14ac:dyDescent="0.25">
      <c r="B130" s="244" t="s">
        <v>119</v>
      </c>
      <c r="C130" s="1"/>
      <c r="D130" s="1"/>
      <c r="E130" s="1"/>
      <c r="F130" s="259"/>
    </row>
    <row r="131" spans="1:6" ht="15.75" x14ac:dyDescent="0.25">
      <c r="B131" s="244"/>
      <c r="C131" s="1"/>
      <c r="D131" s="1"/>
      <c r="E131" s="1"/>
      <c r="F131" s="259"/>
    </row>
    <row r="132" spans="1:6" ht="15.75" x14ac:dyDescent="0.25">
      <c r="B132" s="244" t="s">
        <v>275</v>
      </c>
      <c r="C132" s="60" t="s">
        <v>253</v>
      </c>
      <c r="D132" s="67">
        <v>2.7</v>
      </c>
      <c r="E132" s="60"/>
      <c r="F132" s="60"/>
    </row>
    <row r="133" spans="1:6" ht="15.75" x14ac:dyDescent="0.25">
      <c r="B133" s="244" t="s">
        <v>276</v>
      </c>
      <c r="C133" s="60" t="s">
        <v>421</v>
      </c>
      <c r="D133" s="67">
        <f>1.57*2</f>
        <v>3.14</v>
      </c>
      <c r="E133" s="60"/>
      <c r="F133" s="60"/>
    </row>
    <row r="134" spans="1:6" x14ac:dyDescent="0.25">
      <c r="B134" s="260"/>
      <c r="C134" s="60"/>
      <c r="D134" s="67">
        <f>SUM(D132:D133)</f>
        <v>5.84</v>
      </c>
      <c r="E134" s="61">
        <v>5</v>
      </c>
      <c r="F134" s="67">
        <f>D134/E134</f>
        <v>1.1679999999999999</v>
      </c>
    </row>
    <row r="135" spans="1:6" ht="15.75" x14ac:dyDescent="0.25">
      <c r="B135" s="261"/>
      <c r="C135" s="262"/>
      <c r="D135" s="262"/>
      <c r="E135" s="262"/>
      <c r="F135" s="119">
        <f>SUM(F134:F134)</f>
        <v>1.1679999999999999</v>
      </c>
    </row>
    <row r="137" spans="1:6" ht="15.75" thickBot="1" x14ac:dyDescent="0.3"/>
    <row r="138" spans="1:6" ht="16.5" thickBot="1" x14ac:dyDescent="0.3">
      <c r="A138" s="93" t="s">
        <v>301</v>
      </c>
      <c r="B138" s="92" t="s">
        <v>319</v>
      </c>
    </row>
    <row r="139" spans="1:6" x14ac:dyDescent="0.25">
      <c r="B139" s="111" t="s">
        <v>334</v>
      </c>
    </row>
    <row r="140" spans="1:6" x14ac:dyDescent="0.25">
      <c r="B140" s="58" t="s">
        <v>2</v>
      </c>
      <c r="C140" s="58" t="s">
        <v>158</v>
      </c>
      <c r="D140" s="58" t="s">
        <v>159</v>
      </c>
      <c r="E140" s="58" t="s">
        <v>160</v>
      </c>
      <c r="F140" s="58" t="s">
        <v>161</v>
      </c>
    </row>
    <row r="141" spans="1:6" ht="17.25" x14ac:dyDescent="0.25">
      <c r="B141" s="243" t="s">
        <v>70</v>
      </c>
      <c r="C141" s="60"/>
      <c r="D141" s="60"/>
      <c r="E141" s="61" t="s">
        <v>333</v>
      </c>
      <c r="F141" s="60"/>
    </row>
    <row r="142" spans="1:6" ht="15.75" x14ac:dyDescent="0.25">
      <c r="B142" s="243" t="s">
        <v>71</v>
      </c>
      <c r="C142" s="60" t="s">
        <v>253</v>
      </c>
      <c r="D142" s="67">
        <v>2.7</v>
      </c>
      <c r="E142" s="60"/>
      <c r="F142" s="60"/>
    </row>
    <row r="143" spans="1:6" ht="15.75" x14ac:dyDescent="0.25">
      <c r="B143" s="243"/>
      <c r="C143" s="60" t="s">
        <v>332</v>
      </c>
      <c r="D143" s="67">
        <f>1.5*3</f>
        <v>4.5</v>
      </c>
      <c r="E143" s="60"/>
      <c r="F143" s="60"/>
    </row>
    <row r="144" spans="1:6" ht="15.75" x14ac:dyDescent="0.25">
      <c r="B144" s="243" t="s">
        <v>72</v>
      </c>
      <c r="C144" s="60"/>
      <c r="D144" s="67">
        <f>SUM(D142:D143)</f>
        <v>7.2</v>
      </c>
      <c r="E144" s="61">
        <v>6</v>
      </c>
      <c r="F144" s="297">
        <f>D144/E144</f>
        <v>1.2</v>
      </c>
    </row>
    <row r="145" spans="2:6" x14ac:dyDescent="0.25">
      <c r="B145" s="60" t="s">
        <v>163</v>
      </c>
      <c r="C145" s="60"/>
      <c r="D145" s="67"/>
      <c r="E145" s="61"/>
      <c r="F145" s="297">
        <v>2</v>
      </c>
    </row>
    <row r="146" spans="2:6" ht="15.75" x14ac:dyDescent="0.25">
      <c r="B146" s="298" t="s">
        <v>5</v>
      </c>
      <c r="C146" s="97"/>
      <c r="D146" s="299"/>
      <c r="E146" s="300"/>
      <c r="F146" s="119">
        <f>SUM(F144:F145)</f>
        <v>3.2</v>
      </c>
    </row>
    <row r="147" spans="2:6" ht="15.75" x14ac:dyDescent="0.25">
      <c r="B147" s="243"/>
      <c r="C147" s="60"/>
      <c r="D147" s="67"/>
      <c r="E147" s="61"/>
      <c r="F147" s="296"/>
    </row>
    <row r="148" spans="2:6" x14ac:dyDescent="0.25">
      <c r="B148" s="305" t="s">
        <v>335</v>
      </c>
      <c r="C148" s="60"/>
      <c r="D148" s="67"/>
      <c r="E148" s="61" t="s">
        <v>64</v>
      </c>
      <c r="F148" s="60"/>
    </row>
    <row r="149" spans="2:6" ht="15.75" x14ac:dyDescent="0.25">
      <c r="B149" s="243" t="s">
        <v>72</v>
      </c>
      <c r="C149" s="60" t="s">
        <v>253</v>
      </c>
      <c r="D149" s="67">
        <v>2.7</v>
      </c>
      <c r="E149" s="60"/>
      <c r="F149" s="60"/>
    </row>
    <row r="150" spans="2:6" ht="15.75" x14ac:dyDescent="0.25">
      <c r="B150" s="243" t="s">
        <v>73</v>
      </c>
      <c r="C150" s="60" t="s">
        <v>332</v>
      </c>
      <c r="D150" s="67">
        <f>1.5*3</f>
        <v>4.5</v>
      </c>
      <c r="E150" s="60"/>
      <c r="F150" s="60"/>
    </row>
    <row r="151" spans="2:6" ht="15.75" x14ac:dyDescent="0.25">
      <c r="B151" s="243"/>
      <c r="C151" s="60"/>
      <c r="D151" s="67">
        <f>SUM(D149:D150)</f>
        <v>7.2</v>
      </c>
      <c r="E151" s="61">
        <v>10</v>
      </c>
      <c r="F151" s="297">
        <f>D151/E151</f>
        <v>0.72</v>
      </c>
    </row>
    <row r="152" spans="2:6" x14ac:dyDescent="0.25">
      <c r="B152" s="60" t="s">
        <v>163</v>
      </c>
      <c r="C152" s="60"/>
      <c r="D152" s="67"/>
      <c r="E152" s="61"/>
      <c r="F152" s="297">
        <v>2</v>
      </c>
    </row>
    <row r="153" spans="2:6" ht="15.75" x14ac:dyDescent="0.25">
      <c r="B153" s="298"/>
      <c r="C153" s="97"/>
      <c r="D153" s="299"/>
      <c r="E153" s="300"/>
      <c r="F153" s="119">
        <f>SUM(F151:F152)</f>
        <v>2.7199999999999998</v>
      </c>
    </row>
    <row r="154" spans="2:6" ht="15.75" x14ac:dyDescent="0.25">
      <c r="B154" s="243"/>
      <c r="C154" s="301"/>
      <c r="D154" s="302"/>
      <c r="E154" s="303"/>
      <c r="F154" s="304"/>
    </row>
    <row r="155" spans="2:6" x14ac:dyDescent="0.25">
      <c r="B155" s="305" t="s">
        <v>336</v>
      </c>
      <c r="C155" s="60"/>
      <c r="D155" s="67"/>
      <c r="E155" s="61" t="s">
        <v>64</v>
      </c>
      <c r="F155" s="60"/>
    </row>
    <row r="156" spans="2:6" ht="15.75" x14ac:dyDescent="0.25">
      <c r="B156" s="243" t="s">
        <v>74</v>
      </c>
      <c r="C156" s="60" t="s">
        <v>253</v>
      </c>
      <c r="D156" s="67">
        <v>2.7</v>
      </c>
      <c r="E156" s="60"/>
      <c r="F156" s="60"/>
    </row>
    <row r="157" spans="2:6" ht="15.75" x14ac:dyDescent="0.25">
      <c r="B157" s="243"/>
      <c r="C157" s="60" t="s">
        <v>332</v>
      </c>
      <c r="D157" s="67">
        <f>1.5*3</f>
        <v>4.5</v>
      </c>
      <c r="E157" s="60"/>
      <c r="F157" s="60"/>
    </row>
    <row r="158" spans="2:6" ht="15.75" x14ac:dyDescent="0.25">
      <c r="B158" s="243"/>
      <c r="C158" s="60"/>
      <c r="D158" s="67">
        <f>SUM(D156:D157)</f>
        <v>7.2</v>
      </c>
      <c r="E158" s="61">
        <v>5</v>
      </c>
      <c r="F158" s="297">
        <f>D158/E158</f>
        <v>1.44</v>
      </c>
    </row>
    <row r="159" spans="2:6" x14ac:dyDescent="0.25">
      <c r="B159" s="60" t="s">
        <v>163</v>
      </c>
      <c r="C159" s="60"/>
      <c r="D159" s="60"/>
      <c r="E159" s="60"/>
      <c r="F159" s="67">
        <v>3</v>
      </c>
    </row>
    <row r="160" spans="2:6" ht="15.75" x14ac:dyDescent="0.25">
      <c r="B160" s="62" t="s">
        <v>5</v>
      </c>
      <c r="C160" s="63"/>
      <c r="D160" s="63"/>
      <c r="E160" s="63"/>
      <c r="F160" s="119">
        <f>SUM(F159:F159)</f>
        <v>3</v>
      </c>
    </row>
    <row r="162" spans="1:6" ht="15.75" thickBot="1" x14ac:dyDescent="0.3"/>
    <row r="163" spans="1:6" ht="16.5" thickBot="1" x14ac:dyDescent="0.3">
      <c r="A163" s="93" t="s">
        <v>338</v>
      </c>
      <c r="B163" s="327" t="s">
        <v>337</v>
      </c>
    </row>
    <row r="164" spans="1:6" x14ac:dyDescent="0.25">
      <c r="B164" s="58" t="s">
        <v>2</v>
      </c>
      <c r="C164" s="58" t="s">
        <v>158</v>
      </c>
      <c r="D164" s="58" t="s">
        <v>159</v>
      </c>
      <c r="E164" s="58" t="s">
        <v>160</v>
      </c>
      <c r="F164" s="58" t="s">
        <v>161</v>
      </c>
    </row>
    <row r="165" spans="1:6" x14ac:dyDescent="0.25">
      <c r="B165" s="114" t="s">
        <v>64</v>
      </c>
      <c r="C165" s="321"/>
      <c r="D165" s="321"/>
      <c r="E165" s="322" t="s">
        <v>64</v>
      </c>
      <c r="F165" s="328" t="s">
        <v>64</v>
      </c>
    </row>
    <row r="166" spans="1:6" ht="15.75" x14ac:dyDescent="0.25">
      <c r="B166" s="244" t="s">
        <v>75</v>
      </c>
      <c r="C166" s="1"/>
      <c r="D166" s="1"/>
      <c r="E166" s="1"/>
      <c r="F166" s="259"/>
    </row>
    <row r="167" spans="1:6" ht="15.75" x14ac:dyDescent="0.25">
      <c r="B167" s="244" t="s">
        <v>76</v>
      </c>
      <c r="C167" s="1"/>
      <c r="D167" s="1"/>
      <c r="E167" s="1"/>
      <c r="F167" s="259"/>
    </row>
    <row r="168" spans="1:6" ht="15.75" x14ac:dyDescent="0.25">
      <c r="B168" s="244"/>
      <c r="C168" s="1"/>
      <c r="D168" s="1"/>
      <c r="E168" s="1"/>
      <c r="F168" s="259"/>
    </row>
    <row r="169" spans="1:6" ht="15.75" x14ac:dyDescent="0.25">
      <c r="B169" s="244" t="s">
        <v>77</v>
      </c>
      <c r="C169" s="1"/>
      <c r="D169" s="1"/>
      <c r="E169" s="1"/>
      <c r="F169" s="259"/>
    </row>
    <row r="170" spans="1:6" ht="15.75" x14ac:dyDescent="0.25">
      <c r="B170" s="244"/>
      <c r="C170" s="1"/>
      <c r="D170" s="1"/>
      <c r="E170" s="1"/>
      <c r="F170" s="259"/>
    </row>
    <row r="171" spans="1:6" ht="15.75" x14ac:dyDescent="0.25">
      <c r="B171" s="244" t="s">
        <v>78</v>
      </c>
      <c r="C171" s="1"/>
      <c r="D171" s="1"/>
      <c r="E171" s="1"/>
      <c r="F171" s="259"/>
    </row>
    <row r="172" spans="1:6" ht="15.75" x14ac:dyDescent="0.25">
      <c r="B172" s="244" t="s">
        <v>79</v>
      </c>
      <c r="C172" s="1"/>
      <c r="D172" s="1"/>
      <c r="E172" s="1"/>
      <c r="F172" s="259"/>
    </row>
    <row r="173" spans="1:6" ht="15.75" x14ac:dyDescent="0.25">
      <c r="B173" s="244"/>
      <c r="C173" s="1"/>
      <c r="D173" s="1"/>
      <c r="E173" s="1"/>
      <c r="F173" s="259"/>
    </row>
    <row r="174" spans="1:6" ht="15.75" x14ac:dyDescent="0.25">
      <c r="B174" s="244" t="s">
        <v>78</v>
      </c>
      <c r="C174" s="1"/>
      <c r="D174" s="1"/>
      <c r="E174" s="1"/>
      <c r="F174" s="259"/>
    </row>
    <row r="175" spans="1:6" ht="15.75" x14ac:dyDescent="0.25">
      <c r="B175" s="244" t="s">
        <v>80</v>
      </c>
      <c r="C175" s="1"/>
      <c r="D175" s="1"/>
      <c r="E175" s="1"/>
      <c r="F175" s="259"/>
    </row>
    <row r="176" spans="1:6" ht="15.75" x14ac:dyDescent="0.25">
      <c r="B176" s="244"/>
      <c r="C176" s="1"/>
      <c r="D176" s="1"/>
      <c r="E176" s="1"/>
      <c r="F176" s="259"/>
    </row>
    <row r="177" spans="1:6" ht="15.75" x14ac:dyDescent="0.25">
      <c r="B177" s="244" t="s">
        <v>81</v>
      </c>
      <c r="C177" s="1"/>
      <c r="D177" s="1"/>
      <c r="E177" s="1"/>
      <c r="F177" s="259"/>
    </row>
    <row r="178" spans="1:6" ht="15.75" x14ac:dyDescent="0.25">
      <c r="B178" s="244" t="s">
        <v>82</v>
      </c>
      <c r="C178" s="1"/>
      <c r="D178" s="1"/>
      <c r="E178" s="1"/>
      <c r="F178" s="259"/>
    </row>
    <row r="179" spans="1:6" ht="15.75" x14ac:dyDescent="0.25">
      <c r="B179" s="244"/>
      <c r="C179" s="1"/>
      <c r="D179" s="1"/>
      <c r="E179" s="1"/>
      <c r="F179" s="259"/>
    </row>
    <row r="180" spans="1:6" ht="15.75" x14ac:dyDescent="0.25">
      <c r="B180" s="244" t="s">
        <v>78</v>
      </c>
      <c r="C180" s="1"/>
      <c r="D180" s="1"/>
      <c r="E180" s="1"/>
      <c r="F180" s="259"/>
    </row>
    <row r="181" spans="1:6" ht="15.75" x14ac:dyDescent="0.25">
      <c r="B181" s="244" t="s">
        <v>83</v>
      </c>
      <c r="C181" s="1"/>
      <c r="D181" s="1"/>
      <c r="E181" s="1"/>
      <c r="F181" s="259"/>
    </row>
    <row r="182" spans="1:6" ht="15.75" x14ac:dyDescent="0.25">
      <c r="B182" s="244"/>
      <c r="C182" s="1"/>
      <c r="D182" s="1"/>
      <c r="E182" s="1"/>
      <c r="F182" s="259"/>
    </row>
    <row r="183" spans="1:6" ht="15.75" x14ac:dyDescent="0.25">
      <c r="B183" s="244" t="s">
        <v>78</v>
      </c>
      <c r="C183" s="1"/>
      <c r="D183" s="1"/>
      <c r="E183" s="1"/>
      <c r="F183" s="259"/>
    </row>
    <row r="184" spans="1:6" ht="15.75" x14ac:dyDescent="0.25">
      <c r="B184" s="244" t="s">
        <v>84</v>
      </c>
      <c r="C184" s="329"/>
      <c r="D184" s="329"/>
      <c r="E184" s="329"/>
      <c r="F184" s="330"/>
    </row>
    <row r="185" spans="1:6" ht="15.75" x14ac:dyDescent="0.25">
      <c r="B185" s="244"/>
      <c r="C185" s="60" t="s">
        <v>253</v>
      </c>
      <c r="D185" s="67">
        <v>2.7</v>
      </c>
      <c r="E185" s="60"/>
      <c r="F185" s="60"/>
    </row>
    <row r="186" spans="1:6" ht="15.75" x14ac:dyDescent="0.25">
      <c r="B186" s="244" t="s">
        <v>78</v>
      </c>
      <c r="C186" s="60" t="s">
        <v>425</v>
      </c>
      <c r="D186" s="67">
        <f>1.5*4</f>
        <v>6</v>
      </c>
      <c r="E186" s="60"/>
      <c r="F186" s="60"/>
    </row>
    <row r="187" spans="1:6" ht="15.75" x14ac:dyDescent="0.25">
      <c r="B187" s="244" t="s">
        <v>85</v>
      </c>
      <c r="C187" s="60"/>
      <c r="D187" s="67">
        <f>SUM(D185:D186)</f>
        <v>8.6999999999999993</v>
      </c>
      <c r="E187" s="61">
        <v>14</v>
      </c>
      <c r="F187" s="297">
        <f>D187/E187</f>
        <v>0.62142857142857133</v>
      </c>
    </row>
    <row r="188" spans="1:6" ht="15.75" thickBot="1" x14ac:dyDescent="0.3">
      <c r="B188" s="323" t="s">
        <v>163</v>
      </c>
      <c r="C188" s="323"/>
      <c r="D188" s="323"/>
      <c r="E188" s="323"/>
      <c r="F188" s="86">
        <v>2</v>
      </c>
    </row>
    <row r="189" spans="1:6" ht="16.5" thickBot="1" x14ac:dyDescent="0.3">
      <c r="B189" s="326" t="s">
        <v>5</v>
      </c>
      <c r="C189" s="324"/>
      <c r="D189" s="324"/>
      <c r="E189" s="325"/>
      <c r="F189" s="107">
        <f>SUM(F187:F188)</f>
        <v>2.6214285714285714</v>
      </c>
    </row>
    <row r="190" spans="1:6" ht="15.75" x14ac:dyDescent="0.25">
      <c r="B190" s="334"/>
      <c r="C190" s="289"/>
      <c r="D190" s="289"/>
      <c r="E190" s="289"/>
      <c r="F190" s="159"/>
    </row>
    <row r="191" spans="1:6" ht="15.75" thickBot="1" x14ac:dyDescent="0.3"/>
    <row r="192" spans="1:6" ht="16.5" thickBot="1" x14ac:dyDescent="0.3">
      <c r="A192" s="93" t="s">
        <v>347</v>
      </c>
      <c r="B192" s="92" t="s">
        <v>349</v>
      </c>
    </row>
    <row r="194" spans="1:6" x14ac:dyDescent="0.25">
      <c r="B194" s="70" t="s">
        <v>350</v>
      </c>
      <c r="C194" s="60" t="s">
        <v>253</v>
      </c>
      <c r="D194" s="67">
        <v>2.7</v>
      </c>
      <c r="E194" s="60"/>
      <c r="F194" s="109"/>
    </row>
    <row r="195" spans="1:6" x14ac:dyDescent="0.25">
      <c r="B195" s="60"/>
      <c r="C195" s="60" t="s">
        <v>346</v>
      </c>
      <c r="D195" s="67">
        <f>1.5*2</f>
        <v>3</v>
      </c>
      <c r="E195" s="60"/>
      <c r="F195" s="109"/>
    </row>
    <row r="196" spans="1:6" x14ac:dyDescent="0.25">
      <c r="B196" s="60"/>
      <c r="C196" s="60"/>
      <c r="D196" s="67">
        <f>SUM(D194:D195)</f>
        <v>5.7</v>
      </c>
      <c r="E196" s="61">
        <v>0.8</v>
      </c>
      <c r="F196" s="331">
        <f>D196/E196</f>
        <v>7.125</v>
      </c>
    </row>
    <row r="197" spans="1:6" ht="15.75" thickBot="1" x14ac:dyDescent="0.3">
      <c r="B197" s="60"/>
      <c r="C197" s="60"/>
      <c r="D197" s="60"/>
      <c r="E197" s="60"/>
      <c r="F197" s="332">
        <v>2</v>
      </c>
    </row>
    <row r="198" spans="1:6" ht="16.5" thickBot="1" x14ac:dyDescent="0.3">
      <c r="B198" s="117"/>
      <c r="C198" s="117"/>
      <c r="D198" s="117"/>
      <c r="E198" s="117"/>
      <c r="F198" s="333">
        <f>SUM(F196:F197)</f>
        <v>9.125</v>
      </c>
    </row>
    <row r="201" spans="1:6" ht="15.75" thickBot="1" x14ac:dyDescent="0.3"/>
    <row r="202" spans="1:6" ht="16.5" thickBot="1" x14ac:dyDescent="0.3">
      <c r="A202" s="93" t="s">
        <v>190</v>
      </c>
      <c r="B202" s="92" t="s">
        <v>374</v>
      </c>
    </row>
    <row r="203" spans="1:6" x14ac:dyDescent="0.25">
      <c r="A203" s="72" t="s">
        <v>187</v>
      </c>
      <c r="B203" s="94" t="s">
        <v>2</v>
      </c>
      <c r="C203" s="58" t="s">
        <v>158</v>
      </c>
      <c r="D203" s="58" t="s">
        <v>159</v>
      </c>
      <c r="E203" s="58" t="s">
        <v>160</v>
      </c>
      <c r="F203" s="58" t="s">
        <v>161</v>
      </c>
    </row>
    <row r="204" spans="1:6" x14ac:dyDescent="0.25">
      <c r="C204" s="60"/>
      <c r="D204" s="60"/>
      <c r="E204" s="60"/>
      <c r="F204" s="60"/>
    </row>
    <row r="205" spans="1:6" x14ac:dyDescent="0.25">
      <c r="B205" s="61" t="s">
        <v>375</v>
      </c>
      <c r="C205" s="60" t="s">
        <v>256</v>
      </c>
      <c r="D205" s="67">
        <v>2.5</v>
      </c>
      <c r="E205" s="60"/>
      <c r="F205" s="60"/>
    </row>
    <row r="206" spans="1:6" x14ac:dyDescent="0.25">
      <c r="B206" s="59"/>
      <c r="C206" s="60" t="s">
        <v>346</v>
      </c>
      <c r="D206" s="67">
        <f>1.5*2</f>
        <v>3</v>
      </c>
      <c r="E206" s="60"/>
      <c r="F206" s="60"/>
    </row>
    <row r="207" spans="1:6" x14ac:dyDescent="0.25">
      <c r="B207" s="60"/>
      <c r="C207" s="60"/>
      <c r="D207" s="67">
        <f>SUM(D205:D206)</f>
        <v>5.5</v>
      </c>
      <c r="E207" s="61">
        <v>50</v>
      </c>
      <c r="F207" s="67">
        <f>D207/E207</f>
        <v>0.11</v>
      </c>
    </row>
    <row r="208" spans="1:6" x14ac:dyDescent="0.25">
      <c r="B208" s="60" t="s">
        <v>163</v>
      </c>
      <c r="C208" s="60"/>
      <c r="D208" s="60"/>
      <c r="E208" s="60"/>
      <c r="F208" s="67">
        <v>3</v>
      </c>
    </row>
    <row r="209" spans="1:6" ht="15.75" x14ac:dyDescent="0.25">
      <c r="B209" s="62" t="s">
        <v>5</v>
      </c>
      <c r="C209" s="63"/>
      <c r="D209" s="63"/>
      <c r="E209" s="63"/>
      <c r="F209" s="119">
        <f>SUM(F207:F208)</f>
        <v>3.11</v>
      </c>
    </row>
    <row r="211" spans="1:6" x14ac:dyDescent="0.25">
      <c r="B211" s="94" t="s">
        <v>2</v>
      </c>
      <c r="C211" s="58" t="s">
        <v>158</v>
      </c>
      <c r="D211" s="58" t="s">
        <v>159</v>
      </c>
      <c r="E211" s="58" t="s">
        <v>160</v>
      </c>
      <c r="F211" s="58" t="s">
        <v>161</v>
      </c>
    </row>
    <row r="212" spans="1:6" x14ac:dyDescent="0.25">
      <c r="C212" s="60"/>
      <c r="D212" s="60"/>
      <c r="E212" s="60"/>
      <c r="F212" s="60"/>
    </row>
    <row r="213" spans="1:6" x14ac:dyDescent="0.25">
      <c r="B213" s="61" t="s">
        <v>362</v>
      </c>
      <c r="C213" s="60" t="s">
        <v>256</v>
      </c>
      <c r="D213" s="67">
        <v>2.5</v>
      </c>
      <c r="E213" s="60"/>
      <c r="F213" s="60"/>
    </row>
    <row r="214" spans="1:6" x14ac:dyDescent="0.25">
      <c r="B214" s="59"/>
      <c r="C214" s="60" t="s">
        <v>346</v>
      </c>
      <c r="D214" s="67">
        <f>1.5*2</f>
        <v>3</v>
      </c>
      <c r="E214" s="60"/>
      <c r="F214" s="60"/>
    </row>
    <row r="215" spans="1:6" x14ac:dyDescent="0.25">
      <c r="B215" s="60"/>
      <c r="C215" s="60"/>
      <c r="D215" s="67">
        <f>SUM(D213:D214)</f>
        <v>5.5</v>
      </c>
      <c r="E215" s="61">
        <v>20</v>
      </c>
      <c r="F215" s="67">
        <f>D215/E215</f>
        <v>0.27500000000000002</v>
      </c>
    </row>
    <row r="216" spans="1:6" x14ac:dyDescent="0.25">
      <c r="B216" s="60" t="s">
        <v>163</v>
      </c>
      <c r="C216" s="60"/>
      <c r="D216" s="60"/>
      <c r="E216" s="60"/>
      <c r="F216" s="67">
        <v>3</v>
      </c>
    </row>
    <row r="217" spans="1:6" ht="15.75" x14ac:dyDescent="0.25">
      <c r="B217" s="62" t="s">
        <v>5</v>
      </c>
      <c r="C217" s="63"/>
      <c r="D217" s="63"/>
      <c r="E217" s="63"/>
      <c r="F217" s="119">
        <f>SUM(F215:F216)</f>
        <v>3.2749999999999999</v>
      </c>
    </row>
    <row r="219" spans="1:6" ht="15.75" thickBot="1" x14ac:dyDescent="0.3"/>
    <row r="220" spans="1:6" ht="16.5" thickBot="1" x14ac:dyDescent="0.3">
      <c r="A220" s="93" t="s">
        <v>190</v>
      </c>
      <c r="B220" s="92" t="s">
        <v>359</v>
      </c>
    </row>
    <row r="221" spans="1:6" x14ac:dyDescent="0.25">
      <c r="A221" s="72" t="s">
        <v>187</v>
      </c>
      <c r="B221" s="94" t="s">
        <v>2</v>
      </c>
      <c r="C221" s="58" t="s">
        <v>158</v>
      </c>
      <c r="D221" s="58" t="s">
        <v>159</v>
      </c>
      <c r="E221" s="58" t="s">
        <v>160</v>
      </c>
      <c r="F221" s="58" t="s">
        <v>161</v>
      </c>
    </row>
    <row r="222" spans="1:6" x14ac:dyDescent="0.25">
      <c r="B222" s="59" t="s">
        <v>162</v>
      </c>
      <c r="C222" s="60"/>
      <c r="D222" s="60"/>
      <c r="E222" s="60"/>
      <c r="F222" s="60"/>
    </row>
    <row r="223" spans="1:6" x14ac:dyDescent="0.25">
      <c r="B223" s="61" t="s">
        <v>189</v>
      </c>
      <c r="C223" s="60" t="s">
        <v>256</v>
      </c>
      <c r="D223" s="67">
        <v>2.5</v>
      </c>
      <c r="E223" s="60"/>
      <c r="F223" s="60"/>
    </row>
    <row r="224" spans="1:6" x14ac:dyDescent="0.25">
      <c r="B224" s="95" t="s">
        <v>188</v>
      </c>
      <c r="C224" s="60" t="s">
        <v>332</v>
      </c>
      <c r="D224" s="67">
        <f>1.5*3</f>
        <v>4.5</v>
      </c>
      <c r="E224" s="60"/>
      <c r="F224" s="60"/>
    </row>
    <row r="225" spans="2:6" x14ac:dyDescent="0.25">
      <c r="B225" s="60"/>
      <c r="C225" s="60"/>
      <c r="D225" s="67">
        <f>SUM(D223:D224)</f>
        <v>7</v>
      </c>
      <c r="E225" s="61">
        <v>20</v>
      </c>
      <c r="F225" s="67">
        <f>D225/E225</f>
        <v>0.35</v>
      </c>
    </row>
    <row r="226" spans="2:6" x14ac:dyDescent="0.25">
      <c r="B226" s="60" t="s">
        <v>163</v>
      </c>
      <c r="C226" s="60"/>
      <c r="D226" s="60"/>
      <c r="E226" s="60"/>
      <c r="F226" s="67">
        <v>3</v>
      </c>
    </row>
    <row r="227" spans="2:6" ht="15.75" x14ac:dyDescent="0.25">
      <c r="B227" s="62" t="s">
        <v>5</v>
      </c>
      <c r="C227" s="63"/>
      <c r="D227" s="63"/>
      <c r="E227" s="63"/>
      <c r="F227" s="119">
        <f>SUM(F225:F226)</f>
        <v>3.35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PROJECT SUMMARY</vt:lpstr>
      <vt:lpstr>DASHBOARD</vt:lpstr>
      <vt:lpstr>PRELIMINARIES</vt:lpstr>
      <vt:lpstr>BILL OF QUANTITIES</vt:lpstr>
      <vt:lpstr>PIVOT TABLES</vt:lpstr>
      <vt:lpstr>DATA</vt:lpstr>
      <vt:lpstr>MATERIAL BUILD-UP RATES</vt:lpstr>
      <vt:lpstr>MATERIAL SCHEDULE</vt:lpstr>
      <vt:lpstr> LABOUR BUILD-UP RATES</vt:lpstr>
      <vt:lpstr>NEC RATES</vt:lpstr>
      <vt:lpstr>'BILL OF QUANTITIES'!Print_Area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Nash</dc:creator>
  <cp:lastModifiedBy>Nash</cp:lastModifiedBy>
  <cp:lastPrinted>2024-11-09T16:21:02Z</cp:lastPrinted>
  <dcterms:created xsi:type="dcterms:W3CDTF">2023-02-23T19:32:16Z</dcterms:created>
  <dcterms:modified xsi:type="dcterms:W3CDTF">2024-11-09T19:20:14Z</dcterms:modified>
</cp:coreProperties>
</file>