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slicers/slicer6.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8.xml" ContentType="application/vnd.openxmlformats-officedocument.drawing+xml"/>
  <Override PartName="/xl/slicers/slicer7.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20"/>
  </bookViews>
  <sheets>
    <sheet name="Tiktok Raw - Data" sheetId="1" r:id="rId1"/>
    <sheet name="Meta - Raw Data" sheetId="4" r:id="rId2"/>
    <sheet name="Snapchat - Raw Data" sheetId="6" r:id="rId3"/>
    <sheet name="Tiktok_pivot_table" sheetId="8" r:id="rId4"/>
    <sheet name="meta_pivot" sheetId="15" r:id="rId5"/>
    <sheet name="snap_pivot" sheetId="16" r:id="rId6"/>
    <sheet name="Master Sheet" sheetId="11" r:id="rId7"/>
    <sheet name="Dashboard" sheetId="13" r:id="rId8"/>
    <sheet name="tiktok_dashboard" sheetId="17" r:id="rId9"/>
    <sheet name="meta dashboard" sheetId="18" r:id="rId10"/>
    <sheet name="snap_dashboard" sheetId="19" r:id="rId11"/>
  </sheets>
  <definedNames>
    <definedName name="_xlnm._FilterDatabase" localSheetId="1" hidden="1">'Meta - Raw Data'!$A$1:$Q$427</definedName>
    <definedName name="_xlnm._FilterDatabase" localSheetId="2" hidden="1">'Snapchat - Raw Data'!$N$1:$V$54</definedName>
    <definedName name="_xlnm._FilterDatabase" localSheetId="0" hidden="1">'Tiktok Raw - Data'!$A$1:$U$73</definedName>
    <definedName name="_xlcn.WorksheetConnection_MetaRawDataA1W427" hidden="1">'Meta - Raw Data'!$A$1:$W$427</definedName>
    <definedName name="Slicer_Language">#N/A</definedName>
    <definedName name="Slicer_Language1">#N/A</definedName>
    <definedName name="Slicer_Language2">#N/A</definedName>
    <definedName name="Slicer_Target_Group">#N/A</definedName>
    <definedName name="Slicer_Target_Group1">#N/A</definedName>
    <definedName name="Slicer_Target_Group2">#N/A</definedName>
  </definedNames>
  <calcPr calcId="162913"/>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s>
  <extLst>
    <ext xmlns:x14="http://schemas.microsoft.com/office/spreadsheetml/2009/9/main" uri="{876F7934-8845-4945-9796-88D515C7AA90}">
      <x14:pivotCaches>
        <pivotCache cacheId="12"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eta - Raw Data!$A$1:$W$4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2" i="4"/>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2" i="1"/>
  <c r="C33" i="11"/>
  <c r="B23" i="11"/>
  <c r="B33" i="11"/>
  <c r="C15" i="11"/>
  <c r="B52" i="11"/>
  <c r="E15" i="11"/>
  <c r="B15" i="11"/>
  <c r="B43" i="11"/>
  <c r="D15" i="11"/>
  <c r="E14" i="11"/>
  <c r="B32" i="11"/>
  <c r="C14" i="11"/>
  <c r="B22" i="11"/>
  <c r="B51" i="11"/>
  <c r="D14" i="11"/>
  <c r="B42" i="11"/>
  <c r="C32" i="11"/>
  <c r="B14" i="11"/>
  <c r="C31" i="11"/>
  <c r="B31" i="11"/>
  <c r="E13" i="11"/>
  <c r="B21" i="11"/>
  <c r="C13" i="11"/>
  <c r="B41" i="11"/>
  <c r="D13" i="11"/>
  <c r="B50" i="11"/>
  <c r="D16" i="11" l="1"/>
  <c r="E16" i="11"/>
  <c r="C16" i="11"/>
  <c r="V2" i="1"/>
  <c r="V3" i="1"/>
  <c r="V4" i="1"/>
  <c r="V5" i="1"/>
  <c r="V6" i="1"/>
  <c r="V7" i="1"/>
  <c r="V8" i="1"/>
  <c r="V9" i="1"/>
  <c r="V10" i="1"/>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2" i="4"/>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V2" i="6"/>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2" i="6"/>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S63" i="1"/>
  <c r="S62" i="1"/>
  <c r="Q101" i="4"/>
  <c r="Q99" i="4"/>
  <c r="Q95" i="4"/>
  <c r="Q93" i="4"/>
  <c r="Q92" i="4"/>
  <c r="Q89" i="4"/>
  <c r="Q88" i="4"/>
  <c r="Q87" i="4"/>
  <c r="Q86" i="4"/>
  <c r="Q85" i="4"/>
  <c r="Q84" i="4"/>
  <c r="Q83" i="4"/>
  <c r="Q82" i="4"/>
  <c r="Q81" i="4"/>
  <c r="Q80" i="4"/>
  <c r="Q79" i="4"/>
  <c r="Q78" i="4"/>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Q427" i="4"/>
  <c r="Q426" i="4"/>
  <c r="Q425" i="4"/>
  <c r="Q424" i="4"/>
  <c r="Q389" i="4"/>
  <c r="Q388" i="4"/>
  <c r="Q387" i="4"/>
  <c r="Q386" i="4"/>
  <c r="Q385" i="4"/>
  <c r="Q342" i="4"/>
  <c r="Q341" i="4"/>
  <c r="Q292" i="4"/>
  <c r="Q291" i="4"/>
  <c r="Q290" i="4"/>
  <c r="Q289" i="4"/>
  <c r="Q288" i="4"/>
  <c r="Q287" i="4"/>
  <c r="Q242" i="4"/>
  <c r="Q241" i="4"/>
  <c r="Q240" i="4"/>
  <c r="Q239" i="4"/>
  <c r="Q238" i="4"/>
  <c r="Q237" i="4"/>
  <c r="Q236" i="4"/>
  <c r="Q235" i="4"/>
  <c r="Q234" i="4"/>
  <c r="Q149" i="4"/>
  <c r="Q148" i="4"/>
  <c r="Q147" i="4"/>
  <c r="Q146" i="4"/>
  <c r="Q145" i="4"/>
  <c r="Q340" i="4"/>
  <c r="Q339" i="4"/>
  <c r="Q338" i="4"/>
  <c r="Q337" i="4"/>
  <c r="Q144" i="4"/>
  <c r="Q286" i="4"/>
  <c r="Q285" i="4"/>
  <c r="Q284" i="4"/>
  <c r="Q384" i="4"/>
  <c r="Q336" i="4"/>
  <c r="Q383" i="4"/>
  <c r="Q233" i="4"/>
  <c r="Q232" i="4"/>
  <c r="Q231" i="4"/>
  <c r="Q335" i="4"/>
  <c r="Q230" i="4"/>
  <c r="Q423" i="4"/>
  <c r="Q283" i="4"/>
  <c r="Q143" i="4"/>
  <c r="Q334" i="4"/>
  <c r="Q142" i="4"/>
  <c r="Q229" i="4"/>
  <c r="Q228" i="4"/>
  <c r="Q141" i="4"/>
  <c r="Q333" i="4"/>
  <c r="Q332" i="4"/>
  <c r="Q227" i="4"/>
  <c r="Q140" i="4"/>
  <c r="Q282" i="4"/>
  <c r="Q226" i="4"/>
  <c r="Q331" i="4"/>
  <c r="Q330" i="4"/>
  <c r="Q225" i="4"/>
  <c r="Q224" i="4"/>
  <c r="Q223" i="4"/>
  <c r="Q422" i="4"/>
  <c r="Q139" i="4"/>
  <c r="Q222" i="4"/>
  <c r="Q221" i="4"/>
  <c r="Q138" i="4"/>
  <c r="Q281" i="4"/>
  <c r="Q220" i="4"/>
  <c r="Q219" i="4"/>
  <c r="Q137" i="4"/>
  <c r="Q280" i="4"/>
  <c r="Q218" i="4"/>
  <c r="Q329" i="4"/>
  <c r="Q136" i="4"/>
  <c r="Q217" i="4"/>
  <c r="Q216" i="4"/>
  <c r="Q215" i="4"/>
  <c r="Q328" i="4"/>
  <c r="Q327" i="4"/>
  <c r="Q214" i="4"/>
  <c r="Q421" i="4"/>
  <c r="Q213" i="4"/>
  <c r="Q279" i="4"/>
  <c r="Q212" i="4"/>
  <c r="Q278" i="4"/>
  <c r="Q326" i="4"/>
  <c r="Q325" i="4"/>
  <c r="Q211" i="4"/>
  <c r="Q382" i="4"/>
  <c r="Q381" i="4"/>
  <c r="Q380" i="4"/>
  <c r="Q135" i="4"/>
  <c r="Q324" i="4"/>
  <c r="Q210" i="4"/>
  <c r="Q209" i="4"/>
  <c r="Q208" i="4"/>
  <c r="Q207" i="4"/>
  <c r="Q134" i="4"/>
  <c r="Q323" i="4"/>
  <c r="Q420" i="4"/>
  <c r="Q277" i="4"/>
  <c r="Q206" i="4"/>
  <c r="Q322" i="4"/>
  <c r="Q133" i="4"/>
  <c r="Q132" i="4"/>
  <c r="Q205" i="4"/>
  <c r="Q379" i="4"/>
  <c r="Q378" i="4"/>
  <c r="Q131" i="4"/>
  <c r="Q377" i="4"/>
  <c r="Q204" i="4"/>
  <c r="Q130" i="4"/>
  <c r="Q276" i="4"/>
  <c r="Q275" i="4"/>
  <c r="Q376" i="4"/>
  <c r="Q129" i="4"/>
  <c r="Q375" i="4"/>
  <c r="Q203" i="4"/>
  <c r="Q374" i="4"/>
  <c r="Q202" i="4"/>
  <c r="Q128" i="4"/>
  <c r="Q373" i="4"/>
  <c r="Q321" i="4"/>
  <c r="Q201" i="4"/>
  <c r="Q419" i="4"/>
  <c r="Q372" i="4"/>
  <c r="Q127" i="4"/>
  <c r="Q418" i="4"/>
  <c r="Q200" i="4"/>
  <c r="Q199" i="4"/>
  <c r="Q320" i="4"/>
  <c r="Q319" i="4"/>
  <c r="Q198" i="4"/>
  <c r="Q371" i="4"/>
  <c r="Q126" i="4"/>
  <c r="Q125" i="4"/>
  <c r="Q197" i="4"/>
  <c r="Q318" i="4"/>
  <c r="Q370" i="4"/>
  <c r="Q124" i="4"/>
  <c r="Q317" i="4"/>
  <c r="Q316" i="4"/>
  <c r="Q196" i="4"/>
  <c r="Q315" i="4"/>
  <c r="Q369" i="4"/>
  <c r="Q368" i="4"/>
  <c r="Q195" i="4"/>
  <c r="Q274" i="4"/>
  <c r="Q194" i="4"/>
  <c r="Q273" i="4"/>
  <c r="Q272" i="4"/>
  <c r="Q193" i="4"/>
  <c r="Q367" i="4"/>
  <c r="Q366" i="4"/>
  <c r="Q192" i="4"/>
  <c r="Q365" i="4"/>
  <c r="Q364" i="4"/>
  <c r="Q363" i="4"/>
  <c r="Q123" i="4"/>
  <c r="Q191" i="4"/>
  <c r="Q122" i="4"/>
  <c r="Q314" i="4"/>
  <c r="Q313" i="4"/>
  <c r="Q362" i="4"/>
  <c r="Q190" i="4"/>
  <c r="Q121" i="4"/>
  <c r="Q312" i="4"/>
  <c r="Q361" i="4"/>
  <c r="Q360" i="4"/>
  <c r="Q120" i="4"/>
  <c r="Q359" i="4"/>
  <c r="Q311" i="4"/>
  <c r="Q189" i="4"/>
  <c r="Q188" i="4"/>
  <c r="Q358" i="4"/>
  <c r="Q271" i="4"/>
  <c r="Q310" i="4"/>
  <c r="Q187" i="4"/>
  <c r="Q270" i="4"/>
  <c r="Q309" i="4"/>
  <c r="Q269" i="4"/>
  <c r="Q119" i="4"/>
  <c r="Q186" i="4"/>
  <c r="Q185" i="4"/>
  <c r="Q184" i="4"/>
  <c r="Q268" i="4"/>
  <c r="Q267" i="4"/>
  <c r="Q183" i="4"/>
  <c r="Q266" i="4"/>
  <c r="Q182" i="4"/>
  <c r="Q265" i="4"/>
  <c r="Q181" i="4"/>
  <c r="Q264" i="4"/>
  <c r="Q417" i="4"/>
  <c r="Q308" i="4"/>
  <c r="Q416" i="4"/>
  <c r="Q307" i="4"/>
  <c r="Q180" i="4"/>
  <c r="Q263" i="4"/>
  <c r="Q179" i="4"/>
  <c r="Q178" i="4"/>
  <c r="Q177" i="4"/>
  <c r="Q415" i="4"/>
  <c r="Q176" i="4"/>
  <c r="Q118" i="4"/>
  <c r="Q357" i="4"/>
  <c r="Q117" i="4"/>
  <c r="Q262" i="4"/>
  <c r="Q306" i="4"/>
  <c r="Q175" i="4"/>
  <c r="Q174" i="4"/>
  <c r="Q305" i="4"/>
  <c r="Q173" i="4"/>
  <c r="Q116" i="4"/>
  <c r="Q304" i="4"/>
  <c r="Q414" i="4"/>
  <c r="Q261" i="4"/>
  <c r="Q413" i="4"/>
  <c r="Q303" i="4"/>
  <c r="Q356" i="4"/>
  <c r="Q172" i="4"/>
  <c r="Q412" i="4"/>
  <c r="Q355" i="4"/>
  <c r="Q171" i="4"/>
  <c r="Q115" i="4"/>
  <c r="Q114" i="4"/>
  <c r="Q113" i="4"/>
  <c r="Q170" i="4"/>
  <c r="Q112" i="4"/>
  <c r="Q302" i="4"/>
  <c r="Q354" i="4"/>
  <c r="Q411" i="4"/>
  <c r="Q301" i="4"/>
  <c r="Q260" i="4"/>
  <c r="Q259" i="4"/>
  <c r="Q353" i="4"/>
  <c r="Q169" i="4"/>
  <c r="Q168" i="4"/>
  <c r="Q352" i="4"/>
  <c r="Q351" i="4"/>
  <c r="Q167" i="4"/>
  <c r="Q410" i="4"/>
  <c r="Q166" i="4"/>
  <c r="Q258" i="4"/>
  <c r="Q111" i="4"/>
  <c r="Q409" i="4"/>
  <c r="Q165" i="4"/>
  <c r="Q300" i="4"/>
  <c r="Q350" i="4"/>
  <c r="Q164" i="4"/>
  <c r="Q408" i="4"/>
  <c r="Q257" i="4"/>
  <c r="Q110" i="4"/>
  <c r="Q407" i="4"/>
  <c r="Q299" i="4"/>
  <c r="Q406" i="4"/>
  <c r="Q298" i="4"/>
  <c r="Q109" i="4"/>
  <c r="Q108" i="4"/>
  <c r="Q256" i="4"/>
  <c r="Q107" i="4"/>
  <c r="Q405" i="4"/>
  <c r="Q404" i="4"/>
  <c r="Q255" i="4"/>
  <c r="Q106" i="4"/>
  <c r="Q163" i="4"/>
  <c r="Q403" i="4"/>
  <c r="Q162" i="4"/>
  <c r="Q254" i="4"/>
  <c r="Q161" i="4"/>
  <c r="Q402" i="4"/>
  <c r="Q160" i="4"/>
  <c r="Q297" i="4"/>
  <c r="Q296" i="4"/>
  <c r="Q401" i="4"/>
  <c r="Q349" i="4"/>
  <c r="Q159" i="4"/>
  <c r="Q253" i="4"/>
  <c r="Q400" i="4"/>
  <c r="Q158" i="4"/>
  <c r="Q105" i="4"/>
  <c r="Q104" i="4"/>
  <c r="Q252" i="4"/>
  <c r="Q103" i="4"/>
  <c r="Q348" i="4"/>
  <c r="Q251" i="4"/>
  <c r="Q157" i="4"/>
  <c r="Q347" i="4"/>
  <c r="Q346" i="4"/>
  <c r="Q250" i="4"/>
  <c r="Q156" i="4"/>
  <c r="Q295" i="4"/>
  <c r="Q155" i="4"/>
  <c r="Q249" i="4"/>
  <c r="Q248" i="4"/>
  <c r="Q247" i="4"/>
  <c r="Q154" i="4"/>
  <c r="Q246" i="4"/>
  <c r="Q294" i="4"/>
  <c r="Q245" i="4"/>
  <c r="Q345" i="4"/>
  <c r="Q293" i="4"/>
  <c r="Q153" i="4"/>
  <c r="Q399" i="4"/>
  <c r="Q344" i="4"/>
  <c r="Q102" i="4"/>
  <c r="Q398" i="4"/>
  <c r="Q397" i="4"/>
  <c r="Q152" i="4"/>
  <c r="Q396" i="4"/>
  <c r="Q151" i="4"/>
  <c r="Q395" i="4"/>
  <c r="Q394" i="4"/>
  <c r="Q393" i="4"/>
  <c r="Q244" i="4"/>
  <c r="Q343" i="4"/>
  <c r="Q150" i="4"/>
  <c r="Q243" i="4"/>
  <c r="Q392" i="4"/>
  <c r="Q391" i="4"/>
  <c r="Q390" i="4"/>
  <c r="R54" i="6"/>
  <c r="R53" i="6"/>
  <c r="R52" i="6"/>
  <c r="R51" i="6"/>
  <c r="R50" i="6"/>
  <c r="R49" i="6"/>
  <c r="R48" i="6"/>
  <c r="R47" i="6"/>
  <c r="R46" i="6"/>
  <c r="R45" i="6"/>
  <c r="R44" i="6"/>
  <c r="R43" i="6"/>
  <c r="R42" i="6"/>
  <c r="R41" i="6"/>
  <c r="R40" i="6"/>
  <c r="R39" i="6"/>
  <c r="R38" i="6"/>
  <c r="R37" i="6"/>
  <c r="R36" i="6"/>
  <c r="R35" i="6"/>
  <c r="R26" i="6"/>
  <c r="R25" i="6"/>
  <c r="R24" i="6"/>
  <c r="R23" i="6"/>
  <c r="R22" i="6"/>
  <c r="R21" i="6"/>
  <c r="R20" i="6"/>
  <c r="R19" i="6"/>
  <c r="R18" i="6"/>
  <c r="R17" i="6"/>
  <c r="R16" i="6"/>
  <c r="R15" i="6"/>
  <c r="R14" i="6"/>
  <c r="R13" i="6"/>
  <c r="R12" i="6"/>
  <c r="R11" i="6"/>
  <c r="R10" i="6"/>
  <c r="R9" i="6"/>
  <c r="R8" i="6"/>
  <c r="R7" i="6"/>
  <c r="R6" i="6"/>
  <c r="R5" i="6"/>
  <c r="R4" i="6"/>
  <c r="R3" i="6"/>
  <c r="R2" i="6"/>
  <c r="R34" i="6"/>
  <c r="R33" i="6"/>
  <c r="R32" i="6"/>
  <c r="R31" i="6"/>
  <c r="R30" i="6"/>
  <c r="R29" i="6"/>
  <c r="R28" i="6"/>
  <c r="R27" i="6"/>
  <c r="B5" i="11"/>
  <c r="B4" i="11"/>
  <c r="B3" i="11"/>
  <c r="B13" i="11"/>
  <c r="B16" i="11" l="1"/>
  <c r="S64" i="1"/>
  <c r="S65" i="1"/>
  <c r="S66" i="1"/>
  <c r="S67" i="1"/>
  <c r="S68" i="1"/>
  <c r="S69" i="1"/>
  <c r="S70" i="1"/>
  <c r="S71" i="1"/>
  <c r="S72" i="1"/>
  <c r="S73" i="1"/>
  <c r="S54" i="1"/>
  <c r="S55" i="1"/>
  <c r="S56" i="1"/>
  <c r="S57" i="1"/>
  <c r="S58" i="1"/>
  <c r="S59" i="1"/>
  <c r="S60" i="1"/>
  <c r="S61" i="1"/>
  <c r="S50" i="1"/>
  <c r="S51" i="1"/>
  <c r="S52" i="1"/>
  <c r="S53" i="1"/>
  <c r="S34" i="1"/>
  <c r="S35" i="1"/>
  <c r="S36" i="1"/>
  <c r="S37" i="1"/>
  <c r="S38" i="1"/>
  <c r="S39" i="1"/>
  <c r="S40" i="1"/>
  <c r="S41" i="1"/>
  <c r="S42" i="1"/>
  <c r="S43" i="1"/>
  <c r="S44" i="1"/>
  <c r="S45" i="1"/>
  <c r="S46" i="1"/>
  <c r="S47" i="1"/>
  <c r="S48" i="1"/>
  <c r="S49" i="1"/>
  <c r="S26" i="1"/>
  <c r="S27" i="1"/>
  <c r="S28" i="1"/>
  <c r="S29" i="1"/>
  <c r="S30" i="1"/>
  <c r="S31" i="1"/>
  <c r="S32" i="1"/>
  <c r="S33" i="1"/>
  <c r="S18" i="1"/>
  <c r="S19" i="1"/>
  <c r="S20" i="1"/>
  <c r="S21" i="1"/>
  <c r="S22" i="1"/>
  <c r="S23" i="1"/>
  <c r="S24" i="1"/>
  <c r="S25" i="1"/>
  <c r="S2" i="1"/>
  <c r="S3" i="1"/>
  <c r="S4" i="1"/>
  <c r="S5" i="1"/>
  <c r="S6" i="1"/>
  <c r="S7" i="1"/>
  <c r="S8" i="1"/>
  <c r="S9" i="1"/>
  <c r="S10" i="1"/>
  <c r="S11" i="1"/>
  <c r="S12" i="1"/>
  <c r="S13" i="1"/>
  <c r="S14" i="1"/>
  <c r="S15" i="1"/>
  <c r="S16" i="1"/>
  <c r="S17" i="1"/>
  <c r="R63" i="1"/>
  <c r="R64" i="1"/>
  <c r="R65" i="1"/>
  <c r="R66" i="1"/>
  <c r="R67" i="1"/>
  <c r="R68" i="1"/>
  <c r="R69" i="1"/>
  <c r="R70" i="1"/>
  <c r="R71" i="1"/>
  <c r="R72" i="1"/>
  <c r="R73" i="1"/>
  <c r="R54" i="1"/>
  <c r="R55" i="1"/>
  <c r="R56" i="1"/>
  <c r="R57" i="1"/>
  <c r="R58" i="1"/>
  <c r="R59" i="1"/>
  <c r="R60" i="1"/>
  <c r="R61" i="1"/>
  <c r="R50" i="1"/>
  <c r="R51" i="1"/>
  <c r="R52" i="1"/>
  <c r="R53" i="1"/>
  <c r="R34" i="1"/>
  <c r="R35" i="1"/>
  <c r="R36" i="1"/>
  <c r="R37" i="1"/>
  <c r="R38" i="1"/>
  <c r="R39" i="1"/>
  <c r="R40" i="1"/>
  <c r="R41" i="1"/>
  <c r="R42" i="1"/>
  <c r="R43" i="1"/>
  <c r="R44" i="1"/>
  <c r="R45" i="1"/>
  <c r="R46" i="1"/>
  <c r="R47" i="1"/>
  <c r="R48" i="1"/>
  <c r="R49" i="1"/>
  <c r="R26" i="1"/>
  <c r="R27" i="1"/>
  <c r="R28" i="1"/>
  <c r="R29" i="1"/>
  <c r="R30" i="1"/>
  <c r="R31" i="1"/>
  <c r="R32" i="1"/>
  <c r="R33" i="1"/>
  <c r="R18" i="1"/>
  <c r="R19" i="1"/>
  <c r="R20" i="1"/>
  <c r="R21" i="1"/>
  <c r="R22" i="1"/>
  <c r="R23" i="1"/>
  <c r="R24" i="1"/>
  <c r="R25" i="1"/>
  <c r="R2" i="1"/>
  <c r="R3" i="1"/>
  <c r="R4" i="1"/>
  <c r="R5" i="1"/>
  <c r="R6" i="1"/>
  <c r="R7" i="1"/>
  <c r="R8" i="1"/>
  <c r="R9" i="1"/>
  <c r="R10" i="1"/>
  <c r="R11" i="1"/>
  <c r="R12" i="1"/>
  <c r="R13" i="1"/>
  <c r="R14" i="1"/>
  <c r="R15" i="1"/>
  <c r="R16" i="1"/>
  <c r="R17" i="1"/>
  <c r="R6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eta - Raw Data!$A$1:$W$427" type="102" refreshedVersion="6" minRefreshableVersion="5">
    <extLst>
      <ext xmlns:x15="http://schemas.microsoft.com/office/spreadsheetml/2010/11/main" uri="{DE250136-89BD-433C-8126-D09CA5730AF9}">
        <x15:connection id="Range" autoDelete="1">
          <x15:rangePr sourceName="_xlcn.WorksheetConnection_MetaRawDataA1W427"/>
        </x15:connection>
      </ext>
    </extLst>
  </connection>
</connections>
</file>

<file path=xl/sharedStrings.xml><?xml version="1.0" encoding="utf-8"?>
<sst xmlns="http://schemas.openxmlformats.org/spreadsheetml/2006/main" count="5287" uniqueCount="463">
  <si>
    <t>Market</t>
  </si>
  <si>
    <t>Campaign Name</t>
  </si>
  <si>
    <t>Audience</t>
  </si>
  <si>
    <t>Ad Name</t>
  </si>
  <si>
    <t>Format</t>
  </si>
  <si>
    <t>Creative Variation</t>
  </si>
  <si>
    <t>Amount Spent</t>
  </si>
  <si>
    <t>Clicks</t>
  </si>
  <si>
    <t>Paid Reach</t>
  </si>
  <si>
    <t>Total Impressions</t>
  </si>
  <si>
    <t>2 Second Video Views</t>
  </si>
  <si>
    <t>Video Completions</t>
  </si>
  <si>
    <t>Ad Group Name</t>
  </si>
  <si>
    <t>CTR</t>
  </si>
  <si>
    <t>CPM</t>
  </si>
  <si>
    <t>CT~DarkPost~AR~RIY~Video~9x16~61~_CV-PKsCG-</t>
  </si>
  <si>
    <t>CT~DarkPost~AR~RIY~Video~9x16~30~_CV-mhUEb-</t>
  </si>
  <si>
    <t>CT~DarkPost~AR~RIY~Video~9x16~45~_CV-QBIq7-</t>
  </si>
  <si>
    <t>CT~DarkPost~AR~RIY~Video~9x16~30~_CV</t>
  </si>
  <si>
    <t>CT~DarkPost~AR~RIY~Video~9x16~61~_CV</t>
  </si>
  <si>
    <t>CT~DarkPost~AR~RIY~Video~9x16~45~_CV</t>
  </si>
  <si>
    <t>CT~DarkPost~AR~RIY~Video~9x16~30~_CV-ZEv9c-</t>
  </si>
  <si>
    <t>CT~DarkPost~AR~RIY~Video~9x16~61~_CV-X7sKd-</t>
  </si>
  <si>
    <t>CT~DarkPost~AR~RIY~Video~9x16~45~_CV-MpCqN-</t>
  </si>
  <si>
    <t>CT~DarkPost~AR~QAT~Video~9x16~30~_CV</t>
  </si>
  <si>
    <t>Copy 1 of CT~DarkPost~EN~QAT~Video~9x16~45~_CV</t>
  </si>
  <si>
    <t>Copy 1 of CT~DarkPost~EN~QAT~Video~9x16~30~_CV</t>
  </si>
  <si>
    <t>CT~DarkPost~AR~QAT~Video~9x16~45~_CV</t>
  </si>
  <si>
    <t>CT~DarkPost~EN~QAT~Video~9x16~30~_CV</t>
  </si>
  <si>
    <t>CT~DarkPost~EN~QAT~Video~9x16~45~_CV</t>
  </si>
  <si>
    <t>CT~DarkPost~EN~OMA~Video~9x16~30~_CV</t>
  </si>
  <si>
    <t>CT~DarkPost~AR~OMA~Video~9x16~30~_CV</t>
  </si>
  <si>
    <t>CT~DarkPost~EN~OMA~Video~9x16~45~_CV</t>
  </si>
  <si>
    <t>CT~DarkPost~AR~OMA~Video~9x16~45~_CV</t>
  </si>
  <si>
    <t>CT~DarkPost~EN~KWT~Video~9x16~45~_CV</t>
  </si>
  <si>
    <t>CT~DarkPost~EN~KWT~Video~9x16~30~_CV</t>
  </si>
  <si>
    <t>CT~DarkPost~AR~KWT~Video~9x16~30~_CV</t>
  </si>
  <si>
    <t>CT~DarkPost~AR~KWT~Video~9x16~45~_CV</t>
  </si>
  <si>
    <t>CT~DarkPost~EN~JED~Video~9x16~45~_CV-rIzAL-</t>
  </si>
  <si>
    <t>CT~DarkPost~EN~JED~Video~9x16~30~_CV-lVMEf-</t>
  </si>
  <si>
    <t>CT~DarkPost~AR~JED~Video~9x16~45~_CV-ySPkG-</t>
  </si>
  <si>
    <t>CT~DarkPost~AR~JED~Video~9x16~30~_CV-k9Joh-</t>
  </si>
  <si>
    <t>CT~DarkPost~AR~JED~Video~9x16~30~_CV</t>
  </si>
  <si>
    <t>CT~DarkPost~EN~JED~Video~9x16~30~_CV</t>
  </si>
  <si>
    <t>CT~DarkPost~AR~JED~Video~9x16~45~_CV</t>
  </si>
  <si>
    <t>CT~DarkPost~EN~JED~Video~9x16~45~_CV</t>
  </si>
  <si>
    <t>CT~DarkPost~AR~BAH~Video~9x16~30~_CV-q93TD-</t>
  </si>
  <si>
    <t>CT~DarkPost~EN~BAH~Video~9x16~30~_CV-1gtb9-</t>
  </si>
  <si>
    <t>CT~DarkPost~EN~BAH~Video~9x16~45~_CV-IuSyj-</t>
  </si>
  <si>
    <t>CT~DarkPost~AR~BAH~Video~9x16~45~_CV-a6Bk9-</t>
  </si>
  <si>
    <t>CT~DarkPost~AR~BAH~Video~9x16~30~_CV</t>
  </si>
  <si>
    <t>CT~DarkPost~EN~BAH~Video~9x16~30~_CV</t>
  </si>
  <si>
    <t>CT~DarkPost~AR~BAH~Video~9x16~45~_CV</t>
  </si>
  <si>
    <t>CT~DarkPost~EN~BAH~Video~9x16~45~_CV</t>
  </si>
  <si>
    <t>CT~DarkPost~EN~AE~Video~9x16~45~_CV-W5bZ2-</t>
  </si>
  <si>
    <t>CT~DarkPost~EN~AE~Video~9x16~30~_CV-v4GMU-</t>
  </si>
  <si>
    <t>CT~DarkPost~AR~AE~Video~9x16~30~_CV-6SKmj-</t>
  </si>
  <si>
    <t>CT~DarkPost~AR~AE~Video~9x16~45~_CV-mcgoU-</t>
  </si>
  <si>
    <t>CT~DarkPost~AR~AE~Video~9x16~30~_CV</t>
  </si>
  <si>
    <t>CT~DarkPost~EN~AE~Video~9x16~30~_CV</t>
  </si>
  <si>
    <t>CT~DarkPost~AR~AE~Video~9x16~45~_CV</t>
  </si>
  <si>
    <t>CT~DarkPost~EN~AE~Video~9x16~45~_CV</t>
  </si>
  <si>
    <t>CT~DarkPost~AR~AE~Video~9x16~30~_CV-oUs2c-</t>
  </si>
  <si>
    <t>CT~DarkPost~EN~AE~Video~9x16~30~_CV-NPp84-</t>
  </si>
  <si>
    <t>CT~DarkPost~EN~AE~Video~9x16~45~_CV-Lc6gU-</t>
  </si>
  <si>
    <t>CT~DarkPost~AR~AE~Video~9x16~45~_CV-7wlSF-</t>
  </si>
  <si>
    <t>RIY</t>
  </si>
  <si>
    <t>QAT</t>
  </si>
  <si>
    <t>OMA</t>
  </si>
  <si>
    <t>KWT</t>
  </si>
  <si>
    <t>JED</t>
  </si>
  <si>
    <t>BAH</t>
  </si>
  <si>
    <t>AE</t>
  </si>
  <si>
    <t>Interests</t>
  </si>
  <si>
    <t>Video</t>
  </si>
  <si>
    <t>9x16</t>
  </si>
  <si>
    <t xml:space="preserve">Language </t>
  </si>
  <si>
    <t>AR</t>
  </si>
  <si>
    <t>EN</t>
  </si>
  <si>
    <t>VTR (2 Sec)</t>
  </si>
  <si>
    <t>VTR (Complete)</t>
  </si>
  <si>
    <t>Ad name</t>
  </si>
  <si>
    <t>Language</t>
  </si>
  <si>
    <t>Creative variations</t>
  </si>
  <si>
    <t>Reach</t>
  </si>
  <si>
    <t>Impressions</t>
  </si>
  <si>
    <t>Link clicks</t>
  </si>
  <si>
    <t>3-second video plays</t>
  </si>
  <si>
    <t>Video plays at 100%</t>
  </si>
  <si>
    <t>CTR (all)</t>
  </si>
  <si>
    <t>VTR</t>
  </si>
  <si>
    <t>CT~DarkPost~AR~BH~Video~16x9~45~_CV</t>
  </si>
  <si>
    <t>16x9</t>
  </si>
  <si>
    <t>CT~DarkPost~EN~BH~Video~1x1~45~_CV</t>
  </si>
  <si>
    <t>1x1</t>
  </si>
  <si>
    <t>CT~DarkPost~EN~BH~Video~16x9~30~_CV</t>
  </si>
  <si>
    <t>CT~DarkPost~AR~BH~Video~1x1~30~_CV</t>
  </si>
  <si>
    <t>CT~DarkPost~AR~BH~Static~1x1~EA3~_CV</t>
  </si>
  <si>
    <t>Static</t>
  </si>
  <si>
    <t>CT~DarkPost~AR~BH~Video~16x9~30~_CV</t>
  </si>
  <si>
    <t>CT~DarkPost~EN~BH~Video~1x1~30~_CV</t>
  </si>
  <si>
    <t>CT~DarkPost~AR~BH~Video~1x1~45~_CV</t>
  </si>
  <si>
    <t>CT~DarkPost~EN~BH~Video~16x9~45~_CV</t>
  </si>
  <si>
    <t>CT~DarkPost~AR~BH~Video~1x1~Sharing~_CV</t>
  </si>
  <si>
    <t>CT~DarkPost~AR~BH~Static~1x1~EA2~_CV</t>
  </si>
  <si>
    <t>CT~DarkPost~EN~BH~Static~1x1~EA3~_CV</t>
  </si>
  <si>
    <t>CT~DarkPost~EN~BH~Video~16x9~60~_CV</t>
  </si>
  <si>
    <t>CT~DarkPost~EN~BH~Video~9x16~45~_CV</t>
  </si>
  <si>
    <t>CT~DarkPost~AR~BH~Static~1x1~EA~_CV</t>
  </si>
  <si>
    <t>CT~DarkPost~EN~BH~Video~1x1~Sharing~_CV</t>
  </si>
  <si>
    <t>CT~DarkPost~AR~BH~Video~1x1~61~_CV</t>
  </si>
  <si>
    <t>CT~DarkPost~EN~BH~Static~1x1~EA2~_CV</t>
  </si>
  <si>
    <t>CT~DarkPost~EN~BH~Video~1x1~60~_CV -</t>
  </si>
  <si>
    <t>CT~DarkPost~AR~BH~Video~9x16~60~_CV</t>
  </si>
  <si>
    <t>CT~DarkPost~AR~BH~Video~16x9~61~_CV</t>
  </si>
  <si>
    <t>CT~DarkPost~EN~BH~Static~1x1~EA~_CV</t>
  </si>
  <si>
    <t>CT~DarkPost~EN~BH~Video~9x16~30~_CV</t>
  </si>
  <si>
    <t>CT~DarkPost~EN~BH~Carousel~1x1~_CV</t>
  </si>
  <si>
    <t>Carousel</t>
  </si>
  <si>
    <t>CT~DarkPost~AR~BH~Video~9x16~45~_CV</t>
  </si>
  <si>
    <t>CT~DarkPost~EN~BH~Video~9x16~60~_CV</t>
  </si>
  <si>
    <t>CT~DarkPost~AR~BH~Video~9x16~30~_CV</t>
  </si>
  <si>
    <t>CT~DarkPost~AR~BH~Carousel~1x1~_CV</t>
  </si>
  <si>
    <t>CT~DarkPost~AR~BH~Carousel~9x16~_CV</t>
  </si>
  <si>
    <t>KW</t>
  </si>
  <si>
    <t>Swipe Ups</t>
  </si>
  <si>
    <t>Swipe Up Rate</t>
  </si>
  <si>
    <t>Paid Frequency</t>
  </si>
  <si>
    <t>Paid eCPM</t>
  </si>
  <si>
    <t>VTR%</t>
  </si>
  <si>
    <t>CDP</t>
  </si>
  <si>
    <t>CT~DarkPost~AR~KW~Video~9x16~45_CV</t>
  </si>
  <si>
    <t>CT~DarkPost~EN~KW~Video~9x16~30_CV</t>
  </si>
  <si>
    <t>CT~DarkPost~AR~KW~Video~9x16~30_CV</t>
  </si>
  <si>
    <t>CT~DarkPost~EN~KW~Video~9x16~45_CV</t>
  </si>
  <si>
    <t>CT~DarkPost~AR~KW_Video~9x16~30~_CV</t>
  </si>
  <si>
    <t>CT~DarkPost~AR~QT~Video~9x16~30sec~_CV</t>
  </si>
  <si>
    <t>CT~DarkPost~EN~QT~Video~9x16~30~_CV</t>
  </si>
  <si>
    <t>CT~DarkPost~EN~QT~Video~9x16~45sec~_CV</t>
  </si>
  <si>
    <t>CT~DarkPost~AR~QT~Video~9x16~45sec~_CV</t>
  </si>
  <si>
    <t>UAE</t>
  </si>
  <si>
    <t xml:space="preserve"> CT~DarkPost~AR~AE~Video~9x16~30~_CV</t>
  </si>
  <si>
    <t>CT~DarkPost~AR~RIY~Video~16x9~45~_CV</t>
  </si>
  <si>
    <t>CT~DarkPost~AR~RIY~Video~1x1~45~_CV</t>
  </si>
  <si>
    <t>CT~DarkPost~AR~KW~Video~16x9~45~_CV - Copy</t>
  </si>
  <si>
    <t>CT~DarkPost~AR~JED~Video~16x9~45~_CV - Copy</t>
  </si>
  <si>
    <t>CT~DarkPost~AR~QAT~Video~16x9~30~_CV</t>
  </si>
  <si>
    <t>CT~DarkPost~AR~KW~Video~1x1~30~_CV - Copy</t>
  </si>
  <si>
    <t>CT~DarkPost~AR~RIY~Video~1x1~30~_CV</t>
  </si>
  <si>
    <t>CT~DarkPost~AR~RIY~Video~16x9~61~_CV</t>
  </si>
  <si>
    <t>CT~DarkPost~AR~JED~Video~16x9~45~_CV</t>
  </si>
  <si>
    <t>CT~DarkPost~AR~RIY~Video~16x9~30~_CV</t>
  </si>
  <si>
    <t>CT~DarkPost~EN~JED~Video~16x9~30~_CV - Copy</t>
  </si>
  <si>
    <t>CT~DarkPost~AR~RIY~Video~1x1~Sharing~_CV</t>
  </si>
  <si>
    <t>CT~DarkPost~AR~QAT~Video~1x1~30~_CV</t>
  </si>
  <si>
    <t>CT~DarkPost~EN~JED~Video~1x1~30~_CV</t>
  </si>
  <si>
    <t>CT~DarkPost~AR~OM~Video~16x9~45~_CV - Copy</t>
  </si>
  <si>
    <t>CT~DarkPost~AR~QAT~Static~1x1~EA3~_CV</t>
  </si>
  <si>
    <t>CT~DarkPost~EN~KW~Video~1x1~45~_CV</t>
  </si>
  <si>
    <t>CT~DarkPost~AR~OM~Video~16x9~30~_CV - Copy</t>
  </si>
  <si>
    <t>CT~DarkPost~EN~KW~Video~16x9~45~_CV</t>
  </si>
  <si>
    <t>CT~DarkPost~AR~JED~Video~16x9~30~_CV - Copy</t>
  </si>
  <si>
    <t>CT~DarkPost~EN~KW~Video~1x1~45~_CV - Copy</t>
  </si>
  <si>
    <t>CT~DarkPost~AR~KW~Video~16x9~45~_CV</t>
  </si>
  <si>
    <t>CT~DarkPost~AR~KW~Static~1x1~EA3~_CV</t>
  </si>
  <si>
    <t>CT~DarkPost~AR~JED~Static~1x1~EA3~_CV</t>
  </si>
  <si>
    <t>CT~DarkPost~EN~OM~Video~16x9~30~_CV - Copy</t>
  </si>
  <si>
    <t>CT~DarkPost~AR~JED~Video~1x1~45~_CV - Copy</t>
  </si>
  <si>
    <t>CT~DarkPost~AR~KW~Static~1x1~EA2~_CV</t>
  </si>
  <si>
    <t>CT~DarkPost~AR~QAT~Video~16x9~45~_CV</t>
  </si>
  <si>
    <t>CT~DarkPost~EN~QAT~Video~16x9~30~_CV</t>
  </si>
  <si>
    <t>CT~DarkPost~EN~JED~Video~1x1~45~_CV</t>
  </si>
  <si>
    <t>CT~DarkPost~EN~KW~Video~16x9~30~_CV - Copy</t>
  </si>
  <si>
    <t>CT~DarkPost~EN~QAT~Static~1x1~EA3~_CV</t>
  </si>
  <si>
    <t>CT~DarkPost~EN~KW~Video~1x1~30~_CV</t>
  </si>
  <si>
    <t>CT~DarkPost~EN~JED~Video~1x1~45~_CV - Copy</t>
  </si>
  <si>
    <t>CT~DarkPost~EN~KW~Video~16x9~30~_CV</t>
  </si>
  <si>
    <t>CT~DarkPost~EN~QAT~Video~1x1~30~_CV</t>
  </si>
  <si>
    <t>CT~DarkPost~EN~OM~Video~16x9~45~_CV</t>
  </si>
  <si>
    <t>CT~DarkPost~AR~OM~Static~1x1~EA3~_CV</t>
  </si>
  <si>
    <t>CT~DarkPost~EN~JED~Video~16x9~45~_CV</t>
  </si>
  <si>
    <t>CT~DarkPost~AR~JED~Video~1x1~45~_CV</t>
  </si>
  <si>
    <t>CT~DarkPost~AR~KW~Video~1x1~30~_CV</t>
  </si>
  <si>
    <t>CT~DarkPost~AR~JED~Static~1x1~EA2~_CV</t>
  </si>
  <si>
    <t>CT~DarkPost~AR~JED~Video~1x1~30~_CV - Copy</t>
  </si>
  <si>
    <t>CT~DarkPost~EN~KW~Static~1x1~EA3~_CV</t>
  </si>
  <si>
    <t>CT~DarkPost~AR~RIY~Video~1x1~61~_CV</t>
  </si>
  <si>
    <t>CT~DarkPost~AR~KW~Video~16x9~30~_CV - Copy</t>
  </si>
  <si>
    <t>CT~DarkPost~AR~OM~Video~1x1~45~_CV - Copy</t>
  </si>
  <si>
    <t>CT~DarkPost~AR~OM~Video~16x9~45~_CV</t>
  </si>
  <si>
    <t>CT~DarkPost~EN~KW~Video~1x1~30~_CV - Copy</t>
  </si>
  <si>
    <t>CT~DarkPost~AR~RIY~Video~9x16~60~_CV</t>
  </si>
  <si>
    <t>CT~DarkPost~EN~JED~Video~16x9~45~_CV - Copy</t>
  </si>
  <si>
    <t>CT~DarkPost~EN~QAT~Video~1x1~45~_CV</t>
  </si>
  <si>
    <t>CT~DarkPost~EN~OM~Video~1x1~45~_CV</t>
  </si>
  <si>
    <t>CT~DarkPost~EN~JED~Video~1x1~30~_CV - Copy</t>
  </si>
  <si>
    <t>CT~DarkPost~AR~KW~Static~1x1~EA~_CV</t>
  </si>
  <si>
    <t>CT~DarkPost~EN~JED~Static~1x1~EA3~_CV</t>
  </si>
  <si>
    <t>CT~DarkPost~AR~QAT~Video~16x9~61~_CV</t>
  </si>
  <si>
    <t>CT~DarkPost~AR~JED~Static~1x1~EA~_CV</t>
  </si>
  <si>
    <t>CT~DarkPost~AR~JED~Video~16x9~61~_CV - Copy</t>
  </si>
  <si>
    <t>CT~DarkPost~AR~QAT~Static~1x1~EA2~_CV</t>
  </si>
  <si>
    <t>CT~DarkPost~EN~KW~Video~16x9~45~_CV - Copy</t>
  </si>
  <si>
    <t>CT~DarkPost~EN~KW~Video~1x1~60~_CV -</t>
  </si>
  <si>
    <t>CT~DarkPost~EN~OM~Video~9x16~45~_CV</t>
  </si>
  <si>
    <t>CT~DarkPost~EN~QAT~Video~16x9~45~_CV</t>
  </si>
  <si>
    <t>CT~DarkPost~AR~OM~Video~1x1~30~_CV - Copy</t>
  </si>
  <si>
    <t>CT~DarkPost~AR~JED~Video~1x1~30~_CV</t>
  </si>
  <si>
    <t>CT~DarkPost~AR~QAT~Video~1x1~45~_CV</t>
  </si>
  <si>
    <t>CT~DarkPost~AR~OM~Video~1x1~45~_CV</t>
  </si>
  <si>
    <t>CT~DarkPost~AR~KW~Video~1x1~45~_CV</t>
  </si>
  <si>
    <t>CT~DarkPost~EN~OM~Static~1x1~EA3~_CV</t>
  </si>
  <si>
    <t>CT~DarkPost~AR~JED~Video~16x9~30~_CV</t>
  </si>
  <si>
    <t>CT~DarkPost~AR~OM~Static~1x1~EA2~_CV</t>
  </si>
  <si>
    <t>CT~DarkPost~AR~JED~Video~1x1~61~_CV</t>
  </si>
  <si>
    <t>CT~DarkPost~EN~OM~Video~1x1~30~_CV</t>
  </si>
  <si>
    <t>CT~DarkPost~AR~KW~Video~1x1~61~_CV</t>
  </si>
  <si>
    <t>CT~DarkPost~AR~JED~Video~1x1~Sharing~_CV</t>
  </si>
  <si>
    <t>CT~DarkPost~EN~JED~Video~1x1~60~_CV -</t>
  </si>
  <si>
    <t>CT~DarkPost~AR~KW~Video~1x1~45~_CV - Copy</t>
  </si>
  <si>
    <t>CT~DarkPost~EN~OM~Video~16x9~45~_CV - Copy</t>
  </si>
  <si>
    <t>CT~DarkPost~EN~OM~Video~1x1~45~_CV - Copy</t>
  </si>
  <si>
    <t>CT~DarkPost~EN~KW~Video~16x9~60~_CV</t>
  </si>
  <si>
    <t>CT~DarkPost~EN~JED~Static~1x1~EA~_CV</t>
  </si>
  <si>
    <t>CT~DarkPost~AR~KW~Video~16x9~61~_CV</t>
  </si>
  <si>
    <t>CT~DarkPost~EN~KW~Video~1x1~Sharing~_CV</t>
  </si>
  <si>
    <t>CT~DarkPost~EN~KW~Video~9x16~45~_CV</t>
  </si>
  <si>
    <t>CT~DarkPost~EN~KW~Video~9x16~30~_CV</t>
  </si>
  <si>
    <t>CT~DarkPost~EN~JED~Video~16x9~30~_CV</t>
  </si>
  <si>
    <t>CT~DarkPost~EN~JED~Video~16x9~60~_CV</t>
  </si>
  <si>
    <t>CT~DarkPost~EN~JED~Static~1x1~EA2~_CV</t>
  </si>
  <si>
    <t>CT~DarkPost~AR~KW~Video~16x9~61~_CV - Copy</t>
  </si>
  <si>
    <t>CT~DarkPost~EN~OM~Video~9x16~60~_CV</t>
  </si>
  <si>
    <t>CT~DarkPost~AR~KW~Video~1x1~Sharing~_CV</t>
  </si>
  <si>
    <t>CT~DarkPost~AR~OM~Static~1x1~EA~_CV</t>
  </si>
  <si>
    <t>CT~DarkPost~AR~KW~Carousel~1x1~_CV</t>
  </si>
  <si>
    <t>CT~DarkPost~EN~OM~Video~1x1~30~_CV - Copy</t>
  </si>
  <si>
    <t>CT~DarkPost~AR~QAT~Video~1x1~61~_CV</t>
  </si>
  <si>
    <t>CT~DarkPost~EN~QAT~Video~1x1~Sharing~_CV</t>
  </si>
  <si>
    <t>CT~DarkPost~AR~OM~Video~1x1~Sharing~_CV</t>
  </si>
  <si>
    <t>CT~DarkPost~AR~JED~Video~16x9~61~_CV</t>
  </si>
  <si>
    <t>CT~DarkPost~EN~QAT~Static~1x1~EA2~_CV</t>
  </si>
  <si>
    <t>CT~DarkPost~AR~OM~Video~9x16~45~_CV</t>
  </si>
  <si>
    <t>CT~DarkPost~EN~OM~Video~1x1~60~_CV -</t>
  </si>
  <si>
    <t>CT~DarkPost~EN~QAT~Video~16x9~60~_CV</t>
  </si>
  <si>
    <t>CT~DarkPost~AR~JED~Carousel~1x1~_CV</t>
  </si>
  <si>
    <t>CT~DarkPost~EN~QAT~Video~1x1~60~_CV -</t>
  </si>
  <si>
    <t>CT~DarkPost~EN~JED~Video~1x1~Sharing~_CV</t>
  </si>
  <si>
    <t>CT~DarkPost~AR~KW~Video~16x9~30~_CV</t>
  </si>
  <si>
    <t>CT~DarkPost~EN~KW~Static~1x1~EA2~_CV</t>
  </si>
  <si>
    <t>CT~DarkPost~EN~KW~Static~1x1~EA~_CV</t>
  </si>
  <si>
    <t>CT~DarkPost~AR~QAT~Static~1x1~EA~_CV</t>
  </si>
  <si>
    <t>CT~DarkPost~AR~OM~Video~9x16~60~_CV</t>
  </si>
  <si>
    <t>CT~DarkPost~EN~OM~Static~1x1~EA2~_CV</t>
  </si>
  <si>
    <t>CT~DarkPost~EN~OM~Video~1x1~Sharing~_CV</t>
  </si>
  <si>
    <t>CT~DarkPost~AR~OM~Video~1x1~30~_CV</t>
  </si>
  <si>
    <t>CT~DarkPost~EN~OM~Static~1x1~EA~_CV</t>
  </si>
  <si>
    <t>CT~DarkPost~EN~OM~Video~16x9~30~_CV</t>
  </si>
  <si>
    <t>CT~DarkPost~EN~QAT~Video~9x16~60~_CV</t>
  </si>
  <si>
    <t>CT~DarkPost~EN~JED~Carousel~1x1~_CV</t>
  </si>
  <si>
    <t>CT~DarkPost~AR~OM~Video~1x1~61~_CV</t>
  </si>
  <si>
    <t>CT~DarkPost~EN~QAT~Static~1x1~EA~_CV</t>
  </si>
  <si>
    <t>CT~DarkPost~AR~QAT~Video~1x1~Sharing~_CV</t>
  </si>
  <si>
    <t>CT~DarkPost~EN~KW~Video~1x1~60~_CV - - Copy</t>
  </si>
  <si>
    <t>CT~DarkPost~AR~KW~Video~9x16~45~_CV</t>
  </si>
  <si>
    <t>CT~DarkPost~AR~QAT~Video~9x16~60~_CV</t>
  </si>
  <si>
    <t>CT~DarkPost~EN~QAT~Carousel~1x1~_CV</t>
  </si>
  <si>
    <t>CT~DarkPost~EN~JED~Video~9x16~60~_CV</t>
  </si>
  <si>
    <t>CT~DarkPost~EN~OM~Video~16x9~60~_CV</t>
  </si>
  <si>
    <t>CT~DarkPost~EN~KW~Video~9x16~60~_CV</t>
  </si>
  <si>
    <t>CT~DarkPost~EN~OM~Video~9x16~30~_CV</t>
  </si>
  <si>
    <t>CT~DarkPost~EN~JED~Video~16x9~60~_CV - Copy</t>
  </si>
  <si>
    <t>CT~DarkPost~EN~JED~Video~1x1~60~_CV - - Copy</t>
  </si>
  <si>
    <t>CT~DarkPost~AR~OM~Carousel~9x16~_CV</t>
  </si>
  <si>
    <t>CT~DarkPost~AR~QAT~Carousel~1x1~_CV</t>
  </si>
  <si>
    <t>CT~DarkPost~AR~OM~Video~9x16~30~_CV</t>
  </si>
  <si>
    <t>CT~DarkPost~AR~OM~Video~16x9~61~_CV</t>
  </si>
  <si>
    <t>CT~DarkPost~EN~KW~Carousel~1x1~_CV</t>
  </si>
  <si>
    <t>CT~DarkPost~AR~KW~Video~9x16~60~_CV</t>
  </si>
  <si>
    <t>CT~DarkPost~AR~OM~Carousel~1x1~_CV</t>
  </si>
  <si>
    <t>CT~DarkPost~AR~OM~Video~16x9~30~_CV</t>
  </si>
  <si>
    <t>CT~DarkPost~AR~JED~Video~1x1~61~_CV - Copy</t>
  </si>
  <si>
    <t>CT~DarkPost~AR~JED~Video~9x16~60~_CV</t>
  </si>
  <si>
    <t>CT~DarkPost~AR~OM~Video~16x9~61~_CV - Copy</t>
  </si>
  <si>
    <t>CT~DarkPost~AR~KW~Video~9x16~30~_CV</t>
  </si>
  <si>
    <t>CT~DarkPost~EN~KW~Video~16x9~60~_CV - Copy</t>
  </si>
  <si>
    <t>CT~DarkPost~EN~OM~Carousel~1x1~_CV</t>
  </si>
  <si>
    <t>CT~DarkPost~EN~OM~Video~1x1~60~_CV - - Copy</t>
  </si>
  <si>
    <t>CT~DarkPost~AR~KW~Video~1x1~61~_CV - Copy</t>
  </si>
  <si>
    <t>CT~DarkPost~EN~OM~Video~16x9~60~_CV - Copy</t>
  </si>
  <si>
    <t>CT~DarkPost~AR~OM~Video~1x1~61~_CV - Copy</t>
  </si>
  <si>
    <t>CT~DarkPost~AR~OM~Video~1x1~Sharing~_CV - Copy</t>
  </si>
  <si>
    <t>CT~DarkPost~EN~KW~Video~1x1~Sharing~_CV - Copy</t>
  </si>
  <si>
    <t>CT~DarkPost~AR~JED~Video~1x1~Sharing~_CV - Copy</t>
  </si>
  <si>
    <t>CT~DarkPost~EN~OM~Carousel~9x16~_CV</t>
  </si>
  <si>
    <t>CT~DarkPost~EN~JED~Video~1x1~Sharing~_CV - Copy</t>
  </si>
  <si>
    <t>CT~DarkPost~EN~OM~Video~1x1~Sharing~_CV - Copy</t>
  </si>
  <si>
    <t>CT~DarkPost~AR~KW~Carousel~9x16~_CV</t>
  </si>
  <si>
    <t>CT~DarkPost~AR~KW~Video~1x1~Sharing~_CV - Copy</t>
  </si>
  <si>
    <t>CT~DarkPost~EN~KW~Carousel~9x16~_CV</t>
  </si>
  <si>
    <t>CT~DarkPost~EN~OM~Video~9x16~45~_CV - Copy</t>
  </si>
  <si>
    <t>CT~DarkPost~AR~OM~Video~9x16~30~_CV - Copy</t>
  </si>
  <si>
    <t>CT~DarkPost~AR~OM~Video~9x16~45~_CV - Copy</t>
  </si>
  <si>
    <t>CT~DarkPost~AR~OM~Video~9x16~60~_CV - Copy</t>
  </si>
  <si>
    <t>CT~DarkPost~AR~JED~Video~9x16~30~_CV - Copy</t>
  </si>
  <si>
    <t>CT~DarkPost~AR~JED~Video~9x16~60~_CV - Copy</t>
  </si>
  <si>
    <t>CT~DarkPost~EN~JED~Video~9x16~30~_CV - Copy</t>
  </si>
  <si>
    <t>CT~DarkPost~EN~JED~Video~9x16~45~_CV - Copy</t>
  </si>
  <si>
    <t>CT~DarkPost~EN~JED~Video~9x16~60~_CV - Copy</t>
  </si>
  <si>
    <t>CT~DarkPost~AR~JED~Video~9x16~45~_CV - Copy</t>
  </si>
  <si>
    <t>CT~DarkPost~AR~KW~Video~9x16~30~_CV - Copy</t>
  </si>
  <si>
    <t>CT~DarkPost~AR~KW~Video~9x16~45~_CV - Copy</t>
  </si>
  <si>
    <t>CT~DarkPost~AR~KW~Video~9x16~60~_CV - Copy</t>
  </si>
  <si>
    <t>CT~DarkPost~EN~KW~Video~9x16~30~_CV - Copy</t>
  </si>
  <si>
    <t>CT~DarkPost~EN~KW~Video~9x16~45~_CV - Copy</t>
  </si>
  <si>
    <t>CT~DarkPost~EN~KW~Video~9x16~60~_CV - Copy</t>
  </si>
  <si>
    <t>CT~DarkPost~EN~OM~Video~9x16~30~_CV - Copy</t>
  </si>
  <si>
    <t>CT~DarkPost~EN~OM~Video~9x16~60~_CV - Copy</t>
  </si>
  <si>
    <t>CT~DarkPost~AR~UAE~Video~16x9~45~_CV</t>
  </si>
  <si>
    <t>CT~DarkPost~AR~UAE~Video~16x9~30~_CV</t>
  </si>
  <si>
    <t>CT~DarkPost~AR~UAE~Video~1x1~30~_CV</t>
  </si>
  <si>
    <t>CT~DarkPost~EN~UAE~Static~1x1~EA3~_CV</t>
  </si>
  <si>
    <t>CT~DarkPost~AR~UAE~Static~1x1~EA3~_CV</t>
  </si>
  <si>
    <t>CT~DarkPost~AR~UAE~Video~1x1~45~_CV</t>
  </si>
  <si>
    <t>CT~DarkPost~AR~UAE~Static~1x1~EA2~_CV</t>
  </si>
  <si>
    <t>CT~DarkPost~AR~UAE~Video~16x9~61~_CV</t>
  </si>
  <si>
    <t>CT~DarkPost~EN~UAE~Video~1x1~30~_CV</t>
  </si>
  <si>
    <t>CT~DarkPost~EN~UAE~Video~1x1~45~_CV</t>
  </si>
  <si>
    <t>CT~DarkPost~EN~UAE~Video~16x9~30~_CV</t>
  </si>
  <si>
    <t>CT~DarkPost~EN~UAE~Video~1x1~Sharing~_CV</t>
  </si>
  <si>
    <t>CT~DarkPost~AR~UAE~Static~1x1~EA~_CV</t>
  </si>
  <si>
    <t>CT~DarkPost~EN~UAE~Video~16x9~45~_CV</t>
  </si>
  <si>
    <t>CT~DarkPost~AR~UAE~Video~1x1~61~_CV</t>
  </si>
  <si>
    <t>CT~DarkPost~EN~UAE~Video~1x1~60~_CV -</t>
  </si>
  <si>
    <t>CT~DarkPost~AR~UAE~Video~1x1~Sharing~_CV</t>
  </si>
  <si>
    <t>CT~DarkPost~EN~UAE~Static~1x1~EA2~_CV</t>
  </si>
  <si>
    <t>CT~DarkPost~EN~UAE~Carousel~1x1~_CV</t>
  </si>
  <si>
    <t>CT~DarkPost~EN~UAE~Static~1x1~EA~_CV</t>
  </si>
  <si>
    <t>CT~DarkPost~AR~UAE~Video~9x16~30~_CV</t>
  </si>
  <si>
    <t>CT~DarkPost~EN~UAE~Video~16x9~60~_CV</t>
  </si>
  <si>
    <t>CT~DarkPost~AR~UAE~Video~9x16~45~_CV</t>
  </si>
  <si>
    <t>CT~DarkPost~AR~UAE~Video~9x16~60~_CV</t>
  </si>
  <si>
    <t>CT~DarkPost~EN~UAE~Video~9x16~45~_CV</t>
  </si>
  <si>
    <t>CT~DarkPost~EN~UAE~Video~9x16~30~_CV</t>
  </si>
  <si>
    <t>CT~DarkPost~AR~UAE~Carousel~1x1~_CV</t>
  </si>
  <si>
    <t>CT~DarkPost~EN~UAE~Video~9x16~60~_CV</t>
  </si>
  <si>
    <t>Total Engagement</t>
  </si>
  <si>
    <t>Engagement Rate</t>
  </si>
  <si>
    <t>Post engagement</t>
  </si>
  <si>
    <t>CT~DarkPost~EN~UAE~Carousel~9x16~_CV</t>
  </si>
  <si>
    <t>CT~DarkPost~AR~UAE~Carousel~9x16~_CV</t>
  </si>
  <si>
    <t>Campaign Strategy</t>
  </si>
  <si>
    <t>Awareness</t>
  </si>
  <si>
    <t>Consideration</t>
  </si>
  <si>
    <t>TikTok</t>
  </si>
  <si>
    <t>Social_MK~AE_TG</t>
  </si>
  <si>
    <t>Social_MK~BH_TG</t>
  </si>
  <si>
    <t>Social_MK~JED_T</t>
  </si>
  <si>
    <t>Social_MK~KW_TG</t>
  </si>
  <si>
    <t>Social_MK~OM_TG</t>
  </si>
  <si>
    <t>Social_MK~QA_TG</t>
  </si>
  <si>
    <t>Social_MK~RIY_T</t>
  </si>
  <si>
    <t>Social_MK~JED_TG</t>
  </si>
  <si>
    <t>Social_MK~QT_TG</t>
  </si>
  <si>
    <t>Social_MK~RIY_TG</t>
  </si>
  <si>
    <t>Snapchat_MK~UAE_TG</t>
  </si>
  <si>
    <t>Tiktok_MK~AE_TG</t>
  </si>
  <si>
    <t>Tiktok_MK~BAH_TG</t>
  </si>
  <si>
    <t>Tiktok_MK~JED_TG</t>
  </si>
  <si>
    <t>Tiktok_MK~KWT_TG</t>
  </si>
  <si>
    <t>Tiktok_MK~OMA_TG</t>
  </si>
  <si>
    <t>Tiktok_MK~QAT_TG</t>
  </si>
  <si>
    <t>FBIG_MK~RIY_TG</t>
  </si>
  <si>
    <t>Tiktok_MK~RIY_TG</t>
  </si>
  <si>
    <t>AE_AT~Tiktok~Interests_AG</t>
  </si>
  <si>
    <t>AE_AT~Tiktok~CDP_All Users_AG</t>
  </si>
  <si>
    <t>BAH_AT~Tiktok~Interests_AG</t>
  </si>
  <si>
    <t>JED_AT~Tiktok~Interests_AG</t>
  </si>
  <si>
    <t>KWT_AT~Tiktok~Interests_AG</t>
  </si>
  <si>
    <t>KWT_AT~Tiktok~Retargeting_AG</t>
  </si>
  <si>
    <t>OMA_AT~Tiktok~Interests_AG</t>
  </si>
  <si>
    <t>QAT_AT~Tiktok~Interests_AG</t>
  </si>
  <si>
    <t>RIY_AT~FBIG~Interests_AG</t>
  </si>
  <si>
    <t>RIY_AT~FBIG~CDPAuudience_AG</t>
  </si>
  <si>
    <t>JED_AT~Snapchat~CDP_AG</t>
  </si>
  <si>
    <t>JED_AT~Snapchat~Retargeting-CDPAllusers_AG</t>
  </si>
  <si>
    <t>JED_AT~Snapchat~Interests_AG</t>
  </si>
  <si>
    <t>KW_AT~Snapchat~Interests_AG</t>
  </si>
  <si>
    <t>QAT_AT~Snap~Interests_AG</t>
  </si>
  <si>
    <t>RIY_AT~Snapchat~Retargeting</t>
  </si>
  <si>
    <t>RIY_AT~Snapchat~Interests_AG</t>
  </si>
  <si>
    <t>AE_AT~Snapchat~Interests_AG</t>
  </si>
  <si>
    <t>CTR Comments</t>
  </si>
  <si>
    <t>Engagement</t>
  </si>
  <si>
    <t>Target Group</t>
  </si>
  <si>
    <t>Create a Pivot Table from the TikTok data to sum impressions and clicks by campaign name. Which campaign had the highest CTR, and what might be the reason for its success?</t>
  </si>
  <si>
    <t>Row Labels</t>
  </si>
  <si>
    <t>Grand Total</t>
  </si>
  <si>
    <t>Sum of Total Impressions</t>
  </si>
  <si>
    <t>Sum of Clicks</t>
  </si>
  <si>
    <t>Sum of CTR</t>
  </si>
  <si>
    <t>From the Meta data, create a Pivot Table to analyze the performance of ads</t>
  </si>
  <si>
    <t>targeted at different age groups. Which age group had the highest conversion</t>
  </si>
  <si>
    <t>rate, and how could this insight affect future campaigns?</t>
  </si>
  <si>
    <t>CPC</t>
  </si>
  <si>
    <t xml:space="preserve">Amount spent </t>
  </si>
  <si>
    <t>Platforms</t>
  </si>
  <si>
    <t>Meta</t>
  </si>
  <si>
    <t>Snapchat</t>
  </si>
  <si>
    <t>Average CPC</t>
  </si>
  <si>
    <t>Platform</t>
  </si>
  <si>
    <t>Average of CPC</t>
  </si>
  <si>
    <t>Age Group</t>
  </si>
  <si>
    <t>Millennials</t>
  </si>
  <si>
    <t>Boomers</t>
  </si>
  <si>
    <t>Conversion Rate</t>
  </si>
  <si>
    <t>Average of Conversion Rate</t>
  </si>
  <si>
    <t>Amount Spend</t>
  </si>
  <si>
    <t>Sum of Amount Spent</t>
  </si>
  <si>
    <t>Sum of Amount spent</t>
  </si>
  <si>
    <t>Total</t>
  </si>
  <si>
    <t>Sum of Link clicks</t>
  </si>
  <si>
    <t>Sum of Swipe Ups</t>
  </si>
  <si>
    <t>Total Clicks</t>
  </si>
  <si>
    <t>KPI</t>
  </si>
  <si>
    <t>Sum of Paid Reach</t>
  </si>
  <si>
    <t>Sum of Reach</t>
  </si>
  <si>
    <t>Total Amount, total impression ,total reachand total clicks</t>
  </si>
  <si>
    <t>Total Amount Spend ,total impression,total reach and Total Clicks</t>
  </si>
  <si>
    <t>Total Amount Spend , Total Clicks,total reach and total impresion</t>
  </si>
  <si>
    <t>Total Reach</t>
  </si>
  <si>
    <t>Average of Impressions</t>
  </si>
  <si>
    <t>Average of Total Impressions</t>
  </si>
  <si>
    <t>Avg Impression</t>
  </si>
  <si>
    <t>United Arab Emirates Target Group</t>
  </si>
  <si>
    <t>Bahrain Target Group</t>
  </si>
  <si>
    <t>Jeddah Target Group</t>
  </si>
  <si>
    <t>Kuwait Target Group</t>
  </si>
  <si>
    <t>Oman Target Group</t>
  </si>
  <si>
    <t>Qatar Target Group</t>
  </si>
  <si>
    <t>RiyadhTarget Group</t>
  </si>
  <si>
    <t>Riyadh Target Group</t>
  </si>
  <si>
    <t>Spend In each target Group</t>
  </si>
  <si>
    <t>Spend In each target group</t>
  </si>
  <si>
    <t>Spend in each target group</t>
  </si>
  <si>
    <t>Sum of 2 Second Video Views</t>
  </si>
  <si>
    <t>Video views</t>
  </si>
  <si>
    <t>Sum of 3-second video plays</t>
  </si>
  <si>
    <t>Total Video Views</t>
  </si>
  <si>
    <t xml:space="preserve">AR Language </t>
  </si>
  <si>
    <t xml:space="preserve">EN Language </t>
  </si>
  <si>
    <t>Sum of Impressions</t>
  </si>
  <si>
    <t>How many clicks we had accoding to language based</t>
  </si>
  <si>
    <t>Language based analysis</t>
  </si>
  <si>
    <t>Total reach</t>
  </si>
  <si>
    <t>Average of CTR</t>
  </si>
  <si>
    <t>Average of CTR (all)</t>
  </si>
  <si>
    <t>Average CTR</t>
  </si>
  <si>
    <t>Count of 2 Second Video Views</t>
  </si>
  <si>
    <t>Count of 3-second video plays</t>
  </si>
  <si>
    <t>Count of audience for video seen</t>
  </si>
  <si>
    <t>Campaign Performance Analyze</t>
  </si>
  <si>
    <t>Total Video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</si>
</sst>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_(* #,##0_);_(* \(#,##0\);_(* &quot;-&quot;??_);_(@_)"/>
    <numFmt numFmtId="166" formatCode="0.0000"/>
    <numFmt numFmtId="167" formatCode="0.000"/>
    <numFmt numFmtId="168" formatCode="_(&quot;$&quot;* #,##0_);_(&quot;$&quot;* \(#,##0\);_(&quot;$&quot;* &quot;-&quot;??_);_(@_)"/>
    <numFmt numFmtId="169" formatCode="0.00,,&quot;M&quot;"/>
    <numFmt numFmtId="170" formatCode="0,,&quot;M&quot;"/>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b/>
      <sz val="11"/>
      <color rgb="FF000000"/>
      <name val="Calibri"/>
      <family val="2"/>
    </font>
    <font>
      <sz val="11"/>
      <color indexed="8"/>
      <name val="Calibri"/>
      <family val="2"/>
      <scheme val="minor"/>
    </font>
    <font>
      <sz val="11"/>
      <color rgb="FF000000"/>
      <name val="Calibri"/>
      <family val="2"/>
    </font>
    <font>
      <b/>
      <sz val="11"/>
      <color theme="0"/>
      <name val="Calibri"/>
      <family val="2"/>
      <scheme val="minor"/>
    </font>
    <font>
      <b/>
      <sz val="16"/>
      <color theme="1"/>
      <name val="Calibri"/>
      <family val="2"/>
      <scheme val="minor"/>
    </font>
  </fonts>
  <fills count="9">
    <fill>
      <patternFill patternType="none"/>
    </fill>
    <fill>
      <patternFill patternType="gray125"/>
    </fill>
    <fill>
      <patternFill patternType="solid">
        <fgColor rgb="FFFFCC00"/>
        <bgColor indexed="64"/>
      </patternFill>
    </fill>
    <fill>
      <patternFill patternType="solid">
        <fgColor rgb="FFFFFFFF"/>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1" tint="4.9989318521683403E-2"/>
        <bgColor indexed="64"/>
      </patternFill>
    </fill>
    <fill>
      <patternFill patternType="solid">
        <fgColor theme="5"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1"/>
      </left>
      <right/>
      <top style="thin">
        <color theme="1"/>
      </top>
      <bottom style="thin">
        <color theme="1"/>
      </bottom>
      <diagonal/>
    </border>
    <border>
      <left style="thin">
        <color theme="1"/>
      </left>
      <right/>
      <top/>
      <bottom style="thin">
        <color theme="1"/>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5" fillId="0" borderId="0"/>
    <xf numFmtId="0" fontId="5" fillId="0" borderId="0"/>
    <xf numFmtId="0" fontId="5" fillId="0" borderId="0"/>
    <xf numFmtId="44" fontId="1" fillId="0" borderId="0" applyFont="0" applyFill="0" applyBorder="0" applyAlignment="0" applyProtection="0"/>
  </cellStyleXfs>
  <cellXfs count="88">
    <xf numFmtId="0" fontId="0" fillId="0" borderId="0" xfId="0"/>
    <xf numFmtId="0" fontId="0" fillId="0" borderId="1" xfId="0" applyBorder="1"/>
    <xf numFmtId="0" fontId="2" fillId="4" borderId="1" xfId="0" applyFont="1" applyFill="1" applyBorder="1" applyAlignment="1">
      <alignment horizontal="left"/>
    </xf>
    <xf numFmtId="0" fontId="0" fillId="0" borderId="1" xfId="0" applyBorder="1" applyAlignment="1">
      <alignment horizontal="left"/>
    </xf>
    <xf numFmtId="43" fontId="0" fillId="0" borderId="1" xfId="1" applyFont="1" applyBorder="1" applyAlignment="1">
      <alignment horizontal="left" vertical="center"/>
    </xf>
    <xf numFmtId="0" fontId="0" fillId="0" borderId="1" xfId="0" applyBorder="1" applyAlignment="1">
      <alignment horizontal="left" vertical="center"/>
    </xf>
    <xf numFmtId="165" fontId="0" fillId="0" borderId="1" xfId="1" applyNumberFormat="1" applyFont="1" applyBorder="1" applyAlignment="1">
      <alignment horizontal="left" vertical="center"/>
    </xf>
    <xf numFmtId="10" fontId="0" fillId="0" borderId="1" xfId="2" applyNumberFormat="1" applyFont="1" applyBorder="1" applyAlignment="1">
      <alignment horizontal="left" vertical="center"/>
    </xf>
    <xf numFmtId="0" fontId="5" fillId="0" borderId="1" xfId="3" applyBorder="1" applyAlignment="1">
      <alignment horizontal="left"/>
    </xf>
    <xf numFmtId="43" fontId="5" fillId="0" borderId="1" xfId="1" applyFont="1" applyBorder="1" applyAlignment="1">
      <alignment horizontal="left" vertical="center"/>
    </xf>
    <xf numFmtId="0" fontId="5" fillId="0" borderId="1" xfId="3" applyBorder="1" applyAlignment="1">
      <alignment horizontal="left" vertical="center"/>
    </xf>
    <xf numFmtId="165" fontId="5" fillId="0" borderId="1" xfId="1" applyNumberFormat="1" applyFont="1" applyBorder="1" applyAlignment="1">
      <alignment horizontal="left" vertical="center"/>
    </xf>
    <xf numFmtId="2" fontId="6" fillId="3" borderId="1" xfId="0" applyNumberFormat="1" applyFont="1" applyFill="1" applyBorder="1" applyAlignment="1">
      <alignment horizontal="left" vertical="center"/>
    </xf>
    <xf numFmtId="10" fontId="0" fillId="0" borderId="1" xfId="2" applyNumberFormat="1" applyFont="1" applyBorder="1"/>
    <xf numFmtId="2" fontId="6" fillId="3" borderId="1" xfId="3" applyNumberFormat="1" applyFont="1" applyFill="1" applyBorder="1" applyAlignment="1">
      <alignment horizontal="left" vertical="center"/>
    </xf>
    <xf numFmtId="2" fontId="6" fillId="3" borderId="1" xfId="4" applyNumberFormat="1" applyFont="1" applyFill="1" applyBorder="1" applyAlignment="1">
      <alignment horizontal="left" vertical="center"/>
    </xf>
    <xf numFmtId="1" fontId="6" fillId="3" borderId="1" xfId="0" applyNumberFormat="1" applyFont="1" applyFill="1" applyBorder="1" applyAlignment="1">
      <alignment horizontal="right" vertical="center"/>
    </xf>
    <xf numFmtId="1" fontId="0" fillId="0" borderId="1" xfId="0" applyNumberFormat="1" applyBorder="1" applyAlignment="1">
      <alignment horizontal="right" vertical="center"/>
    </xf>
    <xf numFmtId="0" fontId="0" fillId="0" borderId="0" xfId="0" applyAlignment="1">
      <alignment horizontal="left" vertical="top"/>
    </xf>
    <xf numFmtId="0" fontId="0" fillId="0" borderId="1" xfId="0" applyBorder="1" applyAlignment="1">
      <alignment horizontal="left" vertical="top"/>
    </xf>
    <xf numFmtId="43" fontId="0" fillId="0" borderId="1" xfId="1" applyFont="1" applyBorder="1" applyAlignment="1">
      <alignment horizontal="left" vertical="top"/>
    </xf>
    <xf numFmtId="1" fontId="0" fillId="0" borderId="1" xfId="1" applyNumberFormat="1" applyFont="1" applyBorder="1" applyAlignment="1">
      <alignment horizontal="left" vertical="top"/>
    </xf>
    <xf numFmtId="165" fontId="0" fillId="0" borderId="1" xfId="1" applyNumberFormat="1" applyFont="1" applyBorder="1" applyAlignment="1">
      <alignment horizontal="left" vertical="top"/>
    </xf>
    <xf numFmtId="164" fontId="0" fillId="0" borderId="1" xfId="2" applyNumberFormat="1" applyFont="1" applyBorder="1" applyAlignment="1">
      <alignment horizontal="left" vertical="top"/>
    </xf>
    <xf numFmtId="10" fontId="0" fillId="0" borderId="1" xfId="2" applyNumberFormat="1" applyFont="1" applyBorder="1" applyAlignment="1">
      <alignment horizontal="left" vertical="top"/>
    </xf>
    <xf numFmtId="0" fontId="2" fillId="4" borderId="2" xfId="0" applyFont="1" applyFill="1" applyBorder="1" applyAlignment="1">
      <alignment horizontal="left"/>
    </xf>
    <xf numFmtId="2" fontId="0" fillId="0" borderId="1" xfId="2" applyNumberFormat="1" applyFont="1" applyBorder="1"/>
    <xf numFmtId="2" fontId="0" fillId="0" borderId="0" xfId="2" applyNumberFormat="1" applyFont="1"/>
    <xf numFmtId="0" fontId="0" fillId="0" borderId="3" xfId="0" applyBorder="1" applyAlignment="1">
      <alignment horizontal="left" vertical="top"/>
    </xf>
    <xf numFmtId="10" fontId="0" fillId="0" borderId="4" xfId="0" applyNumberFormat="1" applyBorder="1" applyAlignment="1">
      <alignment horizontal="left" vertical="top"/>
    </xf>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2" fillId="2" borderId="6" xfId="0" applyFont="1" applyFill="1" applyBorder="1" applyAlignment="1">
      <alignment horizontal="left" vertical="top"/>
    </xf>
    <xf numFmtId="0" fontId="3" fillId="2" borderId="7"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43" fontId="0" fillId="0" borderId="9" xfId="1" applyFont="1" applyBorder="1" applyAlignment="1">
      <alignment horizontal="left" vertical="top"/>
    </xf>
    <xf numFmtId="1" fontId="0" fillId="0" borderId="9" xfId="1" applyNumberFormat="1" applyFont="1" applyBorder="1" applyAlignment="1">
      <alignment horizontal="left" vertical="top"/>
    </xf>
    <xf numFmtId="165" fontId="0" fillId="0" borderId="9" xfId="1" applyNumberFormat="1" applyFont="1" applyBorder="1" applyAlignment="1">
      <alignment horizontal="left" vertical="top"/>
    </xf>
    <xf numFmtId="164" fontId="0" fillId="0" borderId="9" xfId="2" applyNumberFormat="1" applyFont="1" applyBorder="1" applyAlignment="1">
      <alignment horizontal="left" vertical="top"/>
    </xf>
    <xf numFmtId="10" fontId="0" fillId="0" borderId="9" xfId="2" applyNumberFormat="1" applyFont="1" applyBorder="1" applyAlignment="1">
      <alignment horizontal="left" vertical="top"/>
    </xf>
    <xf numFmtId="10" fontId="0" fillId="0" borderId="10" xfId="0" applyNumberFormat="1" applyBorder="1" applyAlignment="1">
      <alignment horizontal="left" vertical="top"/>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8" xfId="0" applyBorder="1"/>
    <xf numFmtId="0" fontId="0" fillId="0" borderId="3" xfId="0" applyBorder="1"/>
    <xf numFmtId="10" fontId="6" fillId="3" borderId="4" xfId="0" applyNumberFormat="1" applyFont="1" applyFill="1" applyBorder="1" applyAlignment="1">
      <alignment horizontal="left" vertical="center"/>
    </xf>
    <xf numFmtId="10" fontId="6" fillId="3" borderId="4" xfId="6" applyNumberFormat="1" applyFont="1" applyFill="1" applyBorder="1" applyAlignment="1">
      <alignment horizontal="left" vertical="center"/>
    </xf>
    <xf numFmtId="0" fontId="4" fillId="4" borderId="5" xfId="0" applyFont="1" applyFill="1" applyBorder="1" applyAlignment="1">
      <alignment horizontal="left" vertical="center"/>
    </xf>
    <xf numFmtId="0" fontId="4" fillId="4" borderId="6" xfId="0" applyFont="1" applyFill="1" applyBorder="1" applyAlignment="1">
      <alignment horizontal="left" vertical="center"/>
    </xf>
    <xf numFmtId="0" fontId="4" fillId="4" borderId="7" xfId="0" applyFont="1" applyFill="1" applyBorder="1" applyAlignment="1">
      <alignment horizontal="left" vertical="center"/>
    </xf>
    <xf numFmtId="2" fontId="6" fillId="3" borderId="9" xfId="0" applyNumberFormat="1" applyFont="1" applyFill="1" applyBorder="1" applyAlignment="1">
      <alignment horizontal="left" vertical="center"/>
    </xf>
    <xf numFmtId="0" fontId="0" fillId="0" borderId="9" xfId="0" applyBorder="1"/>
    <xf numFmtId="1" fontId="6" fillId="3" borderId="9" xfId="0" applyNumberFormat="1" applyFont="1" applyFill="1" applyBorder="1" applyAlignment="1">
      <alignment horizontal="right" vertical="center"/>
    </xf>
    <xf numFmtId="10" fontId="0" fillId="0" borderId="9" xfId="2" applyNumberFormat="1" applyFont="1" applyBorder="1"/>
    <xf numFmtId="0" fontId="2" fillId="4" borderId="3" xfId="0" applyFont="1" applyFill="1" applyBorder="1" applyAlignment="1">
      <alignment horizontal="left"/>
    </xf>
    <xf numFmtId="0" fontId="0" fillId="0" borderId="3" xfId="0" applyBorder="1" applyAlignment="1">
      <alignment horizontal="left"/>
    </xf>
    <xf numFmtId="2" fontId="0" fillId="0" borderId="0" xfId="0" applyNumberFormat="1" applyAlignment="1">
      <alignment horizontal="left" vertical="top"/>
    </xf>
    <xf numFmtId="2" fontId="0" fillId="0" borderId="0" xfId="0" applyNumberFormat="1"/>
    <xf numFmtId="9" fontId="0" fillId="3" borderId="1" xfId="2" applyFont="1" applyFill="1" applyBorder="1" applyAlignment="1">
      <alignment horizontal="left" vertical="center"/>
    </xf>
    <xf numFmtId="43" fontId="6" fillId="3" borderId="1" xfId="0" applyNumberFormat="1" applyFont="1" applyFill="1" applyBorder="1" applyAlignment="1">
      <alignment horizontal="right" vertical="center"/>
    </xf>
    <xf numFmtId="166" fontId="0" fillId="0" borderId="0" xfId="0" applyNumberFormat="1"/>
    <xf numFmtId="167" fontId="0" fillId="0" borderId="0" xfId="0" applyNumberFormat="1"/>
    <xf numFmtId="0" fontId="0" fillId="5" borderId="11" xfId="0" applyFont="1" applyFill="1" applyBorder="1"/>
    <xf numFmtId="0" fontId="0" fillId="0" borderId="11" xfId="0" applyFont="1" applyBorder="1"/>
    <xf numFmtId="0" fontId="3" fillId="2" borderId="1" xfId="0" applyFont="1" applyFill="1" applyBorder="1" applyAlignment="1">
      <alignment horizontal="center"/>
    </xf>
    <xf numFmtId="0" fontId="7" fillId="7" borderId="0" xfId="0" applyFont="1" applyFill="1"/>
    <xf numFmtId="1" fontId="0" fillId="0" borderId="0" xfId="0" applyNumberFormat="1"/>
    <xf numFmtId="168" fontId="0" fillId="5" borderId="11" xfId="7" applyNumberFormat="1" applyFont="1" applyFill="1" applyBorder="1"/>
    <xf numFmtId="168" fontId="0" fillId="0" borderId="11" xfId="7" applyNumberFormat="1" applyFont="1" applyBorder="1"/>
    <xf numFmtId="1" fontId="0" fillId="5" borderId="11" xfId="7" applyNumberFormat="1" applyFont="1" applyFill="1" applyBorder="1"/>
    <xf numFmtId="0" fontId="8" fillId="0" borderId="0" xfId="0" applyFont="1"/>
    <xf numFmtId="168" fontId="0" fillId="8" borderId="0" xfId="7" applyNumberFormat="1" applyFont="1" applyFill="1"/>
    <xf numFmtId="1" fontId="0" fillId="8" borderId="0" xfId="7" applyNumberFormat="1" applyFont="1" applyFill="1"/>
    <xf numFmtId="169" fontId="0" fillId="0" borderId="0" xfId="0" applyNumberFormat="1"/>
    <xf numFmtId="170" fontId="0" fillId="0" borderId="0" xfId="0" applyNumberFormat="1"/>
    <xf numFmtId="0" fontId="7" fillId="6" borderId="12" xfId="0" applyFont="1" applyFill="1" applyBorder="1"/>
    <xf numFmtId="0" fontId="0" fillId="0" borderId="0" xfId="0" applyAlignment="1">
      <alignment horizontal="left" indent="1"/>
    </xf>
    <xf numFmtId="2" fontId="0" fillId="0" borderId="1" xfId="0" applyNumberFormat="1" applyBorder="1" applyAlignment="1">
      <alignment horizontal="left" vertical="top"/>
    </xf>
    <xf numFmtId="2" fontId="0" fillId="0" borderId="0" xfId="0" pivotButton="1" applyNumberFormat="1"/>
    <xf numFmtId="2" fontId="0" fillId="0" borderId="0" xfId="0" applyNumberFormat="1" applyAlignment="1">
      <alignment horizontal="left"/>
    </xf>
    <xf numFmtId="0" fontId="2" fillId="0" borderId="0" xfId="0" applyFont="1"/>
    <xf numFmtId="1" fontId="2" fillId="0" borderId="0" xfId="0" applyNumberFormat="1" applyFont="1"/>
    <xf numFmtId="0" fontId="2" fillId="0" borderId="0" xfId="0" applyFont="1" applyAlignment="1">
      <alignment wrapText="1"/>
    </xf>
    <xf numFmtId="0" fontId="2" fillId="0" borderId="0" xfId="0" applyFont="1" applyAlignment="1">
      <alignment horizontal="center" wrapText="1"/>
    </xf>
  </cellXfs>
  <cellStyles count="8">
    <cellStyle name="Comma" xfId="1" builtinId="3"/>
    <cellStyle name="Currency" xfId="7" builtinId="4"/>
    <cellStyle name="Normal" xfId="0" builtinId="0"/>
    <cellStyle name="Normal 2" xfId="3"/>
    <cellStyle name="Normal 3" xfId="4"/>
    <cellStyle name="Normal 4" xfId="5"/>
    <cellStyle name="Normal 5" xfId="6"/>
    <cellStyle name="Percent" xfId="2" builtinId="5"/>
  </cellStyles>
  <dxfs count="195">
    <dxf>
      <numFmt numFmtId="167" formatCode="0.000"/>
    </dxf>
    <dxf>
      <numFmt numFmtId="170" formatCode="0,,&quot;M&quot;"/>
    </dxf>
    <dxf>
      <numFmt numFmtId="0" formatCode="General"/>
    </dxf>
    <dxf>
      <numFmt numFmtId="0" formatCode="General"/>
    </dxf>
    <dxf>
      <numFmt numFmtId="1" formatCode="0"/>
    </dxf>
    <dxf>
      <font>
        <b val="0"/>
        <i val="0"/>
        <strike val="0"/>
        <condense val="0"/>
        <extend val="0"/>
        <outline val="0"/>
        <shadow val="0"/>
        <u val="none"/>
        <vertAlign val="baseline"/>
        <sz val="11"/>
        <color theme="1"/>
        <name val="Calibri"/>
        <scheme val="minor"/>
      </font>
      <numFmt numFmtId="1" formatCode="0"/>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top style="thin">
          <color theme="1"/>
        </top>
      </border>
    </dxf>
    <dxf>
      <border outline="0">
        <bottom style="thin">
          <color theme="1"/>
        </bottom>
      </border>
    </dxf>
    <dxf>
      <font>
        <b/>
        <i val="0"/>
        <strike val="0"/>
        <condense val="0"/>
        <extend val="0"/>
        <outline val="0"/>
        <shadow val="0"/>
        <u val="none"/>
        <vertAlign val="baseline"/>
        <sz val="11"/>
        <color theme="0"/>
        <name val="Calibri"/>
        <scheme val="minor"/>
      </font>
      <fill>
        <patternFill patternType="solid">
          <fgColor theme="1"/>
          <bgColor theme="1"/>
        </patternFill>
      </fill>
    </dxf>
    <dxf>
      <numFmt numFmtId="170" formatCode="0,,&quot;M&quot;"/>
    </dxf>
    <dxf>
      <numFmt numFmtId="167" formatCode="0.000"/>
    </dxf>
    <dxf>
      <numFmt numFmtId="1" formatCode="0"/>
    </dxf>
    <dxf>
      <numFmt numFmtId="171" formatCode="0.0"/>
    </dxf>
    <dxf>
      <numFmt numFmtId="2" formatCode="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71" formatCode="0.0"/>
    </dxf>
    <dxf>
      <numFmt numFmtId="2" formatCode="0.00"/>
    </dxf>
    <dxf>
      <numFmt numFmtId="167" formatCode="0.000"/>
    </dxf>
    <dxf>
      <numFmt numFmtId="1" formatCode="0"/>
    </dxf>
    <dxf>
      <numFmt numFmtId="171" formatCode="0.0"/>
    </dxf>
    <dxf>
      <numFmt numFmtId="2" formatCode="0.00"/>
    </dxf>
    <dxf>
      <numFmt numFmtId="167" formatCode="0.000"/>
    </dxf>
    <dxf>
      <numFmt numFmtId="167" formatCode="0.000"/>
    </dxf>
    <dxf>
      <numFmt numFmtId="1" formatCode="0"/>
    </dxf>
    <dxf>
      <numFmt numFmtId="171" formatCode="0.0"/>
    </dxf>
    <dxf>
      <numFmt numFmtId="2" formatCode="0.00"/>
    </dxf>
    <dxf>
      <numFmt numFmtId="167" formatCode="0.000"/>
    </dxf>
    <dxf>
      <numFmt numFmtId="167" formatCode="0.000"/>
    </dxf>
    <dxf>
      <numFmt numFmtId="167" formatCode="0.000"/>
    </dxf>
    <dxf>
      <numFmt numFmtId="1" formatCode="0"/>
    </dxf>
    <dxf>
      <numFmt numFmtId="171" formatCode="0.0"/>
    </dxf>
    <dxf>
      <numFmt numFmtId="2" formatCode="0.00"/>
    </dxf>
    <dxf>
      <numFmt numFmtId="167" formatCode="0.000"/>
    </dxf>
    <dxf>
      <numFmt numFmtId="1" formatCode="0"/>
    </dxf>
    <dxf>
      <numFmt numFmtId="171" formatCode="0.0"/>
    </dxf>
    <dxf>
      <numFmt numFmtId="2" formatCode="0.00"/>
    </dxf>
    <dxf>
      <numFmt numFmtId="167" formatCode="0.000"/>
    </dxf>
    <dxf>
      <numFmt numFmtId="166" formatCode="0.0000"/>
    </dxf>
    <dxf>
      <numFmt numFmtId="166" formatCode="0.0000"/>
    </dxf>
    <dxf>
      <numFmt numFmtId="1" formatCode="0"/>
    </dxf>
    <dxf>
      <numFmt numFmtId="171" formatCode="0.0"/>
    </dxf>
    <dxf>
      <numFmt numFmtId="2" formatCode="0.00"/>
    </dxf>
    <dxf>
      <numFmt numFmtId="167" formatCode="0.000"/>
    </dxf>
    <dxf>
      <numFmt numFmtId="166" formatCode="0.0000"/>
    </dxf>
    <dxf>
      <numFmt numFmtId="1" formatCode="0"/>
    </dxf>
    <dxf>
      <numFmt numFmtId="171" formatCode="0.0"/>
    </dxf>
    <dxf>
      <numFmt numFmtId="2" formatCode="0.00"/>
    </dxf>
    <dxf>
      <numFmt numFmtId="167" formatCode="0.000"/>
    </dxf>
    <dxf>
      <numFmt numFmtId="166" formatCode="0.0000"/>
    </dxf>
    <dxf>
      <numFmt numFmtId="166" formatCode="0.0000"/>
    </dxf>
    <dxf>
      <numFmt numFmtId="166" formatCode="0.0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71" formatCode="0.0"/>
    </dxf>
    <dxf>
      <numFmt numFmtId="2" formatCode="0.00"/>
    </dxf>
    <dxf>
      <numFmt numFmtId="167" formatCode="0.000"/>
    </dxf>
    <dxf>
      <numFmt numFmtId="166" formatCode="0.0000"/>
    </dxf>
    <dxf>
      <numFmt numFmtId="1" formatCode="0"/>
    </dxf>
    <dxf>
      <numFmt numFmtId="171" formatCode="0.0"/>
    </dxf>
    <dxf>
      <numFmt numFmtId="2" formatCode="0.00"/>
    </dxf>
    <dxf>
      <numFmt numFmtId="167" formatCode="0.000"/>
    </dxf>
    <dxf>
      <numFmt numFmtId="166" formatCode="0.0000"/>
    </dxf>
    <dxf>
      <numFmt numFmtId="172" formatCode="0.00000"/>
    </dxf>
    <dxf>
      <numFmt numFmtId="173" formatCode="0.000000"/>
    </dxf>
    <dxf>
      <numFmt numFmtId="174" formatCode="0.0000000"/>
    </dxf>
    <dxf>
      <numFmt numFmtId="173" formatCode="0.000000"/>
    </dxf>
    <dxf>
      <numFmt numFmtId="172" formatCode="0.00000"/>
    </dxf>
    <dxf>
      <numFmt numFmtId="166" formatCode="0.0000"/>
    </dxf>
    <dxf>
      <numFmt numFmtId="166" formatCode="0.0000"/>
    </dxf>
    <dxf>
      <numFmt numFmtId="166" formatCode="0.0000"/>
    </dxf>
    <dxf>
      <numFmt numFmtId="1" formatCode="0"/>
    </dxf>
    <dxf>
      <numFmt numFmtId="171" formatCode="0.0"/>
    </dxf>
    <dxf>
      <numFmt numFmtId="2" formatCode="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71" formatCode="0.0"/>
    </dxf>
    <dxf>
      <numFmt numFmtId="2" formatCode="0.00"/>
    </dxf>
    <dxf>
      <numFmt numFmtId="167" formatCode="0.000"/>
    </dxf>
    <dxf>
      <numFmt numFmtId="1" formatCode="0"/>
    </dxf>
    <dxf>
      <numFmt numFmtId="171" formatCode="0.0"/>
    </dxf>
    <dxf>
      <numFmt numFmtId="2" formatCode="0.00"/>
    </dxf>
    <dxf>
      <numFmt numFmtId="167" formatCode="0.000"/>
    </dxf>
    <dxf>
      <numFmt numFmtId="167" formatCode="0.000"/>
    </dxf>
    <dxf>
      <numFmt numFmtId="167" formatCode="0.000"/>
    </dxf>
    <dxf>
      <numFmt numFmtId="1" formatCode="0"/>
    </dxf>
    <dxf>
      <numFmt numFmtId="171" formatCode="0.0"/>
    </dxf>
    <dxf>
      <numFmt numFmtId="2" formatCode="0.00"/>
    </dxf>
    <dxf>
      <numFmt numFmtId="167" formatCode="0.000"/>
    </dxf>
    <dxf>
      <numFmt numFmtId="14" formatCode="0.00%"/>
    </dxf>
    <dxf>
      <numFmt numFmtId="167" formatCode="0.000"/>
    </dxf>
    <dxf>
      <numFmt numFmtId="2" formatCode="0.00"/>
    </dxf>
    <dxf>
      <font>
        <b val="0"/>
        <i val="0"/>
        <strike val="0"/>
        <condense val="0"/>
        <extend val="0"/>
        <outline val="0"/>
        <shadow val="0"/>
        <u val="none"/>
        <vertAlign val="baseline"/>
        <sz val="11"/>
        <color theme="1"/>
        <name val="Calibri"/>
        <scheme val="minor"/>
      </font>
      <numFmt numFmtId="2" formatCode="0.00"/>
    </dxf>
    <dxf>
      <numFmt numFmtId="1" formatCode="0"/>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scheme val="minor"/>
      </font>
      <numFmt numFmtId="165" formatCode="_(* #,##0_);_(* \(#,##0\);_(* &quot;-&quot;??_);_(@_)"/>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scheme val="minor"/>
      </font>
      <numFmt numFmtId="165" formatCode="_(* #,##0_);_(* \(#,##0\);_(* &quot;-&quot;??_);_(@_)"/>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scheme val="minor"/>
      </font>
      <numFmt numFmtId="165" formatCode="_(* #,##0_);_(* \(#,##0\);_(* &quot;-&quot;??_);_(@_)"/>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scheme val="minor"/>
      </font>
      <numFmt numFmtId="165" formatCode="_(* #,##0_);_(* \(#,##0\);_(* &quot;-&quot;??_);_(@_)"/>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scheme val="min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font>
        <b/>
        <i val="0"/>
        <strike val="0"/>
        <condense val="0"/>
        <extend val="0"/>
        <outline val="0"/>
        <shadow val="0"/>
        <u val="none"/>
        <vertAlign val="baseline"/>
        <sz val="11"/>
        <color theme="1"/>
        <name val="Calibri"/>
        <scheme val="minor"/>
      </font>
      <fill>
        <patternFill patternType="solid">
          <fgColor indexed="64"/>
          <bgColor rgb="FFFFC000"/>
        </patternFill>
      </fill>
      <alignment horizontal="lef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rgb="FF000000"/>
        <name val="Calibri"/>
        <scheme val="none"/>
      </font>
      <numFmt numFmtId="14" formatCode="0.00%"/>
      <fill>
        <patternFill patternType="solid">
          <fgColor indexed="64"/>
          <bgColor rgb="FFFFFFFF"/>
        </patternFill>
      </fill>
      <alignment horizontal="left"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75" formatCode="&quot;$&quot;#,##0.0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1" formatCode="0"/>
      <fill>
        <patternFill patternType="solid">
          <fgColor indexed="64"/>
          <bgColor rgb="FFFFFFFF"/>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2" formatCode="0.00"/>
      <fill>
        <patternFill patternType="solid">
          <fgColor indexed="64"/>
          <bgColor rgb="FFFFFFFF"/>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none"/>
      </font>
      <numFmt numFmtId="2" formatCode="0.00"/>
      <fill>
        <patternFill patternType="solid">
          <fgColor indexed="64"/>
          <bgColor rgb="FFFFFFFF"/>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indexed="64"/>
          <bgColor rgb="FFFFC000"/>
        </patternFill>
      </fill>
      <alignment horizontal="left" vertical="center" textRotation="0" wrapText="0" indent="0" justifyLastLine="0" shrinkToFit="0" readingOrder="0"/>
      <border diagonalUp="0" diagonalDown="0" outline="0">
        <left style="thin">
          <color auto="1"/>
        </left>
        <right style="thin">
          <color auto="1"/>
        </right>
        <top/>
        <bottom/>
      </border>
    </dxf>
    <dxf>
      <fill>
        <patternFill>
          <bgColor theme="9" tint="0.39994506668294322"/>
        </patternFill>
      </fill>
    </dxf>
    <dxf>
      <alignment horizontal="left" vertical="top" textRotation="0" wrapText="0" indent="0" justifyLastLine="0" shrinkToFit="0" readingOrder="0"/>
    </dxf>
    <dxf>
      <numFmt numFmtId="35" formatCode="_(* #,##0.00_);_(* \(#,##0.00\);_(* &quot;-&quot;??_);_(@_)"/>
      <alignment horizontal="left" vertical="top" textRotation="0" wrapText="0" indent="0" justifyLastLine="0" shrinkToFit="0" readingOrder="0"/>
    </dxf>
    <dxf>
      <numFmt numFmtId="14" formatCode="0.00%"/>
      <alignment horizontal="left"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4" formatCode="0.0%"/>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4" formatCode="0.00%"/>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5" formatCode="_(* #,##0_);_(* \(#,##0\);_(* &quot;-&quot;??_);_(@_)"/>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 formatCode="0"/>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libri"/>
        <scheme val="minor"/>
      </font>
      <fill>
        <patternFill patternType="solid">
          <fgColor indexed="64"/>
          <bgColor rgb="FFFFCC00"/>
        </patternFill>
      </fill>
      <alignment horizontal="left" vertical="top" textRotation="0" wrapText="0" indent="0" justifyLastLine="0" shrinkToFit="0" readingOrder="0"/>
      <border diagonalUp="0" diagonalDown="0" outline="0">
        <left style="thin">
          <color auto="1"/>
        </left>
        <right style="thin">
          <color auto="1"/>
        </right>
        <top/>
        <bottom/>
      </border>
    </dxf>
    <dxf>
      <font>
        <color theme="9" tint="0.39994506668294322"/>
      </font>
    </dxf>
    <dxf>
      <fill>
        <patternFill>
          <fgColor rgb="FFFFFF93"/>
        </patternFill>
      </fill>
    </dxf>
    <dxf>
      <fill>
        <patternFill patternType="solid">
          <fgColor rgb="FFFFFF93"/>
          <bgColor theme="0"/>
        </patternFill>
      </fill>
    </dxf>
    <dxf>
      <fill>
        <patternFill patternType="solid">
          <fgColor rgb="FFFFFFFF"/>
          <bgColor theme="0"/>
        </patternFill>
      </fill>
    </dxf>
    <dxf>
      <fill>
        <patternFill>
          <bgColor rgb="FFFFFF93"/>
        </patternFill>
      </fill>
      <border>
        <left style="thin">
          <color theme="1"/>
        </left>
        <right style="thin">
          <color theme="1"/>
        </right>
        <top style="thin">
          <color theme="1"/>
        </top>
        <bottom style="thin">
          <color theme="1"/>
        </bottom>
      </border>
    </dxf>
    <dxf>
      <fill>
        <patternFill>
          <bgColor rgb="FFFFDE75"/>
        </patternFill>
      </fill>
    </dxf>
  </dxfs>
  <tableStyles count="7" defaultTableStyle="TableStyleMedium2" defaultPivotStyle="PivotStyleLight16">
    <tableStyle name="Slicer Style 1" pivot="0" table="0" count="1">
      <tableStyleElement type="wholeTable" dxfId="194"/>
    </tableStyle>
    <tableStyle name="Slicer Style 2" pivot="0" table="0" count="1">
      <tableStyleElement type="wholeTable" dxfId="193"/>
    </tableStyle>
    <tableStyle name="Slicer Style 3" pivot="0" table="0" count="1">
      <tableStyleElement type="wholeTable" dxfId="192"/>
    </tableStyle>
    <tableStyle name="Slicer Style 4" pivot="0" table="0" count="1">
      <tableStyleElement type="wholeTable" dxfId="191"/>
    </tableStyle>
    <tableStyle name="Slicer Style 5" pivot="0" table="0" count="1">
      <tableStyleElement type="wholeTable" dxfId="190"/>
    </tableStyle>
    <tableStyle name="Slicer Style 6" pivot="0" table="0" count="1"/>
    <tableStyle name="Slicer Style 7" pivot="0" table="0" count="1"/>
  </tableStyles>
  <colors>
    <mruColors>
      <color rgb="FF5398BE"/>
      <color rgb="FFFF0050"/>
      <color rgb="FFFFFF79"/>
      <color rgb="FFFFFF8F"/>
      <color rgb="FFFFFF93"/>
      <color rgb="FFFFFFFF"/>
      <color rgb="FFFFDE75"/>
      <color rgb="FF9751CB"/>
      <color rgb="FFFFFF9B"/>
      <color rgb="FF000000"/>
    </mruColors>
  </colors>
  <extLst>
    <ext xmlns:x14="http://schemas.microsoft.com/office/spreadsheetml/2009/9/main" uri="{46F421CA-312F-682f-3DD2-61675219B42D}">
      <x14:dxfs count="2">
        <dxf>
          <fill>
            <patternFill>
              <fgColor rgb="FFFFFF93"/>
              <bgColor rgb="FFFFFF79"/>
            </patternFill>
          </fill>
        </dxf>
        <dxf>
          <fill>
            <patternFill>
              <fgColor rgb="FFFFFF93"/>
            </patternFill>
          </fill>
        </dxf>
      </x14:dxfs>
    </ex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 name="Slicer Style 5"/>
        <x14:slicerStyle name="Slicer Style 6">
          <x14:slicerStyleElements>
            <x14:slicerStyleElement type="selectedItemWithData" dxfId="1"/>
          </x14:slicerStyleElements>
        </x14:slicerStyle>
        <x14:slicerStyle name="Slicer Style 7">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1.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4.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Campaign.xlsx]Tiktok_pivot_table!Campaign_Ctr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Performance Analyze</a:t>
            </a:r>
          </a:p>
        </c:rich>
      </c:tx>
      <c:layout>
        <c:manualLayout>
          <c:xMode val="edge"/>
          <c:yMode val="edge"/>
          <c:x val="0.15314475668145067"/>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1"/>
          <c:order val="1"/>
          <c:tx>
            <c:strRef>
              <c:f>Tiktok_pivot_table!$C$5</c:f>
              <c:strCache>
                <c:ptCount val="1"/>
                <c:pt idx="0">
                  <c:v>Sum of Clicks</c:v>
                </c:pt>
              </c:strCache>
            </c:strRef>
          </c:tx>
          <c:spPr>
            <a:solidFill>
              <a:schemeClr val="accent2"/>
            </a:solidFill>
            <a:ln>
              <a:noFill/>
            </a:ln>
            <a:effectLst/>
          </c:spPr>
          <c:invertIfNegative val="0"/>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Tiktok_pivot_table!$C$6:$C$14</c:f>
              <c:numCache>
                <c:formatCode>General</c:formatCode>
                <c:ptCount val="8"/>
                <c:pt idx="0">
                  <c:v>12769</c:v>
                </c:pt>
                <c:pt idx="1">
                  <c:v>6936</c:v>
                </c:pt>
                <c:pt idx="2">
                  <c:v>131</c:v>
                </c:pt>
                <c:pt idx="3">
                  <c:v>3613</c:v>
                </c:pt>
                <c:pt idx="4">
                  <c:v>6429</c:v>
                </c:pt>
                <c:pt idx="5">
                  <c:v>31766</c:v>
                </c:pt>
                <c:pt idx="6">
                  <c:v>17744</c:v>
                </c:pt>
                <c:pt idx="7">
                  <c:v>0</c:v>
                </c:pt>
              </c:numCache>
            </c:numRef>
          </c:val>
          <c:extLst>
            <c:ext xmlns:c16="http://schemas.microsoft.com/office/drawing/2014/chart" uri="{C3380CC4-5D6E-409C-BE32-E72D297353CC}">
              <c16:uniqueId val="{00000001-5799-4688-B757-895FFA1196BA}"/>
            </c:ext>
          </c:extLst>
        </c:ser>
        <c:dLbls>
          <c:showLegendKey val="0"/>
          <c:showVal val="0"/>
          <c:showCatName val="0"/>
          <c:showSerName val="0"/>
          <c:showPercent val="0"/>
          <c:showBubbleSize val="0"/>
        </c:dLbls>
        <c:gapWidth val="150"/>
        <c:axId val="1357553856"/>
        <c:axId val="1357558848"/>
      </c:barChart>
      <c:lineChart>
        <c:grouping val="standard"/>
        <c:varyColors val="0"/>
        <c:ser>
          <c:idx val="0"/>
          <c:order val="0"/>
          <c:tx>
            <c:strRef>
              <c:f>Tiktok_pivot_table!$B$5</c:f>
              <c:strCache>
                <c:ptCount val="1"/>
                <c:pt idx="0">
                  <c:v>Sum of Total Impressions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Tiktok_pivot_table!$B$6:$B$14</c:f>
              <c:numCache>
                <c:formatCode>General</c:formatCode>
                <c:ptCount val="8"/>
                <c:pt idx="0">
                  <c:v>11363327</c:v>
                </c:pt>
                <c:pt idx="1">
                  <c:v>5882789</c:v>
                </c:pt>
                <c:pt idx="2">
                  <c:v>56264</c:v>
                </c:pt>
                <c:pt idx="3">
                  <c:v>2098862</c:v>
                </c:pt>
                <c:pt idx="4">
                  <c:v>4128788</c:v>
                </c:pt>
                <c:pt idx="5">
                  <c:v>16873762</c:v>
                </c:pt>
                <c:pt idx="6">
                  <c:v>15307011</c:v>
                </c:pt>
                <c:pt idx="7">
                  <c:v>2567839</c:v>
                </c:pt>
              </c:numCache>
            </c:numRef>
          </c:val>
          <c:smooth val="0"/>
          <c:extLst>
            <c:ext xmlns:c16="http://schemas.microsoft.com/office/drawing/2014/chart" uri="{C3380CC4-5D6E-409C-BE32-E72D297353CC}">
              <c16:uniqueId val="{00000000-5799-4688-B757-895FFA1196BA}"/>
            </c:ext>
          </c:extLst>
        </c:ser>
        <c:ser>
          <c:idx val="2"/>
          <c:order val="2"/>
          <c:tx>
            <c:strRef>
              <c:f>Tiktok_pivot_table!$D$5</c:f>
              <c:strCache>
                <c:ptCount val="1"/>
                <c:pt idx="0">
                  <c:v>Sum of CTR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Tiktok_pivot_table!$D$6:$D$14</c:f>
              <c:numCache>
                <c:formatCode>0.00%</c:formatCode>
                <c:ptCount val="8"/>
                <c:pt idx="0">
                  <c:v>1.6865627566443293</c:v>
                </c:pt>
                <c:pt idx="1">
                  <c:v>1.4160161187009479</c:v>
                </c:pt>
                <c:pt idx="2">
                  <c:v>0.95322434763730512</c:v>
                </c:pt>
                <c:pt idx="3">
                  <c:v>0.79789079752708447</c:v>
                </c:pt>
                <c:pt idx="4">
                  <c:v>0.70750019970997746</c:v>
                </c:pt>
                <c:pt idx="5">
                  <c:v>0.6349689709493167</c:v>
                </c:pt>
                <c:pt idx="6">
                  <c:v>0.60332693073121102</c:v>
                </c:pt>
                <c:pt idx="7">
                  <c:v>0</c:v>
                </c:pt>
              </c:numCache>
            </c:numRef>
          </c:val>
          <c:smooth val="0"/>
          <c:extLst>
            <c:ext xmlns:c16="http://schemas.microsoft.com/office/drawing/2014/chart" uri="{C3380CC4-5D6E-409C-BE32-E72D297353CC}">
              <c16:uniqueId val="{00000002-5799-4688-B757-895FFA1196BA}"/>
            </c:ext>
          </c:extLst>
        </c:ser>
        <c:dLbls>
          <c:showLegendKey val="0"/>
          <c:showVal val="0"/>
          <c:showCatName val="0"/>
          <c:showSerName val="0"/>
          <c:showPercent val="0"/>
          <c:showBubbleSize val="0"/>
        </c:dLbls>
        <c:marker val="1"/>
        <c:smooth val="0"/>
        <c:axId val="1113287344"/>
        <c:axId val="1113285680"/>
      </c:lineChart>
      <c:catAx>
        <c:axId val="1113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85680"/>
        <c:crosses val="autoZero"/>
        <c:auto val="1"/>
        <c:lblAlgn val="ctr"/>
        <c:lblOffset val="100"/>
        <c:noMultiLvlLbl val="0"/>
      </c:catAx>
      <c:valAx>
        <c:axId val="111328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87344"/>
        <c:crosses val="autoZero"/>
        <c:crossBetween val="between"/>
      </c:valAx>
      <c:valAx>
        <c:axId val="135755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53856"/>
        <c:crosses val="max"/>
        <c:crossBetween val="between"/>
      </c:valAx>
      <c:catAx>
        <c:axId val="1357553856"/>
        <c:scaling>
          <c:orientation val="minMax"/>
        </c:scaling>
        <c:delete val="1"/>
        <c:axPos val="b"/>
        <c:numFmt formatCode="General" sourceLinked="1"/>
        <c:majorTickMark val="out"/>
        <c:minorTickMark val="none"/>
        <c:tickLblPos val="nextTo"/>
        <c:crossAx val="1357558848"/>
        <c:crosses val="autoZero"/>
        <c:auto val="1"/>
        <c:lblAlgn val="ctr"/>
        <c:lblOffset val="100"/>
        <c:noMultiLvlLbl val="0"/>
      </c:cat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Campaign.xlsx]snap_pivot!PivotTable1</c:name>
    <c:fmtId val="1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2-Second Video Views by Audience</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snap_pivot!$B$56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snap_pivot!$A$57:$A$58</c:f>
              <c:strCache>
                <c:ptCount val="2"/>
                <c:pt idx="0">
                  <c:v>CDP</c:v>
                </c:pt>
                <c:pt idx="1">
                  <c:v>Interests</c:v>
                </c:pt>
              </c:strCache>
            </c:strRef>
          </c:cat>
          <c:val>
            <c:numRef>
              <c:f>snap_pivot!$B$57:$B$58</c:f>
              <c:numCache>
                <c:formatCode>0</c:formatCode>
                <c:ptCount val="2"/>
                <c:pt idx="0">
                  <c:v>16</c:v>
                </c:pt>
                <c:pt idx="1">
                  <c:v>37</c:v>
                </c:pt>
              </c:numCache>
            </c:numRef>
          </c:val>
          <c:extLst>
            <c:ext xmlns:c16="http://schemas.microsoft.com/office/drawing/2014/chart" uri="{C3380CC4-5D6E-409C-BE32-E72D297353CC}">
              <c16:uniqueId val="{00000000-5FD6-4133-9C2F-BB63674598A7}"/>
            </c:ext>
          </c:extLst>
        </c:ser>
        <c:dLbls>
          <c:dLblPos val="outEnd"/>
          <c:showLegendKey val="0"/>
          <c:showVal val="1"/>
          <c:showCatName val="0"/>
          <c:showSerName val="0"/>
          <c:showPercent val="0"/>
          <c:showBubbleSize val="0"/>
        </c:dLbls>
        <c:gapWidth val="219"/>
        <c:overlap val="-27"/>
        <c:axId val="1508578655"/>
        <c:axId val="1508581151"/>
      </c:barChart>
      <c:catAx>
        <c:axId val="15085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81151"/>
        <c:crosses val="autoZero"/>
        <c:auto val="1"/>
        <c:lblAlgn val="ctr"/>
        <c:lblOffset val="100"/>
        <c:noMultiLvlLbl val="0"/>
      </c:catAx>
      <c:valAx>
        <c:axId val="1508581151"/>
        <c:scaling>
          <c:orientation val="minMax"/>
        </c:scaling>
        <c:delete val="1"/>
        <c:axPos val="l"/>
        <c:numFmt formatCode="0" sourceLinked="1"/>
        <c:majorTickMark val="none"/>
        <c:minorTickMark val="none"/>
        <c:tickLblPos val="nextTo"/>
        <c:crossAx val="1508578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Sheet'!$B$2</c:f>
              <c:strCache>
                <c:ptCount val="1"/>
                <c:pt idx="0">
                  <c:v>Average CPC</c:v>
                </c:pt>
              </c:strCache>
            </c:strRef>
          </c:tx>
          <c:spPr>
            <a:solidFill>
              <a:schemeClr val="accent1"/>
            </a:solidFill>
            <a:ln>
              <a:noFill/>
            </a:ln>
            <a:effectLst/>
          </c:spPr>
          <c:invertIfNegative val="0"/>
          <c:cat>
            <c:strRef>
              <c:f>'Master Sheet'!$A$3:$A$5</c:f>
              <c:strCache>
                <c:ptCount val="3"/>
                <c:pt idx="0">
                  <c:v>TikTok</c:v>
                </c:pt>
                <c:pt idx="1">
                  <c:v>Meta</c:v>
                </c:pt>
                <c:pt idx="2">
                  <c:v>Snapchat</c:v>
                </c:pt>
              </c:strCache>
            </c:strRef>
          </c:cat>
          <c:val>
            <c:numRef>
              <c:f>'Master Sheet'!$B$3:$B$5</c:f>
              <c:numCache>
                <c:formatCode>0.000</c:formatCode>
                <c:ptCount val="3"/>
                <c:pt idx="0">
                  <c:v>0.48934720345805782</c:v>
                </c:pt>
                <c:pt idx="1">
                  <c:v>0.28352271228400477</c:v>
                </c:pt>
                <c:pt idx="2">
                  <c:v>0.47234362088047738</c:v>
                </c:pt>
              </c:numCache>
            </c:numRef>
          </c:val>
          <c:extLst>
            <c:ext xmlns:c16="http://schemas.microsoft.com/office/drawing/2014/chart" uri="{C3380CC4-5D6E-409C-BE32-E72D297353CC}">
              <c16:uniqueId val="{00000000-708E-4641-B645-9B6F192220D1}"/>
            </c:ext>
          </c:extLst>
        </c:ser>
        <c:dLbls>
          <c:showLegendKey val="0"/>
          <c:showVal val="0"/>
          <c:showCatName val="0"/>
          <c:showSerName val="0"/>
          <c:showPercent val="0"/>
          <c:showBubbleSize val="0"/>
        </c:dLbls>
        <c:gapWidth val="219"/>
        <c:overlap val="-27"/>
        <c:axId val="1344341328"/>
        <c:axId val="1342879216"/>
      </c:barChart>
      <c:catAx>
        <c:axId val="13443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79216"/>
        <c:crosses val="autoZero"/>
        <c:auto val="1"/>
        <c:lblAlgn val="ctr"/>
        <c:lblOffset val="100"/>
        <c:noMultiLvlLbl val="0"/>
      </c:catAx>
      <c:valAx>
        <c:axId val="13428792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41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560169957658243"/>
          <c:y val="6.9214566929133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'Master Sheet'!$B$20</c:f>
              <c:strCache>
                <c:ptCount val="1"/>
                <c:pt idx="0">
                  <c:v>Total Video Views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4E-42F8-83E4-2D3FD9737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4E-42F8-83E4-2D3FD9737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4E-42F8-83E4-2D3FD9737FF3}"/>
              </c:ext>
            </c:extLst>
          </c:dPt>
          <c:cat>
            <c:strRef>
              <c:f>'Master Sheet'!$A$21:$A$23</c:f>
              <c:strCache>
                <c:ptCount val="3"/>
                <c:pt idx="0">
                  <c:v>TikTok</c:v>
                </c:pt>
                <c:pt idx="1">
                  <c:v>Meta</c:v>
                </c:pt>
                <c:pt idx="2">
                  <c:v>Snapchat</c:v>
                </c:pt>
              </c:strCache>
            </c:strRef>
          </c:cat>
          <c:val>
            <c:numRef>
              <c:f>'Master Sheet'!$B$21:$B$23</c:f>
              <c:numCache>
                <c:formatCode>0,,"M"</c:formatCode>
                <c:ptCount val="3"/>
                <c:pt idx="0">
                  <c:v>6624087</c:v>
                </c:pt>
                <c:pt idx="1">
                  <c:v>11087790</c:v>
                </c:pt>
                <c:pt idx="2">
                  <c:v>1795846</c:v>
                </c:pt>
              </c:numCache>
            </c:numRef>
          </c:val>
          <c:extLst>
            <c:ext xmlns:c16="http://schemas.microsoft.com/office/drawing/2014/chart" uri="{C3380CC4-5D6E-409C-BE32-E72D297353CC}">
              <c16:uniqueId val="{00000000-46CD-486D-86E3-7224ADA837F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Clicks per Language on Various Platforms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'Master Sheet'!$B$30</c:f>
              <c:strCache>
                <c:ptCount val="1"/>
                <c:pt idx="0">
                  <c:v>AR Language </c:v>
                </c:pt>
              </c:strCache>
            </c:strRef>
          </c:tx>
          <c:spPr>
            <a:solidFill>
              <a:schemeClr val="accent1"/>
            </a:solidFill>
            <a:ln>
              <a:noFill/>
            </a:ln>
            <a:effectLst/>
          </c:spPr>
          <c:invertIfNegative val="0"/>
          <c:cat>
            <c:strRef>
              <c:f>'Master Sheet'!$A$31:$A$33</c:f>
              <c:strCache>
                <c:ptCount val="3"/>
                <c:pt idx="0">
                  <c:v>TikTok</c:v>
                </c:pt>
                <c:pt idx="1">
                  <c:v>Meta</c:v>
                </c:pt>
                <c:pt idx="2">
                  <c:v>Snapchat</c:v>
                </c:pt>
              </c:strCache>
            </c:strRef>
          </c:cat>
          <c:val>
            <c:numRef>
              <c:f>'Master Sheet'!$B$31:$B$33</c:f>
              <c:numCache>
                <c:formatCode>General</c:formatCode>
                <c:ptCount val="3"/>
                <c:pt idx="0">
                  <c:v>52696</c:v>
                </c:pt>
                <c:pt idx="1">
                  <c:v>317964</c:v>
                </c:pt>
                <c:pt idx="2">
                  <c:v>42847</c:v>
                </c:pt>
              </c:numCache>
            </c:numRef>
          </c:val>
          <c:extLst>
            <c:ext xmlns:c16="http://schemas.microsoft.com/office/drawing/2014/chart" uri="{C3380CC4-5D6E-409C-BE32-E72D297353CC}">
              <c16:uniqueId val="{00000000-C608-4055-A195-EC99F4B4018E}"/>
            </c:ext>
          </c:extLst>
        </c:ser>
        <c:ser>
          <c:idx val="1"/>
          <c:order val="1"/>
          <c:tx>
            <c:strRef>
              <c:f>'Master Sheet'!$C$30</c:f>
              <c:strCache>
                <c:ptCount val="1"/>
                <c:pt idx="0">
                  <c:v>EN Language </c:v>
                </c:pt>
              </c:strCache>
            </c:strRef>
          </c:tx>
          <c:spPr>
            <a:solidFill>
              <a:schemeClr val="accent2"/>
            </a:solidFill>
            <a:ln>
              <a:noFill/>
            </a:ln>
            <a:effectLst/>
          </c:spPr>
          <c:invertIfNegative val="0"/>
          <c:cat>
            <c:strRef>
              <c:f>'Master Sheet'!$A$31:$A$33</c:f>
              <c:strCache>
                <c:ptCount val="3"/>
                <c:pt idx="0">
                  <c:v>TikTok</c:v>
                </c:pt>
                <c:pt idx="1">
                  <c:v>Meta</c:v>
                </c:pt>
                <c:pt idx="2">
                  <c:v>Snapchat</c:v>
                </c:pt>
              </c:strCache>
            </c:strRef>
          </c:cat>
          <c:val>
            <c:numRef>
              <c:f>'Master Sheet'!$C$31:$C$33</c:f>
              <c:numCache>
                <c:formatCode>General</c:formatCode>
                <c:ptCount val="3"/>
                <c:pt idx="0">
                  <c:v>26692</c:v>
                </c:pt>
                <c:pt idx="1">
                  <c:v>101117</c:v>
                </c:pt>
                <c:pt idx="2">
                  <c:v>11947</c:v>
                </c:pt>
              </c:numCache>
            </c:numRef>
          </c:val>
          <c:extLst>
            <c:ext xmlns:c16="http://schemas.microsoft.com/office/drawing/2014/chart" uri="{C3380CC4-5D6E-409C-BE32-E72D297353CC}">
              <c16:uniqueId val="{00000001-C608-4055-A195-EC99F4B4018E}"/>
            </c:ext>
          </c:extLst>
        </c:ser>
        <c:dLbls>
          <c:showLegendKey val="0"/>
          <c:showVal val="0"/>
          <c:showCatName val="0"/>
          <c:showSerName val="0"/>
          <c:showPercent val="0"/>
          <c:showBubbleSize val="0"/>
        </c:dLbls>
        <c:gapWidth val="150"/>
        <c:overlap val="100"/>
        <c:axId val="1396897903"/>
        <c:axId val="1396901647"/>
      </c:barChart>
      <c:catAx>
        <c:axId val="139689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01647"/>
        <c:crosses val="autoZero"/>
        <c:auto val="1"/>
        <c:lblAlgn val="ctr"/>
        <c:lblOffset val="100"/>
        <c:noMultiLvlLbl val="0"/>
      </c:catAx>
      <c:valAx>
        <c:axId val="1396901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9790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55319941442966"/>
          <c:y val="0.23540645447488079"/>
          <c:w val="0.45759621631454495"/>
          <c:h val="0.76459354552511927"/>
        </c:manualLayout>
      </c:layout>
      <c:doughnutChart>
        <c:varyColors val="1"/>
        <c:ser>
          <c:idx val="0"/>
          <c:order val="0"/>
          <c:tx>
            <c:strRef>
              <c:f>'Master Sheet'!$B$40</c:f>
              <c:strCache>
                <c:ptCount val="1"/>
                <c:pt idx="0">
                  <c:v>Paid Reach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E-460D-A6A5-5AB4C5CA2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E-460D-A6A5-5AB4C5CA2E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E-460D-A6A5-5AB4C5CA2E4A}"/>
              </c:ext>
            </c:extLst>
          </c:dPt>
          <c:cat>
            <c:strRef>
              <c:f>'Master Sheet'!$A$41:$A$43</c:f>
              <c:strCache>
                <c:ptCount val="3"/>
                <c:pt idx="0">
                  <c:v>TikTok</c:v>
                </c:pt>
                <c:pt idx="1">
                  <c:v>Meta</c:v>
                </c:pt>
                <c:pt idx="2">
                  <c:v>Snapchat</c:v>
                </c:pt>
              </c:strCache>
            </c:strRef>
          </c:cat>
          <c:val>
            <c:numRef>
              <c:f>'Master Sheet'!$B$41:$B$43</c:f>
              <c:numCache>
                <c:formatCode>0,,"M"</c:formatCode>
                <c:ptCount val="3"/>
                <c:pt idx="0">
                  <c:v>40396558</c:v>
                </c:pt>
                <c:pt idx="1">
                  <c:v>33253030</c:v>
                </c:pt>
                <c:pt idx="2">
                  <c:v>12654659</c:v>
                </c:pt>
              </c:numCache>
            </c:numRef>
          </c:val>
          <c:extLst>
            <c:ext xmlns:c16="http://schemas.microsoft.com/office/drawing/2014/chart" uri="{C3380CC4-5D6E-409C-BE32-E72D297353CC}">
              <c16:uniqueId val="{00000000-A41C-45D2-B50E-0A2531DEE6F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51319200484554817"/>
          <c:y val="5.4794520547945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65435089844541"/>
          <c:y val="8.2191780821917804E-2"/>
          <c:w val="0.45402503533212196"/>
          <c:h val="0.80853773415309382"/>
        </c:manualLayout>
      </c:layout>
      <c:doughnutChart>
        <c:varyColors val="1"/>
        <c:ser>
          <c:idx val="0"/>
          <c:order val="0"/>
          <c:tx>
            <c:strRef>
              <c:f>'Master Sheet'!$B$49</c:f>
              <c:strCache>
                <c:ptCount val="1"/>
                <c:pt idx="0">
                  <c:v>Average CTR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59-496F-8E58-650214370F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59-496F-8E58-650214370F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59-496F-8E58-650214370F28}"/>
              </c:ext>
            </c:extLst>
          </c:dPt>
          <c:cat>
            <c:strRef>
              <c:f>'Master Sheet'!$A$50:$A$52</c:f>
              <c:strCache>
                <c:ptCount val="3"/>
                <c:pt idx="0">
                  <c:v>TikTok</c:v>
                </c:pt>
                <c:pt idx="1">
                  <c:v>Meta</c:v>
                </c:pt>
                <c:pt idx="2">
                  <c:v>Snapchat</c:v>
                </c:pt>
              </c:strCache>
            </c:strRef>
          </c:cat>
          <c:val>
            <c:numRef>
              <c:f>'Master Sheet'!$B$50:$B$52</c:f>
              <c:numCache>
                <c:formatCode>0.000</c:formatCode>
                <c:ptCount val="3"/>
                <c:pt idx="0">
                  <c:v>9.4437362804169048E-2</c:v>
                </c:pt>
                <c:pt idx="1">
                  <c:v>0.36528369792846449</c:v>
                </c:pt>
                <c:pt idx="2">
                  <c:v>0.35372972080900511</c:v>
                </c:pt>
              </c:numCache>
            </c:numRef>
          </c:val>
          <c:extLst>
            <c:ext xmlns:c16="http://schemas.microsoft.com/office/drawing/2014/chart" uri="{C3380CC4-5D6E-409C-BE32-E72D297353CC}">
              <c16:uniqueId val="{00000000-25CB-4F58-85F2-8BAA36F23F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 CPC Of All Platforms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41807909604523E-2"/>
          <c:y val="0.19407069555302167"/>
          <c:w val="0.72314020863917439"/>
          <c:h val="0.72231090839984802"/>
        </c:manualLayout>
      </c:layout>
      <c:barChart>
        <c:barDir val="col"/>
        <c:grouping val="clustered"/>
        <c:varyColors val="0"/>
        <c:ser>
          <c:idx val="0"/>
          <c:order val="0"/>
          <c:tx>
            <c:strRef>
              <c:f>'Master Sheet'!$B$2</c:f>
              <c:strCache>
                <c:ptCount val="1"/>
                <c:pt idx="0">
                  <c:v>Average CPC</c:v>
                </c:pt>
              </c:strCache>
            </c:strRef>
          </c:tx>
          <c:spPr>
            <a:solidFill>
              <a:srgbClr val="FFFC00"/>
            </a:solidFill>
            <a:ln>
              <a:noFill/>
            </a:ln>
            <a:effectLst/>
          </c:spPr>
          <c:invertIfNegative val="0"/>
          <c:dPt>
            <c:idx val="0"/>
            <c:invertIfNegative val="0"/>
            <c:bubble3D val="0"/>
            <c:spPr>
              <a:solidFill>
                <a:srgbClr val="FF0050"/>
              </a:solidFill>
              <a:ln>
                <a:noFill/>
              </a:ln>
              <a:effectLst/>
            </c:spPr>
            <c:extLst>
              <c:ext xmlns:c16="http://schemas.microsoft.com/office/drawing/2014/chart" uri="{C3380CC4-5D6E-409C-BE32-E72D297353CC}">
                <c16:uniqueId val="{00000003-FFBE-4A30-B94A-49E3E0DDB5C8}"/>
              </c:ext>
            </c:extLst>
          </c:dPt>
          <c:dPt>
            <c:idx val="1"/>
            <c:invertIfNegative val="0"/>
            <c:bubble3D val="0"/>
            <c:spPr>
              <a:solidFill>
                <a:srgbClr val="0668E1"/>
              </a:solidFill>
              <a:ln>
                <a:noFill/>
              </a:ln>
              <a:effectLst/>
            </c:spPr>
            <c:extLst>
              <c:ext xmlns:c16="http://schemas.microsoft.com/office/drawing/2014/chart" uri="{C3380CC4-5D6E-409C-BE32-E72D297353CC}">
                <c16:uniqueId val="{00000002-FFBE-4A30-B94A-49E3E0DDB5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'Master Sheet'!$A$3:$A$5</c:f>
              <c:strCache>
                <c:ptCount val="3"/>
                <c:pt idx="0">
                  <c:v>TikTok</c:v>
                </c:pt>
                <c:pt idx="1">
                  <c:v>Meta</c:v>
                </c:pt>
                <c:pt idx="2">
                  <c:v>Snapchat</c:v>
                </c:pt>
              </c:strCache>
            </c:strRef>
          </c:cat>
          <c:val>
            <c:numRef>
              <c:f>'Master Sheet'!$B$3:$B$5</c:f>
              <c:numCache>
                <c:formatCode>0.000</c:formatCode>
                <c:ptCount val="3"/>
                <c:pt idx="0">
                  <c:v>0.48934720345805782</c:v>
                </c:pt>
                <c:pt idx="1">
                  <c:v>0.28352271228400477</c:v>
                </c:pt>
                <c:pt idx="2">
                  <c:v>0.47234362088047738</c:v>
                </c:pt>
              </c:numCache>
            </c:numRef>
          </c:val>
          <c:extLst>
            <c:ext xmlns:c16="http://schemas.microsoft.com/office/drawing/2014/chart" uri="{C3380CC4-5D6E-409C-BE32-E72D297353CC}">
              <c16:uniqueId val="{00000000-FFBE-4A30-B94A-49E3E0DDB5C8}"/>
            </c:ext>
          </c:extLst>
        </c:ser>
        <c:dLbls>
          <c:dLblPos val="inEnd"/>
          <c:showLegendKey val="0"/>
          <c:showVal val="1"/>
          <c:showCatName val="0"/>
          <c:showSerName val="0"/>
          <c:showPercent val="0"/>
          <c:showBubbleSize val="0"/>
        </c:dLbls>
        <c:gapWidth val="121"/>
        <c:overlap val="-27"/>
        <c:axId val="1344341328"/>
        <c:axId val="1342879216"/>
      </c:barChart>
      <c:catAx>
        <c:axId val="1344341328"/>
        <c:scaling>
          <c:orientation val="minMax"/>
        </c:scaling>
        <c:delete val="1"/>
        <c:axPos val="b"/>
        <c:numFmt formatCode="General" sourceLinked="1"/>
        <c:majorTickMark val="out"/>
        <c:minorTickMark val="none"/>
        <c:tickLblPos val="nextTo"/>
        <c:crossAx val="1342879216"/>
        <c:crosses val="autoZero"/>
        <c:auto val="1"/>
        <c:lblAlgn val="ctr"/>
        <c:lblOffset val="100"/>
        <c:noMultiLvlLbl val="0"/>
      </c:catAx>
      <c:valAx>
        <c:axId val="1342879216"/>
        <c:scaling>
          <c:orientation val="minMax"/>
        </c:scaling>
        <c:delete val="1"/>
        <c:axPos val="l"/>
        <c:numFmt formatCode="0.000" sourceLinked="1"/>
        <c:majorTickMark val="out"/>
        <c:minorTickMark val="none"/>
        <c:tickLblPos val="nextTo"/>
        <c:crossAx val="134434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5398BE">
        <a:alpha val="6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Total Video Views </a:t>
            </a:r>
          </a:p>
        </c:rich>
      </c:tx>
      <c:layout>
        <c:manualLayout>
          <c:xMode val="edge"/>
          <c:yMode val="edge"/>
          <c:x val="0.52856758391458991"/>
          <c:y val="8.752735229759299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01890540638026E-2"/>
          <c:y val="7.5696227249493139E-2"/>
          <c:w val="0.43242440889391998"/>
          <c:h val="0.89512798865130916"/>
        </c:manualLayout>
      </c:layout>
      <c:pieChart>
        <c:varyColors val="1"/>
        <c:ser>
          <c:idx val="0"/>
          <c:order val="0"/>
          <c:tx>
            <c:strRef>
              <c:f>'Master Sheet'!$B$20</c:f>
              <c:strCache>
                <c:ptCount val="1"/>
                <c:pt idx="0">
                  <c:v>Total Video Views</c:v>
                </c:pt>
              </c:strCache>
            </c:strRef>
          </c:tx>
          <c:spPr>
            <a:ln>
              <a:noFill/>
            </a:ln>
          </c:spPr>
          <c:dPt>
            <c:idx val="0"/>
            <c:bubble3D val="0"/>
            <c:spPr>
              <a:solidFill>
                <a:srgbClr val="FF0050"/>
              </a:solidFill>
              <a:ln w="19050">
                <a:noFill/>
              </a:ln>
              <a:effectLst/>
            </c:spPr>
            <c:extLst>
              <c:ext xmlns:c16="http://schemas.microsoft.com/office/drawing/2014/chart" uri="{C3380CC4-5D6E-409C-BE32-E72D297353CC}">
                <c16:uniqueId val="{00000001-0DA6-4356-BC8D-A3CCB97CB2A6}"/>
              </c:ext>
            </c:extLst>
          </c:dPt>
          <c:dPt>
            <c:idx val="1"/>
            <c:bubble3D val="0"/>
            <c:spPr>
              <a:solidFill>
                <a:srgbClr val="0668E1"/>
              </a:solidFill>
              <a:ln w="19050">
                <a:noFill/>
              </a:ln>
              <a:effectLst/>
            </c:spPr>
            <c:extLst>
              <c:ext xmlns:c16="http://schemas.microsoft.com/office/drawing/2014/chart" uri="{C3380CC4-5D6E-409C-BE32-E72D297353CC}">
                <c16:uniqueId val="{00000003-0DA6-4356-BC8D-A3CCB97CB2A6}"/>
              </c:ext>
            </c:extLst>
          </c:dPt>
          <c:dPt>
            <c:idx val="2"/>
            <c:bubble3D val="0"/>
            <c:spPr>
              <a:solidFill>
                <a:srgbClr val="FFFC00"/>
              </a:solidFill>
              <a:ln w="19050">
                <a:noFill/>
              </a:ln>
              <a:effectLst/>
            </c:spPr>
            <c:extLst>
              <c:ext xmlns:c16="http://schemas.microsoft.com/office/drawing/2014/chart" uri="{C3380CC4-5D6E-409C-BE32-E72D297353CC}">
                <c16:uniqueId val="{00000005-0DA6-4356-BC8D-A3CCB97CB2A6}"/>
              </c:ext>
            </c:extLst>
          </c:dPt>
          <c:dLbls>
            <c:dLbl>
              <c:idx val="0"/>
              <c:layout>
                <c:manualLayout>
                  <c:x val="-7.5054518819397051E-2"/>
                  <c:y val="0.134131906426082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DA6-4356-BC8D-A3CCB97CB2A6}"/>
                </c:ext>
              </c:extLst>
            </c:dLbl>
            <c:dLbl>
              <c:idx val="1"/>
              <c:layout>
                <c:manualLayout>
                  <c:x val="8.977432260713708E-2"/>
                  <c:y val="-0.16113952593081449"/>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DA6-4356-BC8D-A3CCB97CB2A6}"/>
                </c:ext>
              </c:extLst>
            </c:dLbl>
            <c:dLbl>
              <c:idx val="2"/>
              <c:layout>
                <c:manualLayout>
                  <c:x val="5.241797206638811E-2"/>
                  <c:y val="0.12937659052161607"/>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DA6-4356-BC8D-A3CCB97CB2A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'Master Sheet'!$A$21:$A$23</c:f>
              <c:strCache>
                <c:ptCount val="3"/>
                <c:pt idx="0">
                  <c:v>TikTok</c:v>
                </c:pt>
                <c:pt idx="1">
                  <c:v>Meta</c:v>
                </c:pt>
                <c:pt idx="2">
                  <c:v>Snapchat</c:v>
                </c:pt>
              </c:strCache>
            </c:strRef>
          </c:cat>
          <c:val>
            <c:numRef>
              <c:f>'Master Sheet'!$B$21:$B$23</c:f>
              <c:numCache>
                <c:formatCode>0,,"M"</c:formatCode>
                <c:ptCount val="3"/>
                <c:pt idx="0">
                  <c:v>6624087</c:v>
                </c:pt>
                <c:pt idx="1">
                  <c:v>11087790</c:v>
                </c:pt>
                <c:pt idx="2">
                  <c:v>1795846</c:v>
                </c:pt>
              </c:numCache>
            </c:numRef>
          </c:val>
          <c:extLst>
            <c:ext xmlns:c16="http://schemas.microsoft.com/office/drawing/2014/chart" uri="{C3380CC4-5D6E-409C-BE32-E72D297353CC}">
              <c16:uniqueId val="{00000006-0DA6-4356-BC8D-A3CCB97CB2A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982098960674317"/>
          <c:y val="0.397935384200027"/>
          <c:w val="0.19494292864554721"/>
          <c:h val="0.430571387859789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5398BE">
        <a:alpha val="6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solidFill>
              </a:rPr>
              <a:t>Total Clicks per Language on Various Platforms</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66944460409602"/>
          <c:y val="0.34206206577119036"/>
          <c:w val="0.84156656512826411"/>
          <c:h val="0.61872224795429986"/>
        </c:manualLayout>
      </c:layout>
      <c:barChart>
        <c:barDir val="bar"/>
        <c:grouping val="clustered"/>
        <c:varyColors val="0"/>
        <c:ser>
          <c:idx val="0"/>
          <c:order val="0"/>
          <c:tx>
            <c:strRef>
              <c:f>'Master Sheet'!$B$30</c:f>
              <c:strCache>
                <c:ptCount val="1"/>
                <c:pt idx="0">
                  <c:v>AR Language </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'Master Sheet'!$A$31:$A$33</c:f>
              <c:strCache>
                <c:ptCount val="3"/>
                <c:pt idx="0">
                  <c:v>TikTok</c:v>
                </c:pt>
                <c:pt idx="1">
                  <c:v>Meta</c:v>
                </c:pt>
                <c:pt idx="2">
                  <c:v>Snapchat</c:v>
                </c:pt>
              </c:strCache>
            </c:strRef>
          </c:cat>
          <c:val>
            <c:numRef>
              <c:f>'Master Sheet'!$B$31:$B$33</c:f>
              <c:numCache>
                <c:formatCode>General</c:formatCode>
                <c:ptCount val="3"/>
                <c:pt idx="0">
                  <c:v>52696</c:v>
                </c:pt>
                <c:pt idx="1">
                  <c:v>317964</c:v>
                </c:pt>
                <c:pt idx="2">
                  <c:v>42847</c:v>
                </c:pt>
              </c:numCache>
            </c:numRef>
          </c:val>
          <c:extLst>
            <c:ext xmlns:c16="http://schemas.microsoft.com/office/drawing/2014/chart" uri="{C3380CC4-5D6E-409C-BE32-E72D297353CC}">
              <c16:uniqueId val="{00000000-54AE-423A-9F75-049DC6AAC9DC}"/>
            </c:ext>
          </c:extLst>
        </c:ser>
        <c:ser>
          <c:idx val="1"/>
          <c:order val="1"/>
          <c:tx>
            <c:strRef>
              <c:f>'Master Sheet'!$C$30</c:f>
              <c:strCache>
                <c:ptCount val="1"/>
                <c:pt idx="0">
                  <c:v>EN Language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'Master Sheet'!$A$31:$A$33</c:f>
              <c:strCache>
                <c:ptCount val="3"/>
                <c:pt idx="0">
                  <c:v>TikTok</c:v>
                </c:pt>
                <c:pt idx="1">
                  <c:v>Meta</c:v>
                </c:pt>
                <c:pt idx="2">
                  <c:v>Snapchat</c:v>
                </c:pt>
              </c:strCache>
            </c:strRef>
          </c:cat>
          <c:val>
            <c:numRef>
              <c:f>'Master Sheet'!$C$31:$C$33</c:f>
              <c:numCache>
                <c:formatCode>General</c:formatCode>
                <c:ptCount val="3"/>
                <c:pt idx="0">
                  <c:v>26692</c:v>
                </c:pt>
                <c:pt idx="1">
                  <c:v>101117</c:v>
                </c:pt>
                <c:pt idx="2">
                  <c:v>11947</c:v>
                </c:pt>
              </c:numCache>
            </c:numRef>
          </c:val>
          <c:extLst>
            <c:ext xmlns:c16="http://schemas.microsoft.com/office/drawing/2014/chart" uri="{C3380CC4-5D6E-409C-BE32-E72D297353CC}">
              <c16:uniqueId val="{00000001-54AE-423A-9F75-049DC6AAC9DC}"/>
            </c:ext>
          </c:extLst>
        </c:ser>
        <c:dLbls>
          <c:dLblPos val="outEnd"/>
          <c:showLegendKey val="0"/>
          <c:showVal val="1"/>
          <c:showCatName val="0"/>
          <c:showSerName val="0"/>
          <c:showPercent val="0"/>
          <c:showBubbleSize val="0"/>
        </c:dLbls>
        <c:gapWidth val="15"/>
        <c:axId val="1396897903"/>
        <c:axId val="1396901647"/>
      </c:barChart>
      <c:catAx>
        <c:axId val="139689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6901647"/>
        <c:crosses val="autoZero"/>
        <c:auto val="1"/>
        <c:lblAlgn val="ctr"/>
        <c:lblOffset val="100"/>
        <c:noMultiLvlLbl val="0"/>
      </c:catAx>
      <c:valAx>
        <c:axId val="1396901647"/>
        <c:scaling>
          <c:orientation val="minMax"/>
        </c:scaling>
        <c:delete val="1"/>
        <c:axPos val="b"/>
        <c:numFmt formatCode="General" sourceLinked="1"/>
        <c:majorTickMark val="none"/>
        <c:minorTickMark val="none"/>
        <c:tickLblPos val="nextTo"/>
        <c:crossAx val="1396897903"/>
        <c:crosses val="autoZero"/>
        <c:crossBetween val="between"/>
      </c:valAx>
      <c:spPr>
        <a:noFill/>
        <a:ln>
          <a:noFill/>
        </a:ln>
        <a:effectLst/>
      </c:spPr>
    </c:plotArea>
    <c:legend>
      <c:legendPos val="t"/>
      <c:layout>
        <c:manualLayout>
          <c:xMode val="edge"/>
          <c:yMode val="edge"/>
          <c:x val="0.29631952027894326"/>
          <c:y val="0.21252061139416398"/>
          <c:w val="0.37358002481675728"/>
          <c:h val="0.141826771653543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5398BE">
        <a:alpha val="6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ysClr val="windowText" lastClr="000000"/>
                </a:solidFill>
                <a:effectLst/>
              </a:rPr>
              <a:t>Total Paid </a:t>
            </a:r>
          </a:p>
          <a:p>
            <a:pPr>
              <a:defRPr/>
            </a:pPr>
            <a:r>
              <a:rPr lang="en-US" sz="1800" b="1" i="0" baseline="0">
                <a:solidFill>
                  <a:sysClr val="windowText" lastClr="000000"/>
                </a:solidFill>
                <a:effectLst/>
              </a:rPr>
              <a:t>Reach </a:t>
            </a:r>
          </a:p>
        </c:rich>
      </c:tx>
      <c:layout>
        <c:manualLayout>
          <c:xMode val="edge"/>
          <c:yMode val="edge"/>
          <c:x val="0.59980511818127813"/>
          <c:y val="3.1558205009057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91193098865155E-2"/>
          <c:y val="7.8044434946611979E-2"/>
          <c:w val="0.56548317823908378"/>
          <c:h val="0.8833588863680979"/>
        </c:manualLayout>
      </c:layout>
      <c:doughnutChart>
        <c:varyColors val="1"/>
        <c:ser>
          <c:idx val="0"/>
          <c:order val="0"/>
          <c:tx>
            <c:strRef>
              <c:f>'Master Sheet'!$B$40</c:f>
              <c:strCache>
                <c:ptCount val="1"/>
                <c:pt idx="0">
                  <c:v>Paid Reach</c:v>
                </c:pt>
              </c:strCache>
            </c:strRef>
          </c:tx>
          <c:spPr>
            <a:ln>
              <a:noFill/>
            </a:ln>
          </c:spPr>
          <c:dPt>
            <c:idx val="0"/>
            <c:bubble3D val="0"/>
            <c:spPr>
              <a:solidFill>
                <a:srgbClr val="FF0050"/>
              </a:solidFill>
              <a:ln w="19050">
                <a:noFill/>
              </a:ln>
              <a:effectLst/>
            </c:spPr>
            <c:extLst>
              <c:ext xmlns:c16="http://schemas.microsoft.com/office/drawing/2014/chart" uri="{C3380CC4-5D6E-409C-BE32-E72D297353CC}">
                <c16:uniqueId val="{00000001-C031-4037-BF10-8FC96FB20E7B}"/>
              </c:ext>
            </c:extLst>
          </c:dPt>
          <c:dPt>
            <c:idx val="1"/>
            <c:bubble3D val="0"/>
            <c:spPr>
              <a:solidFill>
                <a:srgbClr val="0668E1"/>
              </a:solidFill>
              <a:ln w="19050">
                <a:noFill/>
              </a:ln>
              <a:effectLst/>
            </c:spPr>
            <c:extLst>
              <c:ext xmlns:c16="http://schemas.microsoft.com/office/drawing/2014/chart" uri="{C3380CC4-5D6E-409C-BE32-E72D297353CC}">
                <c16:uniqueId val="{00000002-C031-4037-BF10-8FC96FB20E7B}"/>
              </c:ext>
            </c:extLst>
          </c:dPt>
          <c:dPt>
            <c:idx val="2"/>
            <c:bubble3D val="0"/>
            <c:spPr>
              <a:solidFill>
                <a:srgbClr val="FFFC00"/>
              </a:solidFill>
              <a:ln w="19050">
                <a:noFill/>
              </a:ln>
              <a:effectLst/>
            </c:spPr>
            <c:extLst>
              <c:ext xmlns:c16="http://schemas.microsoft.com/office/drawing/2014/chart" uri="{C3380CC4-5D6E-409C-BE32-E72D297353CC}">
                <c16:uniqueId val="{00000003-C031-4037-BF10-8FC96FB20E7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'Master Sheet'!$A$41:$A$43</c:f>
              <c:strCache>
                <c:ptCount val="3"/>
                <c:pt idx="0">
                  <c:v>TikTok</c:v>
                </c:pt>
                <c:pt idx="1">
                  <c:v>Meta</c:v>
                </c:pt>
                <c:pt idx="2">
                  <c:v>Snapchat</c:v>
                </c:pt>
              </c:strCache>
            </c:strRef>
          </c:cat>
          <c:val>
            <c:numRef>
              <c:f>'Master Sheet'!$B$41:$B$43</c:f>
              <c:numCache>
                <c:formatCode>0,,"M"</c:formatCode>
                <c:ptCount val="3"/>
                <c:pt idx="0">
                  <c:v>40396558</c:v>
                </c:pt>
                <c:pt idx="1">
                  <c:v>33253030</c:v>
                </c:pt>
                <c:pt idx="2">
                  <c:v>12654659</c:v>
                </c:pt>
              </c:numCache>
            </c:numRef>
          </c:val>
          <c:extLst>
            <c:ext xmlns:c16="http://schemas.microsoft.com/office/drawing/2014/chart" uri="{C3380CC4-5D6E-409C-BE32-E72D297353CC}">
              <c16:uniqueId val="{00000000-C031-4037-BF10-8FC96FB20E7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5398BE">
        <a:alpha val="60000"/>
      </a:srgb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Tiktok_pivot_table!$B$51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8-4CD6-B55D-4A566C268B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8-4CD6-B55D-4A566C268B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58-4CD6-B55D-4A566C268B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58-4CD6-B55D-4A566C268B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58-4CD6-B55D-4A566C268B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58-4CD6-B55D-4A566C268B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58-4CD6-B55D-4A566C268BC8}"/>
              </c:ext>
            </c:extLst>
          </c:dPt>
          <c:cat>
            <c:strRef>
              <c:f>Tiktok_pivot_table!$A$52:$A$58</c:f>
              <c:strCache>
                <c:ptCount val="7"/>
                <c:pt idx="0">
                  <c:v>Bahrain Target Group</c:v>
                </c:pt>
                <c:pt idx="1">
                  <c:v>Jeddah Target Group</c:v>
                </c:pt>
                <c:pt idx="2">
                  <c:v>Kuwait Target Group</c:v>
                </c:pt>
                <c:pt idx="3">
                  <c:v>Oman Target Group</c:v>
                </c:pt>
                <c:pt idx="4">
                  <c:v>Qatar Target Group</c:v>
                </c:pt>
                <c:pt idx="5">
                  <c:v>RiyadhTarget Group</c:v>
                </c:pt>
                <c:pt idx="6">
                  <c:v>United Arab Emirates Target Group</c:v>
                </c:pt>
              </c:strCache>
            </c:strRef>
          </c:cat>
          <c:val>
            <c:numRef>
              <c:f>Tiktok_pivot_table!$B$52:$B$58</c:f>
              <c:numCache>
                <c:formatCode>0.000</c:formatCode>
                <c:ptCount val="7"/>
                <c:pt idx="0">
                  <c:v>1027.3</c:v>
                </c:pt>
                <c:pt idx="1">
                  <c:v>9672.0000000000018</c:v>
                </c:pt>
                <c:pt idx="2">
                  <c:v>4955.0300000000016</c:v>
                </c:pt>
                <c:pt idx="3">
                  <c:v>1031.32</c:v>
                </c:pt>
                <c:pt idx="4">
                  <c:v>3130.51</c:v>
                </c:pt>
                <c:pt idx="5">
                  <c:v>20588.279999999995</c:v>
                </c:pt>
                <c:pt idx="6">
                  <c:v>11788.130000000003</c:v>
                </c:pt>
              </c:numCache>
            </c:numRef>
          </c:val>
          <c:extLst>
            <c:ext xmlns:c16="http://schemas.microsoft.com/office/drawing/2014/chart" uri="{C3380CC4-5D6E-409C-BE32-E72D297353CC}">
              <c16:uniqueId val="{00000000-490D-4E2A-A7B7-283DECD713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CTR</a:t>
            </a:r>
          </a:p>
        </c:rich>
      </c:tx>
      <c:layout>
        <c:manualLayout>
          <c:xMode val="edge"/>
          <c:yMode val="edge"/>
          <c:x val="0.51319200484554817"/>
          <c:y val="5.4794520547945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65435089844541"/>
          <c:y val="8.2191780821917804E-2"/>
          <c:w val="0.45402503533212196"/>
          <c:h val="0.80853773415309382"/>
        </c:manualLayout>
      </c:layout>
      <c:doughnutChart>
        <c:varyColors val="1"/>
        <c:ser>
          <c:idx val="0"/>
          <c:order val="0"/>
          <c:tx>
            <c:strRef>
              <c:f>'Master Sheet'!$B$49</c:f>
              <c:strCache>
                <c:ptCount val="1"/>
                <c:pt idx="0">
                  <c:v>Average CTR</c:v>
                </c:pt>
              </c:strCache>
            </c:strRef>
          </c:tx>
          <c:spPr>
            <a:ln>
              <a:noFill/>
            </a:ln>
          </c:spPr>
          <c:dPt>
            <c:idx val="0"/>
            <c:bubble3D val="0"/>
            <c:spPr>
              <a:solidFill>
                <a:srgbClr val="FF0050"/>
              </a:solidFill>
              <a:ln w="19050">
                <a:noFill/>
              </a:ln>
              <a:effectLst/>
            </c:spPr>
            <c:extLst>
              <c:ext xmlns:c16="http://schemas.microsoft.com/office/drawing/2014/chart" uri="{C3380CC4-5D6E-409C-BE32-E72D297353CC}">
                <c16:uniqueId val="{00000001-7868-46CF-AD1B-EBDCE37883D3}"/>
              </c:ext>
            </c:extLst>
          </c:dPt>
          <c:dPt>
            <c:idx val="1"/>
            <c:bubble3D val="0"/>
            <c:spPr>
              <a:solidFill>
                <a:srgbClr val="0668E1"/>
              </a:solidFill>
              <a:ln w="19050">
                <a:noFill/>
              </a:ln>
              <a:effectLst/>
            </c:spPr>
            <c:extLst>
              <c:ext xmlns:c16="http://schemas.microsoft.com/office/drawing/2014/chart" uri="{C3380CC4-5D6E-409C-BE32-E72D297353CC}">
                <c16:uniqueId val="{00000003-7868-46CF-AD1B-EBDCE37883D3}"/>
              </c:ext>
            </c:extLst>
          </c:dPt>
          <c:dPt>
            <c:idx val="2"/>
            <c:bubble3D val="0"/>
            <c:spPr>
              <a:solidFill>
                <a:srgbClr val="FFFC00"/>
              </a:solidFill>
              <a:ln w="19050">
                <a:noFill/>
              </a:ln>
              <a:effectLst/>
            </c:spPr>
            <c:extLst>
              <c:ext xmlns:c16="http://schemas.microsoft.com/office/drawing/2014/chart" uri="{C3380CC4-5D6E-409C-BE32-E72D297353CC}">
                <c16:uniqueId val="{00000005-7868-46CF-AD1B-EBDCE37883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'Master Sheet'!$A$50:$A$52</c:f>
              <c:strCache>
                <c:ptCount val="3"/>
                <c:pt idx="0">
                  <c:v>TikTok</c:v>
                </c:pt>
                <c:pt idx="1">
                  <c:v>Meta</c:v>
                </c:pt>
                <c:pt idx="2">
                  <c:v>Snapchat</c:v>
                </c:pt>
              </c:strCache>
            </c:strRef>
          </c:cat>
          <c:val>
            <c:numRef>
              <c:f>'Master Sheet'!$B$50:$B$52</c:f>
              <c:numCache>
                <c:formatCode>0.000</c:formatCode>
                <c:ptCount val="3"/>
                <c:pt idx="0">
                  <c:v>9.4437362804169048E-2</c:v>
                </c:pt>
                <c:pt idx="1">
                  <c:v>0.36528369792846449</c:v>
                </c:pt>
                <c:pt idx="2">
                  <c:v>0.35372972080900511</c:v>
                </c:pt>
              </c:numCache>
            </c:numRef>
          </c:val>
          <c:extLst>
            <c:ext xmlns:c16="http://schemas.microsoft.com/office/drawing/2014/chart" uri="{C3380CC4-5D6E-409C-BE32-E72D297353CC}">
              <c16:uniqueId val="{00000006-7868-46CF-AD1B-EBDCE37883D3}"/>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5398BE">
        <a:alpha val="6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Campaign.xlsx]Tiktok_pivot_table!Campaign_Ctr</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ysClr val="windowText" lastClr="000000"/>
                </a:solidFill>
              </a:rPr>
              <a:t>Campaign Performance Analysis </a:t>
            </a:r>
            <a:endParaRPr lang="en-US" sz="1600" b="1">
              <a:solidFill>
                <a:sysClr val="windowText" lastClr="000000"/>
              </a:solidFill>
            </a:endParaRPr>
          </a:p>
        </c:rich>
      </c:tx>
      <c:layout>
        <c:manualLayout>
          <c:xMode val="edge"/>
          <c:yMode val="edge"/>
          <c:x val="0.12240354231593932"/>
          <c:y val="6.60386458823749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F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F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marker>
          <c:symbol val="none"/>
        </c:marker>
      </c:pivotFmt>
      <c:pivotFmt>
        <c:idx val="13"/>
        <c:spPr>
          <a:solidFill>
            <a:schemeClr val="accent1"/>
          </a:solidFill>
          <a:ln w="28575" cap="rnd">
            <a:solidFill>
              <a:schemeClr val="tx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rgbClr val="9751CB"/>
          </a:solidFill>
          <a:ln>
            <a:noFill/>
          </a:ln>
          <a:effectLst/>
        </c:spPr>
        <c:marker>
          <c:symbol val="none"/>
        </c:marker>
      </c:pivotFmt>
      <c:pivotFmt>
        <c:idx val="16"/>
        <c:spPr>
          <a:ln w="28575" cap="rnd">
            <a:solidFill>
              <a:schemeClr val="tx1"/>
            </a:solidFill>
            <a:round/>
          </a:ln>
          <a:effectLst/>
        </c:spPr>
        <c:marker>
          <c:symbol val="circle"/>
          <c:size val="5"/>
          <c:spPr>
            <a:solidFill>
              <a:schemeClr val="tx1"/>
            </a:solidFill>
            <a:ln w="9525">
              <a:solidFill>
                <a:schemeClr val="tx1"/>
              </a:solidFill>
            </a:ln>
            <a:effectLst/>
          </c:spPr>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768675722483137"/>
          <c:y val="0.20302319587999937"/>
          <c:w val="0.75462826398965988"/>
          <c:h val="0.53686850580868839"/>
        </c:manualLayout>
      </c:layout>
      <c:barChart>
        <c:barDir val="col"/>
        <c:grouping val="clustered"/>
        <c:varyColors val="0"/>
        <c:ser>
          <c:idx val="1"/>
          <c:order val="1"/>
          <c:tx>
            <c:strRef>
              <c:f>Tiktok_pivot_table!$C$5</c:f>
              <c:strCache>
                <c:ptCount val="1"/>
                <c:pt idx="0">
                  <c:v>Sum of Clicks</c:v>
                </c:pt>
              </c:strCache>
            </c:strRef>
          </c:tx>
          <c:spPr>
            <a:solidFill>
              <a:srgbClr val="9751CB"/>
            </a:solidFill>
            <a:ln>
              <a:noFill/>
            </a:ln>
            <a:effectLst/>
          </c:spPr>
          <c:invertIfNegative val="0"/>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Tiktok_pivot_table!$C$6:$C$14</c:f>
              <c:numCache>
                <c:formatCode>General</c:formatCode>
                <c:ptCount val="8"/>
                <c:pt idx="0">
                  <c:v>12769</c:v>
                </c:pt>
                <c:pt idx="1">
                  <c:v>6936</c:v>
                </c:pt>
                <c:pt idx="2">
                  <c:v>131</c:v>
                </c:pt>
                <c:pt idx="3">
                  <c:v>3613</c:v>
                </c:pt>
                <c:pt idx="4">
                  <c:v>6429</c:v>
                </c:pt>
                <c:pt idx="5">
                  <c:v>31766</c:v>
                </c:pt>
                <c:pt idx="6">
                  <c:v>17744</c:v>
                </c:pt>
                <c:pt idx="7">
                  <c:v>0</c:v>
                </c:pt>
              </c:numCache>
            </c:numRef>
          </c:val>
          <c:extLst>
            <c:ext xmlns:c16="http://schemas.microsoft.com/office/drawing/2014/chart" uri="{C3380CC4-5D6E-409C-BE32-E72D297353CC}">
              <c16:uniqueId val="{00000000-264C-4A4F-9782-C2C62AF98C6C}"/>
            </c:ext>
          </c:extLst>
        </c:ser>
        <c:dLbls>
          <c:showLegendKey val="0"/>
          <c:showVal val="0"/>
          <c:showCatName val="0"/>
          <c:showSerName val="0"/>
          <c:showPercent val="0"/>
          <c:showBubbleSize val="0"/>
        </c:dLbls>
        <c:gapWidth val="150"/>
        <c:axId val="1357553856"/>
        <c:axId val="1357558848"/>
      </c:barChart>
      <c:lineChart>
        <c:grouping val="standard"/>
        <c:varyColors val="0"/>
        <c:ser>
          <c:idx val="0"/>
          <c:order val="0"/>
          <c:tx>
            <c:strRef>
              <c:f>Tiktok_pivot_table!$B$5</c:f>
              <c:strCache>
                <c:ptCount val="1"/>
                <c:pt idx="0">
                  <c:v>Sum of Total Impressions</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Tiktok_pivot_table!$B$6:$B$14</c:f>
              <c:numCache>
                <c:formatCode>General</c:formatCode>
                <c:ptCount val="8"/>
                <c:pt idx="0">
                  <c:v>11363327</c:v>
                </c:pt>
                <c:pt idx="1">
                  <c:v>5882789</c:v>
                </c:pt>
                <c:pt idx="2">
                  <c:v>56264</c:v>
                </c:pt>
                <c:pt idx="3">
                  <c:v>2098862</c:v>
                </c:pt>
                <c:pt idx="4">
                  <c:v>4128788</c:v>
                </c:pt>
                <c:pt idx="5">
                  <c:v>16873762</c:v>
                </c:pt>
                <c:pt idx="6">
                  <c:v>15307011</c:v>
                </c:pt>
                <c:pt idx="7">
                  <c:v>2567839</c:v>
                </c:pt>
              </c:numCache>
            </c:numRef>
          </c:val>
          <c:smooth val="0"/>
          <c:extLst>
            <c:ext xmlns:c16="http://schemas.microsoft.com/office/drawing/2014/chart" uri="{C3380CC4-5D6E-409C-BE32-E72D297353CC}">
              <c16:uniqueId val="{00000001-264C-4A4F-9782-C2C62AF98C6C}"/>
            </c:ext>
          </c:extLst>
        </c:ser>
        <c:ser>
          <c:idx val="2"/>
          <c:order val="2"/>
          <c:tx>
            <c:strRef>
              <c:f>Tiktok_pivot_table!$D$5</c:f>
              <c:strCache>
                <c:ptCount val="1"/>
                <c:pt idx="0">
                  <c:v>Sum of CTR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Tiktok_pivot_table!$A$6:$A$14</c:f>
              <c:strCache>
                <c:ptCount val="8"/>
                <c:pt idx="0">
                  <c:v>Tiktok_MK~AE_TG</c:v>
                </c:pt>
                <c:pt idx="1">
                  <c:v>Tiktok_MK~KWT_TG</c:v>
                </c:pt>
                <c:pt idx="2">
                  <c:v>Tiktok_MK~RIY_TG</c:v>
                </c:pt>
                <c:pt idx="3">
                  <c:v>Tiktok_MK~BAH_TG</c:v>
                </c:pt>
                <c:pt idx="4">
                  <c:v>Tiktok_MK~QAT_TG</c:v>
                </c:pt>
                <c:pt idx="5">
                  <c:v>FBIG_MK~RIY_TG</c:v>
                </c:pt>
                <c:pt idx="6">
                  <c:v>Tiktok_MK~JED_TG</c:v>
                </c:pt>
                <c:pt idx="7">
                  <c:v>Tiktok_MK~OMA_TG</c:v>
                </c:pt>
              </c:strCache>
            </c:strRef>
          </c:cat>
          <c:val>
            <c:numRef>
              <c:f>Tiktok_pivot_table!$D$6:$D$14</c:f>
              <c:numCache>
                <c:formatCode>0.00%</c:formatCode>
                <c:ptCount val="8"/>
                <c:pt idx="0">
                  <c:v>1.6865627566443293</c:v>
                </c:pt>
                <c:pt idx="1">
                  <c:v>1.4160161187009479</c:v>
                </c:pt>
                <c:pt idx="2">
                  <c:v>0.95322434763730512</c:v>
                </c:pt>
                <c:pt idx="3">
                  <c:v>0.79789079752708447</c:v>
                </c:pt>
                <c:pt idx="4">
                  <c:v>0.70750019970997746</c:v>
                </c:pt>
                <c:pt idx="5">
                  <c:v>0.6349689709493167</c:v>
                </c:pt>
                <c:pt idx="6">
                  <c:v>0.60332693073121102</c:v>
                </c:pt>
                <c:pt idx="7">
                  <c:v>0</c:v>
                </c:pt>
              </c:numCache>
            </c:numRef>
          </c:val>
          <c:smooth val="0"/>
          <c:extLst>
            <c:ext xmlns:c16="http://schemas.microsoft.com/office/drawing/2014/chart" uri="{C3380CC4-5D6E-409C-BE32-E72D297353CC}">
              <c16:uniqueId val="{00000002-264C-4A4F-9782-C2C62AF98C6C}"/>
            </c:ext>
          </c:extLst>
        </c:ser>
        <c:dLbls>
          <c:showLegendKey val="0"/>
          <c:showVal val="0"/>
          <c:showCatName val="0"/>
          <c:showSerName val="0"/>
          <c:showPercent val="0"/>
          <c:showBubbleSize val="0"/>
        </c:dLbls>
        <c:marker val="1"/>
        <c:smooth val="0"/>
        <c:axId val="1113287344"/>
        <c:axId val="1113285680"/>
      </c:lineChart>
      <c:catAx>
        <c:axId val="1113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1113285680"/>
        <c:crosses val="autoZero"/>
        <c:auto val="1"/>
        <c:lblAlgn val="ctr"/>
        <c:lblOffset val="100"/>
        <c:noMultiLvlLbl val="0"/>
      </c:catAx>
      <c:valAx>
        <c:axId val="111328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13287344"/>
        <c:crosses val="autoZero"/>
        <c:crossBetween val="between"/>
      </c:valAx>
      <c:valAx>
        <c:axId val="135755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57553856"/>
        <c:crosses val="max"/>
        <c:crossBetween val="between"/>
      </c:valAx>
      <c:catAx>
        <c:axId val="1357553856"/>
        <c:scaling>
          <c:orientation val="minMax"/>
        </c:scaling>
        <c:delete val="1"/>
        <c:axPos val="b"/>
        <c:numFmt formatCode="General" sourceLinked="1"/>
        <c:majorTickMark val="out"/>
        <c:minorTickMark val="none"/>
        <c:tickLblPos val="nextTo"/>
        <c:crossAx val="1357558848"/>
        <c:crosses val="autoZero"/>
        <c:auto val="1"/>
        <c:lblAlgn val="ctr"/>
        <c:lblOffset val="100"/>
        <c:noMultiLvlLbl val="0"/>
      </c:catAx>
      <c:spPr>
        <a:noFill/>
        <a:ln>
          <a:noFill/>
        </a:ln>
        <a:effectLst/>
      </c:spPr>
    </c:plotArea>
    <c:legend>
      <c:legendPos val="t"/>
      <c:legendEntry>
        <c:idx val="2"/>
        <c:delete val="1"/>
      </c:legendEntry>
      <c:layout>
        <c:manualLayout>
          <c:xMode val="edge"/>
          <c:yMode val="edge"/>
          <c:x val="5.6373325636106364E-2"/>
          <c:y val="0.1061199631998825"/>
          <c:w val="0.85627273358624223"/>
          <c:h val="6.612877449561810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F005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Amount Spend On</a:t>
            </a:r>
            <a:r>
              <a:rPr lang="en-US" sz="1600" b="1" baseline="0">
                <a:solidFill>
                  <a:sysClr val="windowText" lastClr="000000"/>
                </a:solidFill>
              </a:rPr>
              <a:t> Each Target Group</a:t>
            </a:r>
          </a:p>
        </c:rich>
      </c:tx>
      <c:layout>
        <c:manualLayout>
          <c:xMode val="edge"/>
          <c:yMode val="edge"/>
          <c:x val="9.3494011218140868E-2"/>
          <c:y val="3.3195020746887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5.3400143163922692E-2"/>
          <c:y val="0.31930685459897623"/>
          <c:w val="0.5332508216531584"/>
          <c:h val="0.50231638172300275"/>
        </c:manualLayout>
      </c:layout>
      <c:pieChart>
        <c:varyColors val="1"/>
        <c:ser>
          <c:idx val="0"/>
          <c:order val="0"/>
          <c:tx>
            <c:strRef>
              <c:f>Tiktok_pivot_table!$B$51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6-4332-8208-6A667C50E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6-4332-8208-6A667C50E4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6-4332-8208-6A667C50E4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C6-4332-8208-6A667C50E4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C6-4332-8208-6A667C50E4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C6-4332-8208-6A667C50E4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C6-4332-8208-6A667C50E4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Tiktok_pivot_table!$A$52:$A$58</c:f>
              <c:strCache>
                <c:ptCount val="7"/>
                <c:pt idx="0">
                  <c:v>Bahrain Target Group</c:v>
                </c:pt>
                <c:pt idx="1">
                  <c:v>Jeddah Target Group</c:v>
                </c:pt>
                <c:pt idx="2">
                  <c:v>Kuwait Target Group</c:v>
                </c:pt>
                <c:pt idx="3">
                  <c:v>Oman Target Group</c:v>
                </c:pt>
                <c:pt idx="4">
                  <c:v>Qatar Target Group</c:v>
                </c:pt>
                <c:pt idx="5">
                  <c:v>RiyadhTarget Group</c:v>
                </c:pt>
                <c:pt idx="6">
                  <c:v>United Arab Emirates Target Group</c:v>
                </c:pt>
              </c:strCache>
            </c:strRef>
          </c:cat>
          <c:val>
            <c:numRef>
              <c:f>Tiktok_pivot_table!$B$52:$B$58</c:f>
              <c:numCache>
                <c:formatCode>0.000</c:formatCode>
                <c:ptCount val="7"/>
                <c:pt idx="0">
                  <c:v>1027.3</c:v>
                </c:pt>
                <c:pt idx="1">
                  <c:v>9672.0000000000018</c:v>
                </c:pt>
                <c:pt idx="2">
                  <c:v>4955.0300000000016</c:v>
                </c:pt>
                <c:pt idx="3">
                  <c:v>1031.32</c:v>
                </c:pt>
                <c:pt idx="4">
                  <c:v>3130.51</c:v>
                </c:pt>
                <c:pt idx="5">
                  <c:v>20588.279999999995</c:v>
                </c:pt>
                <c:pt idx="6">
                  <c:v>11788.130000000003</c:v>
                </c:pt>
              </c:numCache>
            </c:numRef>
          </c:val>
          <c:extLst>
            <c:ext xmlns:c16="http://schemas.microsoft.com/office/drawing/2014/chart" uri="{C3380CC4-5D6E-409C-BE32-E72D297353CC}">
              <c16:uniqueId val="{0000000E-BFC6-4332-8208-6A667C50E43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609393400604985"/>
          <c:y val="0.26191064514725715"/>
          <c:w val="0.22044565543676542"/>
          <c:h val="0.71212714432795343"/>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0050"/>
    </a:solidFill>
    <a:ln w="9525" cap="flat" cmpd="sng" algn="ctr">
      <a:solidFill>
        <a:srgbClr val="FF005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ysClr val="windowText" lastClr="000000"/>
                </a:solidFill>
              </a:rPr>
              <a:t>2-Second Video Views by Audience</a:t>
            </a:r>
            <a:endParaRPr lang="en-US" sz="1600" b="1" baseline="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9751CB"/>
          </a:solidFill>
          <a:ln>
            <a:noFill/>
          </a:ln>
          <a:effectLst/>
        </c:spPr>
        <c:marker>
          <c:symbol val="none"/>
        </c:marker>
      </c:pivotFmt>
      <c:pivotFmt>
        <c:idx val="4"/>
        <c:spPr>
          <a:solidFill>
            <a:srgbClr val="9751CB"/>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635658914728682E-2"/>
          <c:y val="0.1904541607095861"/>
          <c:w val="0.9147286821705426"/>
          <c:h val="0.66801101081876957"/>
        </c:manualLayout>
      </c:layout>
      <c:barChart>
        <c:barDir val="col"/>
        <c:grouping val="clustered"/>
        <c:varyColors val="0"/>
        <c:ser>
          <c:idx val="0"/>
          <c:order val="0"/>
          <c:tx>
            <c:strRef>
              <c:f>Tiktok_pivot_table!$B$66</c:f>
              <c:strCache>
                <c:ptCount val="1"/>
                <c:pt idx="0">
                  <c:v>Total</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Tiktok_pivot_table!$A$67:$A$68</c:f>
              <c:strCache>
                <c:ptCount val="2"/>
                <c:pt idx="0">
                  <c:v>Interests</c:v>
                </c:pt>
                <c:pt idx="1">
                  <c:v>CDP</c:v>
                </c:pt>
              </c:strCache>
            </c:strRef>
          </c:cat>
          <c:val>
            <c:numRef>
              <c:f>Tiktok_pivot_table!$B$67:$B$68</c:f>
              <c:numCache>
                <c:formatCode>0</c:formatCode>
                <c:ptCount val="2"/>
                <c:pt idx="0">
                  <c:v>50</c:v>
                </c:pt>
                <c:pt idx="1">
                  <c:v>22</c:v>
                </c:pt>
              </c:numCache>
            </c:numRef>
          </c:val>
          <c:extLst>
            <c:ext xmlns:c16="http://schemas.microsoft.com/office/drawing/2014/chart" uri="{C3380CC4-5D6E-409C-BE32-E72D297353CC}">
              <c16:uniqueId val="{00000000-EDF5-4B25-9D30-75CBB8A7A418}"/>
            </c:ext>
          </c:extLst>
        </c:ser>
        <c:dLbls>
          <c:dLblPos val="outEnd"/>
          <c:showLegendKey val="0"/>
          <c:showVal val="1"/>
          <c:showCatName val="0"/>
          <c:showSerName val="0"/>
          <c:showPercent val="0"/>
          <c:showBubbleSize val="0"/>
        </c:dLbls>
        <c:gapWidth val="182"/>
        <c:axId val="2128329935"/>
        <c:axId val="2128334927"/>
      </c:barChart>
      <c:catAx>
        <c:axId val="212832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8334927"/>
        <c:crosses val="autoZero"/>
        <c:auto val="1"/>
        <c:lblAlgn val="ctr"/>
        <c:lblOffset val="100"/>
        <c:noMultiLvlLbl val="0"/>
      </c:catAx>
      <c:valAx>
        <c:axId val="2128334927"/>
        <c:scaling>
          <c:orientation val="minMax"/>
        </c:scaling>
        <c:delete val="1"/>
        <c:axPos val="l"/>
        <c:numFmt formatCode="0" sourceLinked="1"/>
        <c:majorTickMark val="out"/>
        <c:minorTickMark val="none"/>
        <c:tickLblPos val="nextTo"/>
        <c:crossAx val="2128329935"/>
        <c:crosses val="autoZero"/>
        <c:crossBetween val="between"/>
      </c:valAx>
      <c:spPr>
        <a:noFill/>
        <a:ln>
          <a:noFill/>
        </a:ln>
        <a:effectLst/>
      </c:spPr>
    </c:plotArea>
    <c:plotVisOnly val="1"/>
    <c:dispBlanksAs val="gap"/>
    <c:showDLblsOverMax val="0"/>
  </c:chart>
  <c:spPr>
    <a:solidFill>
      <a:srgbClr val="FF0050"/>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Campaign.xlsx]meta_pivot!PivotTable12</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ysClr val="windowText" lastClr="000000"/>
                </a:solidFill>
                <a:effectLst/>
              </a:rPr>
              <a:t>Total Amount Spend On Each Target Group</a:t>
            </a:r>
            <a:endParaRPr lang="en-US">
              <a:solidFill>
                <a:sysClr val="windowText" lastClr="000000"/>
              </a:solidFill>
              <a:effectLst/>
            </a:endParaRPr>
          </a:p>
        </c:rich>
      </c:tx>
      <c:layout>
        <c:manualLayout>
          <c:xMode val="edge"/>
          <c:yMode val="edge"/>
          <c:x val="2.0762237194577478E-2"/>
          <c:y val="1.7825316946767429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2.0618556701031052E-2"/>
              <c:y val="-7.48663311764232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layout>
            <c:manualLayout>
              <c:x val="2.0618556701030927E-2"/>
              <c:y val="-4.27807606722418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134913548177609E-2"/>
          <c:y val="0.28913253586327448"/>
          <c:w val="0.55225397083096561"/>
          <c:h val="0.57292674019305789"/>
        </c:manualLayout>
      </c:layout>
      <c:pieChart>
        <c:varyColors val="1"/>
        <c:ser>
          <c:idx val="0"/>
          <c:order val="0"/>
          <c:tx>
            <c:strRef>
              <c:f>meta_pivot!$B$44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60-4741-BCE9-D132140766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60-4741-BCE9-D132140766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60-4741-BCE9-D132140766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60-4741-BCE9-D132140766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60-4741-BCE9-D132140766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60-4741-BCE9-D132140766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60-4741-BCE9-D132140766D4}"/>
              </c:ext>
            </c:extLst>
          </c:dPt>
          <c:dLbls>
            <c:dLbl>
              <c:idx val="2"/>
              <c:layout>
                <c:manualLayout>
                  <c:x val="-2.0618556701031052E-2"/>
                  <c:y val="-7.486633117642325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560-4741-BCE9-D132140766D4}"/>
                </c:ext>
              </c:extLst>
            </c:dLbl>
            <c:dLbl>
              <c:idx val="6"/>
              <c:layout>
                <c:manualLayout>
                  <c:x val="2.0618556701030927E-2"/>
                  <c:y val="-4.2780760672241826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9560-4741-BCE9-D132140766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meta_pivot!$A$45:$A$51</c:f>
              <c:strCache>
                <c:ptCount val="7"/>
                <c:pt idx="0">
                  <c:v>Bahrain Target Group</c:v>
                </c:pt>
                <c:pt idx="1">
                  <c:v>Jeddah Target Group</c:v>
                </c:pt>
                <c:pt idx="2">
                  <c:v>Kuwait Target Group</c:v>
                </c:pt>
                <c:pt idx="3">
                  <c:v>Oman Target Group</c:v>
                </c:pt>
                <c:pt idx="4">
                  <c:v>Qatar Target Group</c:v>
                </c:pt>
                <c:pt idx="5">
                  <c:v>Riyadh Target Group</c:v>
                </c:pt>
                <c:pt idx="6">
                  <c:v>United Arab Emirates Target Group</c:v>
                </c:pt>
              </c:strCache>
            </c:strRef>
          </c:cat>
          <c:val>
            <c:numRef>
              <c:f>meta_pivot!$B$45:$B$51</c:f>
              <c:numCache>
                <c:formatCode>0.0000</c:formatCode>
                <c:ptCount val="7"/>
                <c:pt idx="0">
                  <c:v>2592.0300000000002</c:v>
                </c:pt>
                <c:pt idx="1">
                  <c:v>7397.15</c:v>
                </c:pt>
                <c:pt idx="2">
                  <c:v>6441.14</c:v>
                </c:pt>
                <c:pt idx="3">
                  <c:v>2601.6999999999998</c:v>
                </c:pt>
                <c:pt idx="4">
                  <c:v>3808.15</c:v>
                </c:pt>
                <c:pt idx="5">
                  <c:v>15580.71</c:v>
                </c:pt>
                <c:pt idx="6">
                  <c:v>14692.65</c:v>
                </c:pt>
              </c:numCache>
            </c:numRef>
          </c:val>
          <c:extLst>
            <c:ext xmlns:c16="http://schemas.microsoft.com/office/drawing/2014/chart" uri="{C3380CC4-5D6E-409C-BE32-E72D297353CC}">
              <c16:uniqueId val="{0000000E-9560-4741-BCE9-D132140766D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71477663230240551"/>
          <c:y val="0.19654559393254281"/>
          <c:w val="0.25875612197959796"/>
          <c:h val="0.8034544060674572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5398BE"/>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Campaign.xlsx]meta_pivot!Performance</c:name>
    <c:fmtId val="1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tx1"/>
                </a:solidFill>
              </a:rPr>
              <a:t>Age Group Conversion Rate Analysis in Meta Ads</a:t>
            </a:r>
            <a:endParaRPr lang="en-US" sz="1600" b="1">
              <a:solidFill>
                <a:schemeClr val="tx1"/>
              </a:solidFill>
            </a:endParaRPr>
          </a:p>
        </c:rich>
      </c:tx>
      <c:layout>
        <c:manualLayout>
          <c:xMode val="edge"/>
          <c:yMode val="edge"/>
          <c:x val="0.12403282804705498"/>
          <c:y val="7.407402006851847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alpha val="9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alpha val="9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751CB">
              <a:alpha val="92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meta_pivot!$B$6</c:f>
              <c:strCache>
                <c:ptCount val="1"/>
                <c:pt idx="0">
                  <c:v>Total</c:v>
                </c:pt>
              </c:strCache>
            </c:strRef>
          </c:tx>
          <c:spPr>
            <a:solidFill>
              <a:srgbClr val="9751CB">
                <a:alpha val="9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meta_pivot!$A$7:$A$9</c:f>
              <c:strCache>
                <c:ptCount val="2"/>
                <c:pt idx="0">
                  <c:v>Boomers</c:v>
                </c:pt>
                <c:pt idx="1">
                  <c:v>Millennials</c:v>
                </c:pt>
              </c:strCache>
            </c:strRef>
          </c:cat>
          <c:val>
            <c:numRef>
              <c:f>meta_pivot!$B$7:$B$9</c:f>
              <c:numCache>
                <c:formatCode>0.0000</c:formatCode>
                <c:ptCount val="2"/>
                <c:pt idx="0">
                  <c:v>2.0489036953025404E-2</c:v>
                </c:pt>
                <c:pt idx="1">
                  <c:v>7.2367013013206844E-3</c:v>
                </c:pt>
              </c:numCache>
            </c:numRef>
          </c:val>
          <c:extLst>
            <c:ext xmlns:c16="http://schemas.microsoft.com/office/drawing/2014/chart" uri="{C3380CC4-5D6E-409C-BE32-E72D297353CC}">
              <c16:uniqueId val="{00000000-6B1C-4FC1-9A5A-243CB0CD02C1}"/>
            </c:ext>
          </c:extLst>
        </c:ser>
        <c:dLbls>
          <c:dLblPos val="inEnd"/>
          <c:showLegendKey val="0"/>
          <c:showVal val="1"/>
          <c:showCatName val="0"/>
          <c:showSerName val="0"/>
          <c:showPercent val="0"/>
          <c:showBubbleSize val="0"/>
        </c:dLbls>
        <c:gapWidth val="38"/>
        <c:axId val="1284388752"/>
        <c:axId val="1284390000"/>
      </c:barChart>
      <c:catAx>
        <c:axId val="128438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84390000"/>
        <c:crosses val="autoZero"/>
        <c:auto val="1"/>
        <c:lblAlgn val="ctr"/>
        <c:lblOffset val="100"/>
        <c:noMultiLvlLbl val="0"/>
      </c:catAx>
      <c:valAx>
        <c:axId val="1284390000"/>
        <c:scaling>
          <c:orientation val="minMax"/>
        </c:scaling>
        <c:delete val="1"/>
        <c:axPos val="b"/>
        <c:numFmt formatCode="0.0000" sourceLinked="1"/>
        <c:majorTickMark val="none"/>
        <c:minorTickMark val="none"/>
        <c:tickLblPos val="nextTo"/>
        <c:crossAx val="1284388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5398BE"/>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Campaign.xlsx]meta_pivot!PivotTable20</c:name>
    <c:fmtId val="7"/>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600" b="1" i="0" baseline="0">
                <a:solidFill>
                  <a:schemeClr val="tx1"/>
                </a:solidFill>
                <a:effectLst/>
              </a:rPr>
              <a:t>2-Second Video Views by Audience</a:t>
            </a:r>
            <a:endParaRPr lang="en-US" sz="1600">
              <a:solidFill>
                <a:schemeClr val="tx1"/>
              </a:solidFill>
              <a:effectLst/>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751CB"/>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meta_pivot!$B$56</c:f>
              <c:strCache>
                <c:ptCount val="1"/>
                <c:pt idx="0">
                  <c:v>Total</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meta_pivot!$A$57:$A$58</c:f>
              <c:strCache>
                <c:ptCount val="2"/>
                <c:pt idx="0">
                  <c:v>CDP</c:v>
                </c:pt>
                <c:pt idx="1">
                  <c:v>Interests</c:v>
                </c:pt>
              </c:strCache>
            </c:strRef>
          </c:cat>
          <c:val>
            <c:numRef>
              <c:f>meta_pivot!$B$57:$B$58</c:f>
              <c:numCache>
                <c:formatCode>0</c:formatCode>
                <c:ptCount val="2"/>
                <c:pt idx="0">
                  <c:v>115</c:v>
                </c:pt>
                <c:pt idx="1">
                  <c:v>311</c:v>
                </c:pt>
              </c:numCache>
            </c:numRef>
          </c:val>
          <c:extLst>
            <c:ext xmlns:c16="http://schemas.microsoft.com/office/drawing/2014/chart" uri="{C3380CC4-5D6E-409C-BE32-E72D297353CC}">
              <c16:uniqueId val="{00000000-716E-4BD6-8139-977F0CA9B499}"/>
            </c:ext>
          </c:extLst>
        </c:ser>
        <c:dLbls>
          <c:showLegendKey val="0"/>
          <c:showVal val="0"/>
          <c:showCatName val="0"/>
          <c:showSerName val="0"/>
          <c:showPercent val="0"/>
          <c:showBubbleSize val="0"/>
        </c:dLbls>
        <c:gapWidth val="219"/>
        <c:overlap val="-27"/>
        <c:axId val="179699935"/>
        <c:axId val="179706175"/>
      </c:barChart>
      <c:catAx>
        <c:axId val="1796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79706175"/>
        <c:crosses val="autoZero"/>
        <c:auto val="1"/>
        <c:lblAlgn val="ctr"/>
        <c:lblOffset val="100"/>
        <c:noMultiLvlLbl val="0"/>
      </c:catAx>
      <c:valAx>
        <c:axId val="179706175"/>
        <c:scaling>
          <c:orientation val="minMax"/>
        </c:scaling>
        <c:delete val="1"/>
        <c:axPos val="l"/>
        <c:numFmt formatCode="0" sourceLinked="1"/>
        <c:majorTickMark val="none"/>
        <c:minorTickMark val="none"/>
        <c:tickLblPos val="nextTo"/>
        <c:crossAx val="179699935"/>
        <c:crosses val="autoZero"/>
        <c:crossBetween val="between"/>
      </c:valAx>
      <c:spPr>
        <a:noFill/>
        <a:ln>
          <a:noFill/>
        </a:ln>
        <a:effectLst/>
      </c:spPr>
    </c:plotArea>
    <c:plotVisOnly val="1"/>
    <c:dispBlanksAs val="gap"/>
    <c:showDLblsOverMax val="0"/>
  </c:chart>
  <c:spPr>
    <a:solidFill>
      <a:srgbClr val="5398BE"/>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Campaign.xlsx]meta_pivot!PivotTable22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ysClr val="windowText" lastClr="000000"/>
                </a:solidFill>
                <a:effectLst/>
              </a:rPr>
              <a:t>Campaign Performance Analysis</a:t>
            </a:r>
            <a:r>
              <a:rPr lang="en-US" sz="1800" b="1" i="0" baseline="0">
                <a:effectLst/>
              </a:rPr>
              <a:t>  </a:t>
            </a:r>
            <a:endParaRPr lang="en-US">
              <a:effectLst/>
            </a:endParaRPr>
          </a:p>
        </c:rich>
      </c:tx>
      <c:layout>
        <c:manualLayout>
          <c:xMode val="edge"/>
          <c:yMode val="edge"/>
          <c:x val="0.1591041119860017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9751CB"/>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rgbClr val="9751CB"/>
          </a:solidFill>
          <a:ln>
            <a:noFill/>
          </a:ln>
          <a:effectLst/>
        </c:spPr>
        <c:marker>
          <c:symbol val="none"/>
        </c:marker>
      </c:pivotFmt>
      <c:pivotFmt>
        <c:idx val="7"/>
        <c:spPr>
          <a:ln w="28575" cap="rnd">
            <a:solidFill>
              <a:schemeClr val="accent1"/>
            </a:solidFill>
            <a:round/>
          </a:ln>
          <a:effectLst/>
        </c:spPr>
        <c:marker>
          <c:symbol val="none"/>
        </c:marker>
      </c:pivotFmt>
    </c:pivotFmts>
    <c:plotArea>
      <c:layout/>
      <c:barChart>
        <c:barDir val="col"/>
        <c:grouping val="clustered"/>
        <c:varyColors val="0"/>
        <c:ser>
          <c:idx val="0"/>
          <c:order val="0"/>
          <c:tx>
            <c:strRef>
              <c:f>meta_pivot!$B$70</c:f>
              <c:strCache>
                <c:ptCount val="1"/>
                <c:pt idx="0">
                  <c:v>Sum of Impressions</c:v>
                </c:pt>
              </c:strCache>
            </c:strRef>
          </c:tx>
          <c:spPr>
            <a:solidFill>
              <a:srgbClr val="9751CB"/>
            </a:solidFill>
            <a:ln>
              <a:noFill/>
            </a:ln>
            <a:effectLst/>
          </c:spPr>
          <c:invertIfNegative val="0"/>
          <c:cat>
            <c:strRef>
              <c:f>meta_pivot!$A$71:$A$77</c:f>
              <c:strCache>
                <c:ptCount val="7"/>
                <c:pt idx="0">
                  <c:v>Social_MK~AE_TG</c:v>
                </c:pt>
                <c:pt idx="1">
                  <c:v>Social_MK~BH_TG</c:v>
                </c:pt>
                <c:pt idx="2">
                  <c:v>Social_MK~JED_T</c:v>
                </c:pt>
                <c:pt idx="3">
                  <c:v>Social_MK~KW_TG</c:v>
                </c:pt>
                <c:pt idx="4">
                  <c:v>Social_MK~OM_TG</c:v>
                </c:pt>
                <c:pt idx="5">
                  <c:v>Social_MK~QA_TG</c:v>
                </c:pt>
                <c:pt idx="6">
                  <c:v>Social_MK~RIY_T</c:v>
                </c:pt>
              </c:strCache>
            </c:strRef>
          </c:cat>
          <c:val>
            <c:numRef>
              <c:f>meta_pivot!$B$71:$B$77</c:f>
              <c:numCache>
                <c:formatCode>0</c:formatCode>
                <c:ptCount val="7"/>
                <c:pt idx="0">
                  <c:v>25697326</c:v>
                </c:pt>
                <c:pt idx="1">
                  <c:v>6734331</c:v>
                </c:pt>
                <c:pt idx="2">
                  <c:v>16954833</c:v>
                </c:pt>
                <c:pt idx="3">
                  <c:v>14225287</c:v>
                </c:pt>
                <c:pt idx="4">
                  <c:v>9667669</c:v>
                </c:pt>
                <c:pt idx="5">
                  <c:v>10998366</c:v>
                </c:pt>
                <c:pt idx="6">
                  <c:v>22672907</c:v>
                </c:pt>
              </c:numCache>
            </c:numRef>
          </c:val>
          <c:extLst>
            <c:ext xmlns:c16="http://schemas.microsoft.com/office/drawing/2014/chart" uri="{C3380CC4-5D6E-409C-BE32-E72D297353CC}">
              <c16:uniqueId val="{00000000-68F7-4F44-B818-78BAFC9F03A9}"/>
            </c:ext>
          </c:extLst>
        </c:ser>
        <c:dLbls>
          <c:showLegendKey val="0"/>
          <c:showVal val="0"/>
          <c:showCatName val="0"/>
          <c:showSerName val="0"/>
          <c:showPercent val="0"/>
          <c:showBubbleSize val="0"/>
        </c:dLbls>
        <c:gapWidth val="219"/>
        <c:overlap val="-27"/>
        <c:axId val="179707839"/>
        <c:axId val="179726143"/>
      </c:barChart>
      <c:lineChart>
        <c:grouping val="standard"/>
        <c:varyColors val="0"/>
        <c:ser>
          <c:idx val="1"/>
          <c:order val="1"/>
          <c:tx>
            <c:strRef>
              <c:f>meta_pivot!$C$70</c:f>
              <c:strCache>
                <c:ptCount val="1"/>
                <c:pt idx="0">
                  <c:v>Sum of Link clicks</c:v>
                </c:pt>
              </c:strCache>
            </c:strRef>
          </c:tx>
          <c:spPr>
            <a:ln w="28575" cap="rnd">
              <a:solidFill>
                <a:schemeClr val="accent2"/>
              </a:solidFill>
              <a:round/>
            </a:ln>
            <a:effectLst/>
          </c:spPr>
          <c:marker>
            <c:symbol val="none"/>
          </c:marker>
          <c:cat>
            <c:strRef>
              <c:f>meta_pivot!$A$71:$A$77</c:f>
              <c:strCache>
                <c:ptCount val="7"/>
                <c:pt idx="0">
                  <c:v>Social_MK~AE_TG</c:v>
                </c:pt>
                <c:pt idx="1">
                  <c:v>Social_MK~BH_TG</c:v>
                </c:pt>
                <c:pt idx="2">
                  <c:v>Social_MK~JED_T</c:v>
                </c:pt>
                <c:pt idx="3">
                  <c:v>Social_MK~KW_TG</c:v>
                </c:pt>
                <c:pt idx="4">
                  <c:v>Social_MK~OM_TG</c:v>
                </c:pt>
                <c:pt idx="5">
                  <c:v>Social_MK~QA_TG</c:v>
                </c:pt>
                <c:pt idx="6">
                  <c:v>Social_MK~RIY_T</c:v>
                </c:pt>
              </c:strCache>
            </c:strRef>
          </c:cat>
          <c:val>
            <c:numRef>
              <c:f>meta_pivot!$C$71:$C$77</c:f>
              <c:numCache>
                <c:formatCode>0</c:formatCode>
                <c:ptCount val="7"/>
                <c:pt idx="0">
                  <c:v>97408</c:v>
                </c:pt>
                <c:pt idx="1">
                  <c:v>25975</c:v>
                </c:pt>
                <c:pt idx="2">
                  <c:v>69368</c:v>
                </c:pt>
                <c:pt idx="3">
                  <c:v>53632</c:v>
                </c:pt>
                <c:pt idx="4">
                  <c:v>34984</c:v>
                </c:pt>
                <c:pt idx="5">
                  <c:v>42010</c:v>
                </c:pt>
                <c:pt idx="6">
                  <c:v>95704</c:v>
                </c:pt>
              </c:numCache>
            </c:numRef>
          </c:val>
          <c:smooth val="0"/>
          <c:extLst>
            <c:ext xmlns:c16="http://schemas.microsoft.com/office/drawing/2014/chart" uri="{C3380CC4-5D6E-409C-BE32-E72D297353CC}">
              <c16:uniqueId val="{00000001-68F7-4F44-B818-78BAFC9F03A9}"/>
            </c:ext>
          </c:extLst>
        </c:ser>
        <c:dLbls>
          <c:showLegendKey val="0"/>
          <c:showVal val="0"/>
          <c:showCatName val="0"/>
          <c:showSerName val="0"/>
          <c:showPercent val="0"/>
          <c:showBubbleSize val="0"/>
        </c:dLbls>
        <c:marker val="1"/>
        <c:smooth val="0"/>
        <c:axId val="179714911"/>
        <c:axId val="179720735"/>
      </c:lineChart>
      <c:catAx>
        <c:axId val="1797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726143"/>
        <c:crosses val="autoZero"/>
        <c:auto val="1"/>
        <c:lblAlgn val="ctr"/>
        <c:lblOffset val="100"/>
        <c:noMultiLvlLbl val="0"/>
      </c:catAx>
      <c:valAx>
        <c:axId val="17972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707839"/>
        <c:crosses val="autoZero"/>
        <c:crossBetween val="between"/>
      </c:valAx>
      <c:valAx>
        <c:axId val="17972073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714911"/>
        <c:crosses val="max"/>
        <c:crossBetween val="between"/>
      </c:valAx>
      <c:catAx>
        <c:axId val="179714911"/>
        <c:scaling>
          <c:orientation val="minMax"/>
        </c:scaling>
        <c:delete val="1"/>
        <c:axPos val="b"/>
        <c:numFmt formatCode="General" sourceLinked="1"/>
        <c:majorTickMark val="out"/>
        <c:minorTickMark val="none"/>
        <c:tickLblPos val="nextTo"/>
        <c:crossAx val="179720735"/>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5398BE"/>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Campaign.xlsx]snap_pivot!PivotTable13</c:name>
    <c:fmtId val="5"/>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baseline="0">
                <a:solidFill>
                  <a:sysClr val="windowText" lastClr="000000"/>
                </a:solidFill>
                <a:effectLst/>
              </a:rPr>
              <a:t>Total Amount Spend On Each Target Group</a:t>
            </a:r>
            <a:endParaRPr lang="en-US" sz="1800">
              <a:solidFill>
                <a:sysClr val="windowText" lastClr="0000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sz="1800">
                <a:solidFill>
                  <a:sysClr val="windowText" lastClr="000000">
                    <a:lumMod val="65000"/>
                    <a:lumOff val="35000"/>
                  </a:sysClr>
                </a:solidFill>
              </a:defRPr>
            </a:pPr>
            <a:endParaRPr lang="en-US" sz="1800"/>
          </a:p>
        </c:rich>
      </c:tx>
      <c:layout>
        <c:manualLayout>
          <c:xMode val="edge"/>
          <c:yMode val="edge"/>
          <c:x val="8.4877786503102209E-2"/>
          <c:y val="1.1295369846724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dLbl>
          <c:idx val="0"/>
          <c:layout>
            <c:manualLayout>
              <c:x val="1.078167115902965E-2"/>
              <c:y val="0.24309392265193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pivotFmt>
    </c:pivotFmts>
    <c:plotArea>
      <c:layout>
        <c:manualLayout>
          <c:layoutTarget val="inner"/>
          <c:xMode val="edge"/>
          <c:yMode val="edge"/>
          <c:x val="4.6832636486476925E-2"/>
          <c:y val="0.25412044488914026"/>
          <c:w val="0.61253418794348824"/>
          <c:h val="0.62776293847247"/>
        </c:manualLayout>
      </c:layout>
      <c:pieChart>
        <c:varyColors val="1"/>
        <c:ser>
          <c:idx val="0"/>
          <c:order val="0"/>
          <c:tx>
            <c:strRef>
              <c:f>snap_pivot!$B$30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B3-4870-9B6C-240DD9EB7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B3-4870-9B6C-240DD9EB7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B3-4870-9B6C-240DD9EB7D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B3-4870-9B6C-240DD9EB7D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B3-4870-9B6C-240DD9EB7DD5}"/>
              </c:ext>
            </c:extLst>
          </c:dPt>
          <c:dLbls>
            <c:dLbl>
              <c:idx val="3"/>
              <c:layout>
                <c:manualLayout>
                  <c:x val="1.078167115902965E-2"/>
                  <c:y val="0.24309392265193369"/>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9B3-4870-9B6C-240DD9EB7D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snap_pivot!$A$31:$A$35</c:f>
              <c:strCache>
                <c:ptCount val="5"/>
                <c:pt idx="0">
                  <c:v>Jeddah Target Group</c:v>
                </c:pt>
                <c:pt idx="1">
                  <c:v>Kuwait Target Group</c:v>
                </c:pt>
                <c:pt idx="2">
                  <c:v>Qatar Target Group</c:v>
                </c:pt>
                <c:pt idx="3">
                  <c:v>Riyadh Target Group</c:v>
                </c:pt>
                <c:pt idx="4">
                  <c:v>United Arab Emirates Target Group</c:v>
                </c:pt>
              </c:strCache>
            </c:strRef>
          </c:cat>
          <c:val>
            <c:numRef>
              <c:f>snap_pivot!$B$31:$B$35</c:f>
              <c:numCache>
                <c:formatCode>0.000</c:formatCode>
                <c:ptCount val="5"/>
                <c:pt idx="0">
                  <c:v>6353.75</c:v>
                </c:pt>
                <c:pt idx="1">
                  <c:v>3740.4399999999996</c:v>
                </c:pt>
                <c:pt idx="2">
                  <c:v>1462.71</c:v>
                </c:pt>
                <c:pt idx="3">
                  <c:v>10953.659999999998</c:v>
                </c:pt>
                <c:pt idx="4">
                  <c:v>538.6400000000001</c:v>
                </c:pt>
              </c:numCache>
            </c:numRef>
          </c:val>
          <c:extLst>
            <c:ext xmlns:c16="http://schemas.microsoft.com/office/drawing/2014/chart" uri="{C3380CC4-5D6E-409C-BE32-E72D297353CC}">
              <c16:uniqueId val="{0000000A-79B3-4870-9B6C-240DD9EB7DD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739741907261601"/>
          <c:y val="0.19760909886264216"/>
          <c:w val="0.24482480314960631"/>
          <c:h val="0.7644486439195100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9B"/>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Campaign.xlsx]snap_pivot!PivotTable23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tx1"/>
                </a:solidFill>
                <a:effectLst/>
              </a:rPr>
              <a:t>Campaign Performance Analysis  </a:t>
            </a:r>
            <a:endParaRPr lang="en-US">
              <a:solidFill>
                <a:schemeClr val="tx1"/>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rgbClr val="9751CB"/>
          </a:solidFill>
          <a:ln>
            <a:noFill/>
          </a:ln>
          <a:effectLst/>
        </c:spPr>
        <c:marker>
          <c:symbol val="none"/>
        </c:marker>
      </c:pivotFmt>
      <c:pivotFmt>
        <c:idx val="7"/>
        <c:spPr>
          <a:ln w="28575" cap="rnd">
            <a:solidFill>
              <a:schemeClr val="accent1"/>
            </a:solidFill>
            <a:round/>
          </a:ln>
          <a:effectLst/>
        </c:spPr>
        <c:marker>
          <c:symbol val="none"/>
        </c:marker>
      </c:pivotFmt>
    </c:pivotFmts>
    <c:plotArea>
      <c:layout/>
      <c:barChart>
        <c:barDir val="col"/>
        <c:grouping val="clustered"/>
        <c:varyColors val="0"/>
        <c:ser>
          <c:idx val="0"/>
          <c:order val="0"/>
          <c:tx>
            <c:strRef>
              <c:f>snap_pivot!$B$40</c:f>
              <c:strCache>
                <c:ptCount val="1"/>
                <c:pt idx="0">
                  <c:v>Sum of Swipe Ups</c:v>
                </c:pt>
              </c:strCache>
            </c:strRef>
          </c:tx>
          <c:spPr>
            <a:solidFill>
              <a:srgbClr val="9751CB"/>
            </a:solidFill>
            <a:ln>
              <a:noFill/>
            </a:ln>
            <a:effectLst/>
          </c:spPr>
          <c:invertIfNegative val="0"/>
          <c:cat>
            <c:strRef>
              <c:f>snap_pivot!$A$41:$A$45</c:f>
              <c:strCache>
                <c:ptCount val="5"/>
                <c:pt idx="0">
                  <c:v>Jeddah Target Group</c:v>
                </c:pt>
                <c:pt idx="1">
                  <c:v>Kuwait Target Group</c:v>
                </c:pt>
                <c:pt idx="2">
                  <c:v>Qatar Target Group</c:v>
                </c:pt>
                <c:pt idx="3">
                  <c:v>Riyadh Target Group</c:v>
                </c:pt>
                <c:pt idx="4">
                  <c:v>United Arab Emirates Target Group</c:v>
                </c:pt>
              </c:strCache>
            </c:strRef>
          </c:cat>
          <c:val>
            <c:numRef>
              <c:f>snap_pivot!$B$41:$B$45</c:f>
              <c:numCache>
                <c:formatCode>0</c:formatCode>
                <c:ptCount val="5"/>
                <c:pt idx="0">
                  <c:v>16826</c:v>
                </c:pt>
                <c:pt idx="1">
                  <c:v>9270</c:v>
                </c:pt>
                <c:pt idx="2">
                  <c:v>2328</c:v>
                </c:pt>
                <c:pt idx="3">
                  <c:v>25351</c:v>
                </c:pt>
                <c:pt idx="4">
                  <c:v>1019</c:v>
                </c:pt>
              </c:numCache>
            </c:numRef>
          </c:val>
          <c:extLst>
            <c:ext xmlns:c16="http://schemas.microsoft.com/office/drawing/2014/chart" uri="{C3380CC4-5D6E-409C-BE32-E72D297353CC}">
              <c16:uniqueId val="{00000000-5F59-4626-948D-6CA52383A681}"/>
            </c:ext>
          </c:extLst>
        </c:ser>
        <c:dLbls>
          <c:showLegendKey val="0"/>
          <c:showVal val="0"/>
          <c:showCatName val="0"/>
          <c:showSerName val="0"/>
          <c:showPercent val="0"/>
          <c:showBubbleSize val="0"/>
        </c:dLbls>
        <c:gapWidth val="219"/>
        <c:overlap val="-27"/>
        <c:axId val="1627293807"/>
        <c:axId val="1627295887"/>
      </c:barChart>
      <c:lineChart>
        <c:grouping val="standard"/>
        <c:varyColors val="0"/>
        <c:ser>
          <c:idx val="1"/>
          <c:order val="1"/>
          <c:tx>
            <c:strRef>
              <c:f>snap_pivot!$C$40</c:f>
              <c:strCache>
                <c:ptCount val="1"/>
                <c:pt idx="0">
                  <c:v>Sum of Total Impressions</c:v>
                </c:pt>
              </c:strCache>
            </c:strRef>
          </c:tx>
          <c:spPr>
            <a:ln w="28575" cap="rnd">
              <a:solidFill>
                <a:schemeClr val="accent2"/>
              </a:solidFill>
              <a:round/>
            </a:ln>
            <a:effectLst/>
          </c:spPr>
          <c:marker>
            <c:symbol val="none"/>
          </c:marker>
          <c:cat>
            <c:strRef>
              <c:f>snap_pivot!$A$41:$A$45</c:f>
              <c:strCache>
                <c:ptCount val="5"/>
                <c:pt idx="0">
                  <c:v>Jeddah Target Group</c:v>
                </c:pt>
                <c:pt idx="1">
                  <c:v>Kuwait Target Group</c:v>
                </c:pt>
                <c:pt idx="2">
                  <c:v>Qatar Target Group</c:v>
                </c:pt>
                <c:pt idx="3">
                  <c:v>Riyadh Target Group</c:v>
                </c:pt>
                <c:pt idx="4">
                  <c:v>United Arab Emirates Target Group</c:v>
                </c:pt>
              </c:strCache>
            </c:strRef>
          </c:cat>
          <c:val>
            <c:numRef>
              <c:f>snap_pivot!$C$41:$C$45</c:f>
              <c:numCache>
                <c:formatCode>0</c:formatCode>
                <c:ptCount val="5"/>
                <c:pt idx="0">
                  <c:v>5077886</c:v>
                </c:pt>
                <c:pt idx="1">
                  <c:v>2236613</c:v>
                </c:pt>
                <c:pt idx="2">
                  <c:v>752485</c:v>
                </c:pt>
                <c:pt idx="3">
                  <c:v>8238747</c:v>
                </c:pt>
                <c:pt idx="4">
                  <c:v>447874</c:v>
                </c:pt>
              </c:numCache>
            </c:numRef>
          </c:val>
          <c:smooth val="0"/>
          <c:extLst>
            <c:ext xmlns:c16="http://schemas.microsoft.com/office/drawing/2014/chart" uri="{C3380CC4-5D6E-409C-BE32-E72D297353CC}">
              <c16:uniqueId val="{00000001-5F59-4626-948D-6CA52383A681}"/>
            </c:ext>
          </c:extLst>
        </c:ser>
        <c:dLbls>
          <c:showLegendKey val="0"/>
          <c:showVal val="0"/>
          <c:showCatName val="0"/>
          <c:showSerName val="0"/>
          <c:showPercent val="0"/>
          <c:showBubbleSize val="0"/>
        </c:dLbls>
        <c:marker val="1"/>
        <c:smooth val="0"/>
        <c:axId val="1627292143"/>
        <c:axId val="1627292559"/>
      </c:lineChart>
      <c:catAx>
        <c:axId val="16272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27295887"/>
        <c:crosses val="autoZero"/>
        <c:auto val="1"/>
        <c:lblAlgn val="ctr"/>
        <c:lblOffset val="100"/>
        <c:noMultiLvlLbl val="0"/>
      </c:catAx>
      <c:valAx>
        <c:axId val="1627295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27293807"/>
        <c:crosses val="autoZero"/>
        <c:crossBetween val="between"/>
      </c:valAx>
      <c:valAx>
        <c:axId val="162729255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27292143"/>
        <c:crosses val="max"/>
        <c:crossBetween val="between"/>
      </c:valAx>
      <c:catAx>
        <c:axId val="1627292143"/>
        <c:scaling>
          <c:orientation val="minMax"/>
        </c:scaling>
        <c:delete val="1"/>
        <c:axPos val="b"/>
        <c:numFmt formatCode="General" sourceLinked="1"/>
        <c:majorTickMark val="out"/>
        <c:minorTickMark val="none"/>
        <c:tickLblPos val="nextTo"/>
        <c:crossAx val="1627292559"/>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FF9B"/>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Campaign.xlsx]Tiktok_pivot_table!PivotTable18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Video Seen By Each</a:t>
            </a:r>
            <a:r>
              <a:rPr lang="en-US" baseline="0"/>
              <a:t> Audience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Tiktok_pivot_table!$B$66</c:f>
              <c:strCache>
                <c:ptCount val="1"/>
                <c:pt idx="0">
                  <c:v>Total</c:v>
                </c:pt>
              </c:strCache>
            </c:strRef>
          </c:tx>
          <c:spPr>
            <a:solidFill>
              <a:schemeClr val="accent1"/>
            </a:solidFill>
            <a:ln>
              <a:noFill/>
            </a:ln>
            <a:effectLst/>
          </c:spPr>
          <c:invertIfNegative val="0"/>
          <c:cat>
            <c:strRef>
              <c:f>Tiktok_pivot_table!$A$67:$A$68</c:f>
              <c:strCache>
                <c:ptCount val="2"/>
                <c:pt idx="0">
                  <c:v>Interests</c:v>
                </c:pt>
                <c:pt idx="1">
                  <c:v>CDP</c:v>
                </c:pt>
              </c:strCache>
            </c:strRef>
          </c:cat>
          <c:val>
            <c:numRef>
              <c:f>Tiktok_pivot_table!$B$67:$B$68</c:f>
              <c:numCache>
                <c:formatCode>0</c:formatCode>
                <c:ptCount val="2"/>
                <c:pt idx="0">
                  <c:v>50</c:v>
                </c:pt>
                <c:pt idx="1">
                  <c:v>22</c:v>
                </c:pt>
              </c:numCache>
            </c:numRef>
          </c:val>
          <c:extLst>
            <c:ext xmlns:c16="http://schemas.microsoft.com/office/drawing/2014/chart" uri="{C3380CC4-5D6E-409C-BE32-E72D297353CC}">
              <c16:uniqueId val="{00000000-84D9-4EC7-9585-2693F530EB74}"/>
            </c:ext>
          </c:extLst>
        </c:ser>
        <c:dLbls>
          <c:showLegendKey val="0"/>
          <c:showVal val="0"/>
          <c:showCatName val="0"/>
          <c:showSerName val="0"/>
          <c:showPercent val="0"/>
          <c:showBubbleSize val="0"/>
        </c:dLbls>
        <c:gapWidth val="182"/>
        <c:axId val="2128329935"/>
        <c:axId val="2128334927"/>
      </c:barChart>
      <c:catAx>
        <c:axId val="212832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334927"/>
        <c:crosses val="autoZero"/>
        <c:auto val="1"/>
        <c:lblAlgn val="ctr"/>
        <c:lblOffset val="100"/>
        <c:noMultiLvlLbl val="0"/>
      </c:catAx>
      <c:valAx>
        <c:axId val="21283349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3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Campaign.xlsx]snap_pivot!PivotTable1</c:name>
    <c:fmtId val="1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baseline="0">
                <a:solidFill>
                  <a:schemeClr val="tx1"/>
                </a:solidFill>
                <a:effectLst/>
              </a:rPr>
              <a:t>2-Second Video Views by Audience</a:t>
            </a:r>
            <a:endParaRPr lang="en-US" sz="1600">
              <a:solidFill>
                <a:schemeClr val="tx1"/>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0101990675823057"/>
          <c:y val="0"/>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751CB"/>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971080669710803E-2"/>
          <c:y val="0.18907933469642266"/>
          <c:w val="0.86605783866057839"/>
          <c:h val="0.72547584866808779"/>
        </c:manualLayout>
      </c:layout>
      <c:barChart>
        <c:barDir val="col"/>
        <c:grouping val="clustered"/>
        <c:varyColors val="0"/>
        <c:ser>
          <c:idx val="0"/>
          <c:order val="0"/>
          <c:tx>
            <c:strRef>
              <c:f>snap_pivot!$B$56</c:f>
              <c:strCache>
                <c:ptCount val="1"/>
                <c:pt idx="0">
                  <c:v>Total</c:v>
                </c:pt>
              </c:strCache>
            </c:strRef>
          </c:tx>
          <c:spPr>
            <a:solidFill>
              <a:srgbClr val="9751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snap_pivot!$A$57:$A$58</c:f>
              <c:strCache>
                <c:ptCount val="2"/>
                <c:pt idx="0">
                  <c:v>CDP</c:v>
                </c:pt>
                <c:pt idx="1">
                  <c:v>Interests</c:v>
                </c:pt>
              </c:strCache>
            </c:strRef>
          </c:cat>
          <c:val>
            <c:numRef>
              <c:f>snap_pivot!$B$57:$B$58</c:f>
              <c:numCache>
                <c:formatCode>0</c:formatCode>
                <c:ptCount val="2"/>
                <c:pt idx="0">
                  <c:v>16</c:v>
                </c:pt>
                <c:pt idx="1">
                  <c:v>37</c:v>
                </c:pt>
              </c:numCache>
            </c:numRef>
          </c:val>
          <c:extLst>
            <c:ext xmlns:c16="http://schemas.microsoft.com/office/drawing/2014/chart" uri="{C3380CC4-5D6E-409C-BE32-E72D297353CC}">
              <c16:uniqueId val="{00000000-6DB3-4BE7-A4DC-A0FD84890D64}"/>
            </c:ext>
          </c:extLst>
        </c:ser>
        <c:dLbls>
          <c:dLblPos val="outEnd"/>
          <c:showLegendKey val="0"/>
          <c:showVal val="1"/>
          <c:showCatName val="0"/>
          <c:showSerName val="0"/>
          <c:showPercent val="0"/>
          <c:showBubbleSize val="0"/>
        </c:dLbls>
        <c:gapWidth val="219"/>
        <c:overlap val="-27"/>
        <c:axId val="1508578655"/>
        <c:axId val="1508581151"/>
      </c:barChart>
      <c:catAx>
        <c:axId val="15085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08581151"/>
        <c:crosses val="autoZero"/>
        <c:auto val="1"/>
        <c:lblAlgn val="ctr"/>
        <c:lblOffset val="100"/>
        <c:noMultiLvlLbl val="0"/>
      </c:catAx>
      <c:valAx>
        <c:axId val="1508581151"/>
        <c:scaling>
          <c:orientation val="minMax"/>
        </c:scaling>
        <c:delete val="1"/>
        <c:axPos val="l"/>
        <c:numFmt formatCode="0" sourceLinked="1"/>
        <c:majorTickMark val="none"/>
        <c:minorTickMark val="none"/>
        <c:tickLblPos val="nextTo"/>
        <c:crossAx val="1508578655"/>
        <c:crosses val="autoZero"/>
        <c:crossBetween val="between"/>
      </c:valAx>
      <c:spPr>
        <a:noFill/>
        <a:ln>
          <a:noFill/>
        </a:ln>
        <a:effectLst/>
      </c:spPr>
    </c:plotArea>
    <c:plotVisOnly val="1"/>
    <c:dispBlanksAs val="gap"/>
    <c:showDLblsOverMax val="0"/>
  </c:chart>
  <c:spPr>
    <a:solidFill>
      <a:srgbClr val="FFFF9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Campaign.xlsx]meta_pivot!Performance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Age Group Conversion Rate Analysis in Meta Ads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meta_pivot!$B$6</c:f>
              <c:strCache>
                <c:ptCount val="1"/>
                <c:pt idx="0">
                  <c:v>Total</c:v>
                </c:pt>
              </c:strCache>
            </c:strRef>
          </c:tx>
          <c:spPr>
            <a:solidFill>
              <a:schemeClr val="accent1"/>
            </a:solidFill>
            <a:ln>
              <a:noFill/>
            </a:ln>
            <a:effectLst/>
            <a:sp3d/>
          </c:spPr>
          <c:invertIfNegative val="0"/>
          <c:cat>
            <c:strRef>
              <c:f>meta_pivot!$A$7:$A$9</c:f>
              <c:strCache>
                <c:ptCount val="2"/>
                <c:pt idx="0">
                  <c:v>Boomers</c:v>
                </c:pt>
                <c:pt idx="1">
                  <c:v>Millennials</c:v>
                </c:pt>
              </c:strCache>
            </c:strRef>
          </c:cat>
          <c:val>
            <c:numRef>
              <c:f>meta_pivot!$B$7:$B$9</c:f>
              <c:numCache>
                <c:formatCode>0.0000</c:formatCode>
                <c:ptCount val="2"/>
                <c:pt idx="0">
                  <c:v>2.0489036953025404E-2</c:v>
                </c:pt>
                <c:pt idx="1">
                  <c:v>7.2367013013206844E-3</c:v>
                </c:pt>
              </c:numCache>
            </c:numRef>
          </c:val>
          <c:extLst>
            <c:ext xmlns:c16="http://schemas.microsoft.com/office/drawing/2014/chart" uri="{C3380CC4-5D6E-409C-BE32-E72D297353CC}">
              <c16:uniqueId val="{00000000-F540-4361-B98D-09210317D2F6}"/>
            </c:ext>
          </c:extLst>
        </c:ser>
        <c:dLbls>
          <c:showLegendKey val="0"/>
          <c:showVal val="0"/>
          <c:showCatName val="0"/>
          <c:showSerName val="0"/>
          <c:showPercent val="0"/>
          <c:showBubbleSize val="0"/>
        </c:dLbls>
        <c:gapWidth val="150"/>
        <c:shape val="box"/>
        <c:axId val="1284388752"/>
        <c:axId val="1284390000"/>
        <c:axId val="0"/>
      </c:bar3DChart>
      <c:catAx>
        <c:axId val="128438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0000"/>
        <c:crosses val="autoZero"/>
        <c:auto val="1"/>
        <c:lblAlgn val="ctr"/>
        <c:lblOffset val="100"/>
        <c:noMultiLvlLbl val="0"/>
      </c:catAx>
      <c:valAx>
        <c:axId val="128439000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meta_pivot!$B$44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C4-4FEE-AA37-BBD8A6B833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C4-4FEE-AA37-BBD8A6B833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C4-4FEE-AA37-BBD8A6B833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C4-4FEE-AA37-BBD8A6B833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C4-4FEE-AA37-BBD8A6B833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C4-4FEE-AA37-BBD8A6B833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C4-4FEE-AA37-BBD8A6B83370}"/>
              </c:ext>
            </c:extLst>
          </c:dPt>
          <c:cat>
            <c:strRef>
              <c:f>meta_pivot!$A$45:$A$51</c:f>
              <c:strCache>
                <c:ptCount val="7"/>
                <c:pt idx="0">
                  <c:v>Bahrain Target Group</c:v>
                </c:pt>
                <c:pt idx="1">
                  <c:v>Jeddah Target Group</c:v>
                </c:pt>
                <c:pt idx="2">
                  <c:v>Kuwait Target Group</c:v>
                </c:pt>
                <c:pt idx="3">
                  <c:v>Oman Target Group</c:v>
                </c:pt>
                <c:pt idx="4">
                  <c:v>Qatar Target Group</c:v>
                </c:pt>
                <c:pt idx="5">
                  <c:v>Riyadh Target Group</c:v>
                </c:pt>
                <c:pt idx="6">
                  <c:v>United Arab Emirates Target Group</c:v>
                </c:pt>
              </c:strCache>
            </c:strRef>
          </c:cat>
          <c:val>
            <c:numRef>
              <c:f>meta_pivot!$B$45:$B$51</c:f>
              <c:numCache>
                <c:formatCode>0.0000</c:formatCode>
                <c:ptCount val="7"/>
                <c:pt idx="0">
                  <c:v>2592.0300000000002</c:v>
                </c:pt>
                <c:pt idx="1">
                  <c:v>7397.15</c:v>
                </c:pt>
                <c:pt idx="2">
                  <c:v>6441.14</c:v>
                </c:pt>
                <c:pt idx="3">
                  <c:v>2601.6999999999998</c:v>
                </c:pt>
                <c:pt idx="4">
                  <c:v>3808.15</c:v>
                </c:pt>
                <c:pt idx="5">
                  <c:v>15580.71</c:v>
                </c:pt>
                <c:pt idx="6">
                  <c:v>14692.65</c:v>
                </c:pt>
              </c:numCache>
            </c:numRef>
          </c:val>
          <c:extLst>
            <c:ext xmlns:c16="http://schemas.microsoft.com/office/drawing/2014/chart" uri="{C3380CC4-5D6E-409C-BE32-E72D297353CC}">
              <c16:uniqueId val="{00000000-1026-45B4-8985-444FB0F34D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Campaign.xlsx]meta_pivot!PivotTable20</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2-Second Video Views by Audience</a:t>
            </a:r>
            <a:endParaRPr lang="en-US" sz="1100">
              <a:effectLst/>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meta_pivot!$B$56</c:f>
              <c:strCache>
                <c:ptCount val="1"/>
                <c:pt idx="0">
                  <c:v>Total</c:v>
                </c:pt>
              </c:strCache>
            </c:strRef>
          </c:tx>
          <c:spPr>
            <a:solidFill>
              <a:schemeClr val="accent1"/>
            </a:solidFill>
            <a:ln>
              <a:noFill/>
            </a:ln>
            <a:effectLst/>
          </c:spPr>
          <c:invertIfNegative val="0"/>
          <c:cat>
            <c:strRef>
              <c:f>meta_pivot!$A$57:$A$58</c:f>
              <c:strCache>
                <c:ptCount val="2"/>
                <c:pt idx="0">
                  <c:v>CDP</c:v>
                </c:pt>
                <c:pt idx="1">
                  <c:v>Interests</c:v>
                </c:pt>
              </c:strCache>
            </c:strRef>
          </c:cat>
          <c:val>
            <c:numRef>
              <c:f>meta_pivot!$B$57:$B$58</c:f>
              <c:numCache>
                <c:formatCode>0</c:formatCode>
                <c:ptCount val="2"/>
                <c:pt idx="0">
                  <c:v>115</c:v>
                </c:pt>
                <c:pt idx="1">
                  <c:v>311</c:v>
                </c:pt>
              </c:numCache>
            </c:numRef>
          </c:val>
          <c:extLst>
            <c:ext xmlns:c16="http://schemas.microsoft.com/office/drawing/2014/chart" uri="{C3380CC4-5D6E-409C-BE32-E72D297353CC}">
              <c16:uniqueId val="{00000000-3104-4F36-A4CA-102F96317D19}"/>
            </c:ext>
          </c:extLst>
        </c:ser>
        <c:dLbls>
          <c:showLegendKey val="0"/>
          <c:showVal val="0"/>
          <c:showCatName val="0"/>
          <c:showSerName val="0"/>
          <c:showPercent val="0"/>
          <c:showBubbleSize val="0"/>
        </c:dLbls>
        <c:gapWidth val="219"/>
        <c:overlap val="-27"/>
        <c:axId val="179699935"/>
        <c:axId val="179706175"/>
      </c:barChart>
      <c:catAx>
        <c:axId val="1796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6175"/>
        <c:crosses val="autoZero"/>
        <c:auto val="1"/>
        <c:lblAlgn val="ctr"/>
        <c:lblOffset val="100"/>
        <c:noMultiLvlLbl val="0"/>
      </c:catAx>
      <c:valAx>
        <c:axId val="179706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9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Campaign.xlsx]meta_pivot!PivotTable22</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meta_pivot!$B$70</c:f>
              <c:strCache>
                <c:ptCount val="1"/>
                <c:pt idx="0">
                  <c:v>Sum of Impressions</c:v>
                </c:pt>
              </c:strCache>
            </c:strRef>
          </c:tx>
          <c:spPr>
            <a:solidFill>
              <a:schemeClr val="accent1"/>
            </a:solidFill>
            <a:ln>
              <a:noFill/>
            </a:ln>
            <a:effectLst/>
          </c:spPr>
          <c:invertIfNegative val="0"/>
          <c:cat>
            <c:strRef>
              <c:f>meta_pivot!$A$71:$A$77</c:f>
              <c:strCache>
                <c:ptCount val="7"/>
                <c:pt idx="0">
                  <c:v>Social_MK~AE_TG</c:v>
                </c:pt>
                <c:pt idx="1">
                  <c:v>Social_MK~BH_TG</c:v>
                </c:pt>
                <c:pt idx="2">
                  <c:v>Social_MK~JED_T</c:v>
                </c:pt>
                <c:pt idx="3">
                  <c:v>Social_MK~KW_TG</c:v>
                </c:pt>
                <c:pt idx="4">
                  <c:v>Social_MK~OM_TG</c:v>
                </c:pt>
                <c:pt idx="5">
                  <c:v>Social_MK~QA_TG</c:v>
                </c:pt>
                <c:pt idx="6">
                  <c:v>Social_MK~RIY_T</c:v>
                </c:pt>
              </c:strCache>
            </c:strRef>
          </c:cat>
          <c:val>
            <c:numRef>
              <c:f>meta_pivot!$B$71:$B$77</c:f>
              <c:numCache>
                <c:formatCode>0</c:formatCode>
                <c:ptCount val="7"/>
                <c:pt idx="0">
                  <c:v>25697326</c:v>
                </c:pt>
                <c:pt idx="1">
                  <c:v>6734331</c:v>
                </c:pt>
                <c:pt idx="2">
                  <c:v>16954833</c:v>
                </c:pt>
                <c:pt idx="3">
                  <c:v>14225287</c:v>
                </c:pt>
                <c:pt idx="4">
                  <c:v>9667669</c:v>
                </c:pt>
                <c:pt idx="5">
                  <c:v>10998366</c:v>
                </c:pt>
                <c:pt idx="6">
                  <c:v>22672907</c:v>
                </c:pt>
              </c:numCache>
            </c:numRef>
          </c:val>
          <c:extLst>
            <c:ext xmlns:c16="http://schemas.microsoft.com/office/drawing/2014/chart" uri="{C3380CC4-5D6E-409C-BE32-E72D297353CC}">
              <c16:uniqueId val="{00000000-6439-4D61-B69D-80C6E69882E0}"/>
            </c:ext>
          </c:extLst>
        </c:ser>
        <c:dLbls>
          <c:showLegendKey val="0"/>
          <c:showVal val="0"/>
          <c:showCatName val="0"/>
          <c:showSerName val="0"/>
          <c:showPercent val="0"/>
          <c:showBubbleSize val="0"/>
        </c:dLbls>
        <c:gapWidth val="219"/>
        <c:overlap val="-27"/>
        <c:axId val="179707839"/>
        <c:axId val="179726143"/>
      </c:barChart>
      <c:lineChart>
        <c:grouping val="standard"/>
        <c:varyColors val="0"/>
        <c:ser>
          <c:idx val="1"/>
          <c:order val="1"/>
          <c:tx>
            <c:strRef>
              <c:f>meta_pivot!$C$70</c:f>
              <c:strCache>
                <c:ptCount val="1"/>
                <c:pt idx="0">
                  <c:v>Sum of Link clicks</c:v>
                </c:pt>
              </c:strCache>
            </c:strRef>
          </c:tx>
          <c:spPr>
            <a:ln w="28575" cap="rnd">
              <a:solidFill>
                <a:schemeClr val="accent2"/>
              </a:solidFill>
              <a:round/>
            </a:ln>
            <a:effectLst/>
          </c:spPr>
          <c:marker>
            <c:symbol val="none"/>
          </c:marker>
          <c:cat>
            <c:strRef>
              <c:f>meta_pivot!$A$71:$A$77</c:f>
              <c:strCache>
                <c:ptCount val="7"/>
                <c:pt idx="0">
                  <c:v>Social_MK~AE_TG</c:v>
                </c:pt>
                <c:pt idx="1">
                  <c:v>Social_MK~BH_TG</c:v>
                </c:pt>
                <c:pt idx="2">
                  <c:v>Social_MK~JED_T</c:v>
                </c:pt>
                <c:pt idx="3">
                  <c:v>Social_MK~KW_TG</c:v>
                </c:pt>
                <c:pt idx="4">
                  <c:v>Social_MK~OM_TG</c:v>
                </c:pt>
                <c:pt idx="5">
                  <c:v>Social_MK~QA_TG</c:v>
                </c:pt>
                <c:pt idx="6">
                  <c:v>Social_MK~RIY_T</c:v>
                </c:pt>
              </c:strCache>
            </c:strRef>
          </c:cat>
          <c:val>
            <c:numRef>
              <c:f>meta_pivot!$C$71:$C$77</c:f>
              <c:numCache>
                <c:formatCode>0</c:formatCode>
                <c:ptCount val="7"/>
                <c:pt idx="0">
                  <c:v>97408</c:v>
                </c:pt>
                <c:pt idx="1">
                  <c:v>25975</c:v>
                </c:pt>
                <c:pt idx="2">
                  <c:v>69368</c:v>
                </c:pt>
                <c:pt idx="3">
                  <c:v>53632</c:v>
                </c:pt>
                <c:pt idx="4">
                  <c:v>34984</c:v>
                </c:pt>
                <c:pt idx="5">
                  <c:v>42010</c:v>
                </c:pt>
                <c:pt idx="6">
                  <c:v>95704</c:v>
                </c:pt>
              </c:numCache>
            </c:numRef>
          </c:val>
          <c:smooth val="0"/>
          <c:extLst>
            <c:ext xmlns:c16="http://schemas.microsoft.com/office/drawing/2014/chart" uri="{C3380CC4-5D6E-409C-BE32-E72D297353CC}">
              <c16:uniqueId val="{00000001-6439-4D61-B69D-80C6E69882E0}"/>
            </c:ext>
          </c:extLst>
        </c:ser>
        <c:dLbls>
          <c:showLegendKey val="0"/>
          <c:showVal val="0"/>
          <c:showCatName val="0"/>
          <c:showSerName val="0"/>
          <c:showPercent val="0"/>
          <c:showBubbleSize val="0"/>
        </c:dLbls>
        <c:marker val="1"/>
        <c:smooth val="0"/>
        <c:axId val="179714911"/>
        <c:axId val="179720735"/>
      </c:lineChart>
      <c:catAx>
        <c:axId val="1797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26143"/>
        <c:crosses val="autoZero"/>
        <c:auto val="1"/>
        <c:lblAlgn val="ctr"/>
        <c:lblOffset val="100"/>
        <c:noMultiLvlLbl val="0"/>
      </c:catAx>
      <c:valAx>
        <c:axId val="17972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7839"/>
        <c:crosses val="autoZero"/>
        <c:crossBetween val="between"/>
      </c:valAx>
      <c:valAx>
        <c:axId val="17972073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911"/>
        <c:crosses val="max"/>
        <c:crossBetween val="between"/>
      </c:valAx>
      <c:catAx>
        <c:axId val="179714911"/>
        <c:scaling>
          <c:orientation val="minMax"/>
        </c:scaling>
        <c:delete val="1"/>
        <c:axPos val="b"/>
        <c:numFmt formatCode="General" sourceLinked="1"/>
        <c:majorTickMark val="out"/>
        <c:minorTickMark val="none"/>
        <c:tickLblPos val="nextTo"/>
        <c:crossAx val="17972073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snap_pivot!$B$30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79-4C41-86DB-658417902B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79-4C41-86DB-658417902B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79-4C41-86DB-658417902B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79-4C41-86DB-658417902B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79-4C41-86DB-658417902B37}"/>
              </c:ext>
            </c:extLst>
          </c:dPt>
          <c:cat>
            <c:strRef>
              <c:f>snap_pivot!$A$31:$A$35</c:f>
              <c:strCache>
                <c:ptCount val="5"/>
                <c:pt idx="0">
                  <c:v>Jeddah Target Group</c:v>
                </c:pt>
                <c:pt idx="1">
                  <c:v>Kuwait Target Group</c:v>
                </c:pt>
                <c:pt idx="2">
                  <c:v>Qatar Target Group</c:v>
                </c:pt>
                <c:pt idx="3">
                  <c:v>Riyadh Target Group</c:v>
                </c:pt>
                <c:pt idx="4">
                  <c:v>United Arab Emirates Target Group</c:v>
                </c:pt>
              </c:strCache>
            </c:strRef>
          </c:cat>
          <c:val>
            <c:numRef>
              <c:f>snap_pivot!$B$31:$B$35</c:f>
              <c:numCache>
                <c:formatCode>0.000</c:formatCode>
                <c:ptCount val="5"/>
                <c:pt idx="0">
                  <c:v>6353.75</c:v>
                </c:pt>
                <c:pt idx="1">
                  <c:v>3740.4399999999996</c:v>
                </c:pt>
                <c:pt idx="2">
                  <c:v>1462.71</c:v>
                </c:pt>
                <c:pt idx="3">
                  <c:v>10953.659999999998</c:v>
                </c:pt>
                <c:pt idx="4">
                  <c:v>538.6400000000001</c:v>
                </c:pt>
              </c:numCache>
            </c:numRef>
          </c:val>
          <c:extLst>
            <c:ext xmlns:c16="http://schemas.microsoft.com/office/drawing/2014/chart" uri="{C3380CC4-5D6E-409C-BE32-E72D297353CC}">
              <c16:uniqueId val="{00000000-F1CC-4911-B1C7-3A9192C6BA4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868178027454171"/>
          <c:y val="8.0260742055130438E-2"/>
          <c:w val="0.32532731654157265"/>
          <c:h val="0.80715870023289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[Ramadan Campaign.xlsx]snap_pivot!PivotTable23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snap_pivot!$B$40</c:f>
              <c:strCache>
                <c:ptCount val="1"/>
                <c:pt idx="0">
                  <c:v>Sum of Swipe Ups</c:v>
                </c:pt>
              </c:strCache>
            </c:strRef>
          </c:tx>
          <c:spPr>
            <a:solidFill>
              <a:schemeClr val="accent1"/>
            </a:solidFill>
            <a:ln>
              <a:noFill/>
            </a:ln>
            <a:effectLst/>
          </c:spPr>
          <c:invertIfNegative val="0"/>
          <c:cat>
            <c:strRef>
              <c:f>snap_pivot!$A$41:$A$45</c:f>
              <c:strCache>
                <c:ptCount val="5"/>
                <c:pt idx="0">
                  <c:v>Jeddah Target Group</c:v>
                </c:pt>
                <c:pt idx="1">
                  <c:v>Kuwait Target Group</c:v>
                </c:pt>
                <c:pt idx="2">
                  <c:v>Qatar Target Group</c:v>
                </c:pt>
                <c:pt idx="3">
                  <c:v>Riyadh Target Group</c:v>
                </c:pt>
                <c:pt idx="4">
                  <c:v>United Arab Emirates Target Group</c:v>
                </c:pt>
              </c:strCache>
            </c:strRef>
          </c:cat>
          <c:val>
            <c:numRef>
              <c:f>snap_pivot!$B$41:$B$45</c:f>
              <c:numCache>
                <c:formatCode>0</c:formatCode>
                <c:ptCount val="5"/>
                <c:pt idx="0">
                  <c:v>16826</c:v>
                </c:pt>
                <c:pt idx="1">
                  <c:v>9270</c:v>
                </c:pt>
                <c:pt idx="2">
                  <c:v>2328</c:v>
                </c:pt>
                <c:pt idx="3">
                  <c:v>25351</c:v>
                </c:pt>
                <c:pt idx="4">
                  <c:v>1019</c:v>
                </c:pt>
              </c:numCache>
            </c:numRef>
          </c:val>
          <c:extLst>
            <c:ext xmlns:c16="http://schemas.microsoft.com/office/drawing/2014/chart" uri="{C3380CC4-5D6E-409C-BE32-E72D297353CC}">
              <c16:uniqueId val="{00000000-2F66-4847-AA9F-3D7E9A454169}"/>
            </c:ext>
          </c:extLst>
        </c:ser>
        <c:dLbls>
          <c:showLegendKey val="0"/>
          <c:showVal val="0"/>
          <c:showCatName val="0"/>
          <c:showSerName val="0"/>
          <c:showPercent val="0"/>
          <c:showBubbleSize val="0"/>
        </c:dLbls>
        <c:gapWidth val="219"/>
        <c:overlap val="-27"/>
        <c:axId val="1627293807"/>
        <c:axId val="1627295887"/>
      </c:barChart>
      <c:lineChart>
        <c:grouping val="standard"/>
        <c:varyColors val="0"/>
        <c:ser>
          <c:idx val="1"/>
          <c:order val="1"/>
          <c:tx>
            <c:strRef>
              <c:f>snap_pivot!$C$40</c:f>
              <c:strCache>
                <c:ptCount val="1"/>
                <c:pt idx="0">
                  <c:v>Sum of Total Impressions</c:v>
                </c:pt>
              </c:strCache>
            </c:strRef>
          </c:tx>
          <c:spPr>
            <a:ln w="28575" cap="rnd">
              <a:solidFill>
                <a:schemeClr val="accent2"/>
              </a:solidFill>
              <a:round/>
            </a:ln>
            <a:effectLst/>
          </c:spPr>
          <c:marker>
            <c:symbol val="none"/>
          </c:marker>
          <c:cat>
            <c:strRef>
              <c:f>snap_pivot!$A$41:$A$45</c:f>
              <c:strCache>
                <c:ptCount val="5"/>
                <c:pt idx="0">
                  <c:v>Jeddah Target Group</c:v>
                </c:pt>
                <c:pt idx="1">
                  <c:v>Kuwait Target Group</c:v>
                </c:pt>
                <c:pt idx="2">
                  <c:v>Qatar Target Group</c:v>
                </c:pt>
                <c:pt idx="3">
                  <c:v>Riyadh Target Group</c:v>
                </c:pt>
                <c:pt idx="4">
                  <c:v>United Arab Emirates Target Group</c:v>
                </c:pt>
              </c:strCache>
            </c:strRef>
          </c:cat>
          <c:val>
            <c:numRef>
              <c:f>snap_pivot!$C$41:$C$45</c:f>
              <c:numCache>
                <c:formatCode>0</c:formatCode>
                <c:ptCount val="5"/>
                <c:pt idx="0">
                  <c:v>5077886</c:v>
                </c:pt>
                <c:pt idx="1">
                  <c:v>2236613</c:v>
                </c:pt>
                <c:pt idx="2">
                  <c:v>752485</c:v>
                </c:pt>
                <c:pt idx="3">
                  <c:v>8238747</c:v>
                </c:pt>
                <c:pt idx="4">
                  <c:v>447874</c:v>
                </c:pt>
              </c:numCache>
            </c:numRef>
          </c:val>
          <c:smooth val="0"/>
          <c:extLst>
            <c:ext xmlns:c16="http://schemas.microsoft.com/office/drawing/2014/chart" uri="{C3380CC4-5D6E-409C-BE32-E72D297353CC}">
              <c16:uniqueId val="{00000001-2F66-4847-AA9F-3D7E9A454169}"/>
            </c:ext>
          </c:extLst>
        </c:ser>
        <c:dLbls>
          <c:showLegendKey val="0"/>
          <c:showVal val="0"/>
          <c:showCatName val="0"/>
          <c:showSerName val="0"/>
          <c:showPercent val="0"/>
          <c:showBubbleSize val="0"/>
        </c:dLbls>
        <c:marker val="1"/>
        <c:smooth val="0"/>
        <c:axId val="1627292143"/>
        <c:axId val="1627292559"/>
      </c:lineChart>
      <c:catAx>
        <c:axId val="16272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5887"/>
        <c:crosses val="autoZero"/>
        <c:auto val="1"/>
        <c:lblAlgn val="ctr"/>
        <c:lblOffset val="100"/>
        <c:noMultiLvlLbl val="0"/>
      </c:catAx>
      <c:valAx>
        <c:axId val="1627295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3807"/>
        <c:crosses val="autoZero"/>
        <c:crossBetween val="between"/>
      </c:valAx>
      <c:valAx>
        <c:axId val="162729255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2143"/>
        <c:crosses val="max"/>
        <c:crossBetween val="between"/>
      </c:valAx>
      <c:catAx>
        <c:axId val="1627292143"/>
        <c:scaling>
          <c:orientation val="minMax"/>
        </c:scaling>
        <c:delete val="1"/>
        <c:axPos val="b"/>
        <c:numFmt formatCode="General" sourceLinked="1"/>
        <c:majorTickMark val="out"/>
        <c:minorTickMark val="none"/>
        <c:tickLblPos val="nextTo"/>
        <c:crossAx val="162729255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19.xml"/><Relationship Id="rId3" Type="http://schemas.openxmlformats.org/officeDocument/2006/relationships/hyperlink" Target="#'meta dashboard'!A1"/><Relationship Id="rId7" Type="http://schemas.openxmlformats.org/officeDocument/2006/relationships/hyperlink" Target="#tiktok_dashboard!A1"/><Relationship Id="rId12"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snap_dashboard!A1"/><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hyperlink" Target="#Dashboard!A1"/><Relationship Id="rId1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6.png"/><Relationship Id="rId7" Type="http://schemas.openxmlformats.org/officeDocument/2006/relationships/image" Target="../media/image8.png"/><Relationship Id="rId12" Type="http://schemas.openxmlformats.org/officeDocument/2006/relationships/chart" Target="../charts/chart23.xml"/><Relationship Id="rId2" Type="http://schemas.openxmlformats.org/officeDocument/2006/relationships/hyperlink" Target="#'meta dashboard'!A1"/><Relationship Id="rId1" Type="http://schemas.openxmlformats.org/officeDocument/2006/relationships/chart" Target="../charts/chart21.xml"/><Relationship Id="rId6" Type="http://schemas.openxmlformats.org/officeDocument/2006/relationships/hyperlink" Target="#tiktok_dashboard!A1"/><Relationship Id="rId11" Type="http://schemas.openxmlformats.org/officeDocument/2006/relationships/image" Target="../media/image10.png"/><Relationship Id="rId5" Type="http://schemas.openxmlformats.org/officeDocument/2006/relationships/image" Target="../media/image7.png"/><Relationship Id="rId10" Type="http://schemas.openxmlformats.org/officeDocument/2006/relationships/chart" Target="../charts/chart22.xml"/><Relationship Id="rId4" Type="http://schemas.openxmlformats.org/officeDocument/2006/relationships/hyperlink" Target="#snap_dashboard!A1"/><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5.png"/><Relationship Id="rId3" Type="http://schemas.openxmlformats.org/officeDocument/2006/relationships/hyperlink" Target="#'meta dashboard'!A1"/><Relationship Id="rId7" Type="http://schemas.openxmlformats.org/officeDocument/2006/relationships/hyperlink" Target="#tiktok_dashboard!A1"/><Relationship Id="rId12" Type="http://schemas.openxmlformats.org/officeDocument/2006/relationships/chart" Target="../charts/chart27.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image" Target="../media/image12.png"/><Relationship Id="rId11" Type="http://schemas.openxmlformats.org/officeDocument/2006/relationships/chart" Target="../charts/chart26.xml"/><Relationship Id="rId5" Type="http://schemas.openxmlformats.org/officeDocument/2006/relationships/hyperlink" Target="#snap_dashboard!A1"/><Relationship Id="rId10" Type="http://schemas.openxmlformats.org/officeDocument/2006/relationships/image" Target="../media/image14.png"/><Relationship Id="rId4" Type="http://schemas.openxmlformats.org/officeDocument/2006/relationships/image" Target="../media/image11.png"/><Relationship Id="rId9" Type="http://schemas.openxmlformats.org/officeDocument/2006/relationships/hyperlink" Target="#Dashboard!A1"/></Relationships>
</file>

<file path=xl/drawings/_rels/drawing8.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6.png"/><Relationship Id="rId7" Type="http://schemas.openxmlformats.org/officeDocument/2006/relationships/image" Target="../media/image8.png"/><Relationship Id="rId12" Type="http://schemas.openxmlformats.org/officeDocument/2006/relationships/chart" Target="../charts/chart30.xml"/><Relationship Id="rId2" Type="http://schemas.openxmlformats.org/officeDocument/2006/relationships/hyperlink" Target="#'meta dashboard'!A1"/><Relationship Id="rId1" Type="http://schemas.openxmlformats.org/officeDocument/2006/relationships/chart" Target="../charts/chart28.xml"/><Relationship Id="rId6" Type="http://schemas.openxmlformats.org/officeDocument/2006/relationships/hyperlink" Target="#tiktok_dashboard!A1"/><Relationship Id="rId11" Type="http://schemas.openxmlformats.org/officeDocument/2006/relationships/chart" Target="../charts/chart29.xml"/><Relationship Id="rId5" Type="http://schemas.openxmlformats.org/officeDocument/2006/relationships/image" Target="../media/image7.png"/><Relationship Id="rId10" Type="http://schemas.openxmlformats.org/officeDocument/2006/relationships/image" Target="../media/image16.png"/><Relationship Id="rId4" Type="http://schemas.openxmlformats.org/officeDocument/2006/relationships/hyperlink" Target="#snap_dashboard!A1"/><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312419</xdr:colOff>
      <xdr:row>3</xdr:row>
      <xdr:rowOff>177165</xdr:rowOff>
    </xdr:from>
    <xdr:to>
      <xdr:col>15</xdr:col>
      <xdr:colOff>95250</xdr:colOff>
      <xdr:row>16</xdr:row>
      <xdr:rowOff>114300</xdr:rowOff>
    </xdr:to>
    <xdr:graphicFrame macro="">
      <xdr:nvGraphicFramePr>
        <xdr:cNvPr id="2" name="Chart 1">
          <a:extLst>
            <a:ext uri="{FF2B5EF4-FFF2-40B4-BE49-F238E27FC236}">
              <a16:creationId xmlns:a16="http://schemas.microsoft.com/office/drawing/2014/main" id="{6763C285-6DBE-4E5F-B02B-FEF766510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116205</xdr:colOff>
      <xdr:row>50</xdr:row>
      <xdr:rowOff>0</xdr:rowOff>
    </xdr:from>
    <xdr:to>
      <xdr:col>8</xdr:col>
      <xdr:colOff>30480</xdr:colOff>
      <xdr:row>64</xdr:row>
      <xdr:rowOff>95250</xdr:rowOff>
    </xdr:to>
    <xdr:graphicFrame macro="">
      <xdr:nvGraphicFramePr>
        <xdr:cNvPr id="3" name="Chart 2">
          <a:extLst>
            <a:ext uri="{FF2B5EF4-FFF2-40B4-BE49-F238E27FC236}">
              <a16:creationId xmlns:a16="http://schemas.microsoft.com/office/drawing/2014/main" id="{84E3DF03-C72A-498E-BB6C-48EF6F241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433387</xdr:colOff>
      <xdr:row>65</xdr:row>
      <xdr:rowOff>0</xdr:rowOff>
    </xdr:from>
    <xdr:to>
      <xdr:col>12</xdr:col>
      <xdr:colOff>442912</xdr:colOff>
      <xdr:row>76</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28575</xdr:colOff>
      <xdr:row>3</xdr:row>
      <xdr:rowOff>180975</xdr:rowOff>
    </xdr:from>
    <xdr:to>
      <xdr:col>21</xdr:col>
      <xdr:colOff>457200</xdr:colOff>
      <xdr:row>17</xdr:row>
      <xdr:rowOff>38100</xdr:rowOff>
    </xdr:to>
    <mc:AlternateContent xmlns:mc="http://schemas.openxmlformats.org/markup-compatibility/2006" xmlns:a14="http://schemas.microsoft.com/office/drawing/2010/main">
      <mc:Choice Requires="a14">
        <xdr:graphicFrame macro="">
          <xdr:nvGraphicFramePr>
            <xdr:cNvPr id="5" name="Target Group"/>
            <xdr:cNvGraphicFramePr/>
          </xdr:nvGraphicFramePr>
          <xdr:xfrm>
            <a:off x="0" y="0"/>
            <a:ext cx="0" cy="0"/>
          </xdr:xfrm>
          <a:graphic>
            <a:graphicData uri="http://schemas.microsoft.com/office/drawing/2010/slicer">
              <sle:slicer xmlns:sle="http://schemas.microsoft.com/office/drawing/2010/slicer" name="Target Group"/>
            </a:graphicData>
          </a:graphic>
        </xdr:graphicFrame>
      </mc:Choice>
      <mc:Fallback xmlns="">
        <xdr:sp macro="" textlink="">
          <xdr:nvSpPr>
            <xdr:cNvPr id="0" name=""/>
            <xdr:cNvSpPr>
              <a:spLocks noTextEdit="1"/>
            </xdr:cNvSpPr>
          </xdr:nvSpPr>
          <xdr:spPr>
            <a:xfrm>
              <a:off x="10915650"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114299</xdr:colOff>
      <xdr:row>3</xdr:row>
      <xdr:rowOff>152400</xdr:rowOff>
    </xdr:from>
    <xdr:to>
      <xdr:col>17</xdr:col>
      <xdr:colOff>457199</xdr:colOff>
      <xdr:row>17</xdr:row>
      <xdr:rowOff>9525</xdr:rowOff>
    </xdr:to>
    <mc:AlternateContent xmlns:mc="http://schemas.openxmlformats.org/markup-compatibility/2006" xmlns:a14="http://schemas.microsoft.com/office/drawing/2010/main">
      <mc:Choice Requires="a14">
        <xdr:graphicFrame macro="">
          <xdr:nvGraphicFramePr>
            <xdr:cNvPr id="8" name="Language "/>
            <xdr:cNvGraphicFramePr/>
          </xdr:nvGraphicFramePr>
          <xdr:xfrm>
            <a:off x="0" y="0"/>
            <a:ext cx="0" cy="0"/>
          </xdr:xfrm>
          <a:graphic>
            <a:graphicData uri="http://schemas.microsoft.com/office/drawing/2010/slicer">
              <sle:slicer xmlns:sle="http://schemas.microsoft.com/office/drawing/2010/slicer" name="Language "/>
            </a:graphicData>
          </a:graphic>
        </xdr:graphicFrame>
      </mc:Choice>
      <mc:Fallback xmlns="">
        <xdr:sp macro="" textlink="">
          <xdr:nvSpPr>
            <xdr:cNvPr id="0" name=""/>
            <xdr:cNvSpPr>
              <a:spLocks noTextEdit="1"/>
            </xdr:cNvSpPr>
          </xdr:nvSpPr>
          <xdr:spPr>
            <a:xfrm>
              <a:off x="10067924" y="704850"/>
              <a:ext cx="809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333375</xdr:colOff>
      <xdr:row>0</xdr:row>
      <xdr:rowOff>38100</xdr:rowOff>
    </xdr:from>
    <xdr:to>
      <xdr:col>10</xdr:col>
      <xdr:colOff>171450</xdr:colOff>
      <xdr:row>3</xdr:row>
      <xdr:rowOff>95250</xdr:rowOff>
    </xdr:to>
    <xdr:sp macro="[0]!refresh_tiktok_data" textlink="">
      <xdr:nvSpPr>
        <xdr:cNvPr id="12" name="Rectangle 11"/>
        <xdr:cNvSpPr/>
      </xdr:nvSpPr>
      <xdr:spPr>
        <a:xfrm>
          <a:off x="5781675" y="38100"/>
          <a:ext cx="1647825" cy="609600"/>
        </a:xfrm>
        <a:prstGeom prst="rect">
          <a:avLst/>
        </a:prstGeom>
        <a:solidFill>
          <a:srgbClr val="FF0050"/>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Refresh Pivot Table</a:t>
          </a:r>
        </a:p>
        <a:p>
          <a:pPr algn="ctr"/>
          <a:r>
            <a:rPr lang="en-US" sz="1400" b="1"/>
            <a:t>Button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3</xdr:row>
      <xdr:rowOff>163830</xdr:rowOff>
    </xdr:from>
    <xdr:to>
      <xdr:col>7</xdr:col>
      <xdr:colOff>342900</xdr:colOff>
      <xdr:row>14</xdr:row>
      <xdr:rowOff>83820</xdr:rowOff>
    </xdr:to>
    <xdr:graphicFrame macro="">
      <xdr:nvGraphicFramePr>
        <xdr:cNvPr id="3" name="Chart 2">
          <a:extLst>
            <a:ext uri="{FF2B5EF4-FFF2-40B4-BE49-F238E27FC236}">
              <a16:creationId xmlns:a16="http://schemas.microsoft.com/office/drawing/2014/main" id="{1C8E40D8-A04F-4B01-A7BC-846BAA460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670560</xdr:colOff>
      <xdr:row>42</xdr:row>
      <xdr:rowOff>175260</xdr:rowOff>
    </xdr:from>
    <xdr:to>
      <xdr:col>9</xdr:col>
      <xdr:colOff>220980</xdr:colOff>
      <xdr:row>52</xdr:row>
      <xdr:rowOff>148590</xdr:rowOff>
    </xdr:to>
    <xdr:graphicFrame macro="">
      <xdr:nvGraphicFramePr>
        <xdr:cNvPr id="4" name="Chart 3">
          <a:extLst>
            <a:ext uri="{FF2B5EF4-FFF2-40B4-BE49-F238E27FC236}">
              <a16:creationId xmlns:a16="http://schemas.microsoft.com/office/drawing/2014/main" id="{972AF968-482F-4E2A-92EB-8292FD552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538162</xdr:colOff>
      <xdr:row>55</xdr:row>
      <xdr:rowOff>114300</xdr:rowOff>
    </xdr:from>
    <xdr:to>
      <xdr:col>5</xdr:col>
      <xdr:colOff>190500</xdr:colOff>
      <xdr:row>64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347662</xdr:colOff>
      <xdr:row>69</xdr:row>
      <xdr:rowOff>28575</xdr:rowOff>
    </xdr:from>
    <xdr:to>
      <xdr:col>10</xdr:col>
      <xdr:colOff>119062</xdr:colOff>
      <xdr:row>83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323849</xdr:colOff>
      <xdr:row>4</xdr:row>
      <xdr:rowOff>28575</xdr:rowOff>
    </xdr:from>
    <xdr:to>
      <xdr:col>10</xdr:col>
      <xdr:colOff>123824</xdr:colOff>
      <xdr:row>13</xdr:row>
      <xdr:rowOff>95250</xdr:rowOff>
    </xdr:to>
    <mc:AlternateContent xmlns:mc="http://schemas.openxmlformats.org/markup-compatibility/2006" xmlns:a14="http://schemas.microsoft.com/office/drawing/2010/main">
      <mc:Choice Requires="a14">
        <xdr:graphicFrame macro="">
          <xdr:nvGraphicFramePr>
            <xdr:cNvPr id="6" name="Language"/>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6762749" y="790575"/>
              <a:ext cx="101917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285750</xdr:colOff>
      <xdr:row>3</xdr:row>
      <xdr:rowOff>171451</xdr:rowOff>
    </xdr:from>
    <xdr:to>
      <xdr:col>13</xdr:col>
      <xdr:colOff>285750</xdr:colOff>
      <xdr:row>15</xdr:row>
      <xdr:rowOff>152401</xdr:rowOff>
    </xdr:to>
    <mc:AlternateContent xmlns:mc="http://schemas.openxmlformats.org/markup-compatibility/2006" xmlns:a14="http://schemas.microsoft.com/office/drawing/2010/main">
      <mc:Choice Requires="a14">
        <xdr:graphicFrame macro="">
          <xdr:nvGraphicFramePr>
            <xdr:cNvPr id="7" name="Target Group 3"/>
            <xdr:cNvGraphicFramePr/>
          </xdr:nvGraphicFramePr>
          <xdr:xfrm>
            <a:off x="0" y="0"/>
            <a:ext cx="0" cy="0"/>
          </xdr:xfrm>
          <a:graphic>
            <a:graphicData uri="http://schemas.microsoft.com/office/drawing/2010/slicer">
              <sle:slicer xmlns:sle="http://schemas.microsoft.com/office/drawing/2010/slicer" name="Target Group 3"/>
            </a:graphicData>
          </a:graphic>
        </xdr:graphicFrame>
      </mc:Choice>
      <mc:Fallback xmlns="">
        <xdr:sp macro="" textlink="">
          <xdr:nvSpPr>
            <xdr:cNvPr id="0" name=""/>
            <xdr:cNvSpPr>
              <a:spLocks noTextEdit="1"/>
            </xdr:cNvSpPr>
          </xdr:nvSpPr>
          <xdr:spPr>
            <a:xfrm>
              <a:off x="7943850" y="742951"/>
              <a:ext cx="182880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419099</xdr:colOff>
      <xdr:row>0</xdr:row>
      <xdr:rowOff>28575</xdr:rowOff>
    </xdr:from>
    <xdr:to>
      <xdr:col>9</xdr:col>
      <xdr:colOff>333375</xdr:colOff>
      <xdr:row>3</xdr:row>
      <xdr:rowOff>66675</xdr:rowOff>
    </xdr:to>
    <xdr:sp macro="[0]!meta_data_refresh" textlink="">
      <xdr:nvSpPr>
        <xdr:cNvPr id="8" name="Rounded Rectangle 7"/>
        <xdr:cNvSpPr/>
      </xdr:nvSpPr>
      <xdr:spPr>
        <a:xfrm>
          <a:off x="5638799" y="28575"/>
          <a:ext cx="1743076" cy="609600"/>
        </a:xfrm>
        <a:prstGeom prst="roundRect">
          <a:avLst/>
        </a:prstGeom>
        <a:solidFill>
          <a:srgbClr val="5398BE"/>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Refresh</a:t>
          </a:r>
          <a:r>
            <a:rPr lang="en-US" sz="1400" b="1" baseline="0">
              <a:solidFill>
                <a:schemeClr val="bg1"/>
              </a:solidFill>
            </a:rPr>
            <a:t> Pivot Table Button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335279</xdr:colOff>
      <xdr:row>28</xdr:row>
      <xdr:rowOff>19050</xdr:rowOff>
    </xdr:from>
    <xdr:to>
      <xdr:col>4</xdr:col>
      <xdr:colOff>295274</xdr:colOff>
      <xdr:row>36</xdr:row>
      <xdr:rowOff>22860</xdr:rowOff>
    </xdr:to>
    <xdr:graphicFrame macro="">
      <xdr:nvGraphicFramePr>
        <xdr:cNvPr id="2" name="Chart 1">
          <a:extLst>
            <a:ext uri="{FF2B5EF4-FFF2-40B4-BE49-F238E27FC236}">
              <a16:creationId xmlns:a16="http://schemas.microsoft.com/office/drawing/2014/main" id="{D16E81D8-F15B-48E7-ADC8-E0F3AE28D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228599</xdr:colOff>
      <xdr:row>38</xdr:row>
      <xdr:rowOff>95250</xdr:rowOff>
    </xdr:from>
    <xdr:to>
      <xdr:col>5</xdr:col>
      <xdr:colOff>509586</xdr:colOff>
      <xdr:row>49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261937</xdr:colOff>
      <xdr:row>53</xdr:row>
      <xdr:rowOff>95250</xdr:rowOff>
    </xdr:from>
    <xdr:to>
      <xdr:col>4</xdr:col>
      <xdr:colOff>552450</xdr:colOff>
      <xdr:row>62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771525</xdr:colOff>
      <xdr:row>5</xdr:row>
      <xdr:rowOff>47626</xdr:rowOff>
    </xdr:from>
    <xdr:to>
      <xdr:col>6</xdr:col>
      <xdr:colOff>276225</xdr:colOff>
      <xdr:row>14</xdr:row>
      <xdr:rowOff>104776</xdr:rowOff>
    </xdr:to>
    <mc:AlternateContent xmlns:mc="http://schemas.openxmlformats.org/markup-compatibility/2006" xmlns:a14="http://schemas.microsoft.com/office/drawing/2010/main">
      <mc:Choice Requires="a14">
        <xdr:graphicFrame macro="">
          <xdr:nvGraphicFramePr>
            <xdr:cNvPr id="5" name="Target Group 5"/>
            <xdr:cNvGraphicFramePr/>
          </xdr:nvGraphicFramePr>
          <xdr:xfrm>
            <a:off x="0" y="0"/>
            <a:ext cx="0" cy="0"/>
          </xdr:xfrm>
          <a:graphic>
            <a:graphicData uri="http://schemas.microsoft.com/office/drawing/2010/slicer">
              <sle:slicer xmlns:sle="http://schemas.microsoft.com/office/drawing/2010/slicer" name="Target Group 5"/>
            </a:graphicData>
          </a:graphic>
        </xdr:graphicFrame>
      </mc:Choice>
      <mc:Fallback xmlns="">
        <xdr:sp macro="" textlink="">
          <xdr:nvSpPr>
            <xdr:cNvPr id="0" name=""/>
            <xdr:cNvSpPr>
              <a:spLocks noTextEdit="1"/>
            </xdr:cNvSpPr>
          </xdr:nvSpPr>
          <xdr:spPr>
            <a:xfrm>
              <a:off x="5638800" y="100012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5</xdr:row>
      <xdr:rowOff>28575</xdr:rowOff>
    </xdr:from>
    <xdr:to>
      <xdr:col>9</xdr:col>
      <xdr:colOff>485775</xdr:colOff>
      <xdr:row>14</xdr:row>
      <xdr:rowOff>152400</xdr:rowOff>
    </xdr:to>
    <mc:AlternateContent xmlns:mc="http://schemas.openxmlformats.org/markup-compatibility/2006" xmlns:a14="http://schemas.microsoft.com/office/drawing/2010/main">
      <mc:Choice Requires="a14">
        <xdr:graphicFrame macro="">
          <xdr:nvGraphicFramePr>
            <xdr:cNvPr id="6" name="Language 2"/>
            <xdr:cNvGraphicFramePr/>
          </xdr:nvGraphicFramePr>
          <xdr:xfrm>
            <a:off x="0" y="0"/>
            <a:ext cx="0" cy="0"/>
          </xdr:xfrm>
          <a:graphic>
            <a:graphicData uri="http://schemas.microsoft.com/office/drawing/2010/slicer">
              <sle:slicer xmlns:sle="http://schemas.microsoft.com/office/drawing/2010/slicer" name="Language 2"/>
            </a:graphicData>
          </a:graphic>
        </xdr:graphicFrame>
      </mc:Choice>
      <mc:Fallback xmlns="">
        <xdr:sp macro="" textlink="">
          <xdr:nvSpPr>
            <xdr:cNvPr id="0" name=""/>
            <xdr:cNvSpPr>
              <a:spLocks noTextEdit="1"/>
            </xdr:cNvSpPr>
          </xdr:nvSpPr>
          <xdr:spPr>
            <a:xfrm>
              <a:off x="7677150" y="98107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0</xdr:row>
      <xdr:rowOff>47625</xdr:rowOff>
    </xdr:from>
    <xdr:to>
      <xdr:col>5</xdr:col>
      <xdr:colOff>514350</xdr:colOff>
      <xdr:row>3</xdr:row>
      <xdr:rowOff>85725</xdr:rowOff>
    </xdr:to>
    <xdr:sp macro="[0]!refresh_snap_data" textlink="">
      <xdr:nvSpPr>
        <xdr:cNvPr id="7" name="Rounded Rectangle 6"/>
        <xdr:cNvSpPr/>
      </xdr:nvSpPr>
      <xdr:spPr>
        <a:xfrm>
          <a:off x="5343525" y="47625"/>
          <a:ext cx="1752600" cy="609600"/>
        </a:xfrm>
        <a:prstGeom prst="roundRect">
          <a:avLst/>
        </a:prstGeom>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Refresh Pivot Table</a:t>
          </a:r>
        </a:p>
        <a:p>
          <a:pPr algn="ctr"/>
          <a:r>
            <a:rPr lang="en-US" sz="1400" b="1"/>
            <a:t>Button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xdr:colOff>
      <xdr:row>1</xdr:row>
      <xdr:rowOff>38100</xdr:rowOff>
    </xdr:from>
    <xdr:to>
      <xdr:col>9</xdr:col>
      <xdr:colOff>480060</xdr:colOff>
      <xdr:row>9</xdr:row>
      <xdr:rowOff>121920</xdr:rowOff>
    </xdr:to>
    <xdr:graphicFrame macro="">
      <xdr:nvGraphicFramePr>
        <xdr:cNvPr id="2" name="Chart 1">
          <a:extLst>
            <a:ext uri="{FF2B5EF4-FFF2-40B4-BE49-F238E27FC236}">
              <a16:creationId xmlns:a16="http://schemas.microsoft.com/office/drawing/2014/main" id="{AF425817-1264-4C8A-BCE5-EF428142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18</xdr:row>
      <xdr:rowOff>9526</xdr:rowOff>
    </xdr:from>
    <xdr:to>
      <xdr:col>4</xdr:col>
      <xdr:colOff>971550</xdr:colOff>
      <xdr:row>25</xdr:row>
      <xdr:rowOff>161925</xdr:rowOff>
    </xdr:to>
    <xdr:graphicFrame macro="">
      <xdr:nvGraphicFramePr>
        <xdr:cNvPr id="3" name="Chart 2">
          <a:extLst>
            <a:ext uri="{FF2B5EF4-FFF2-40B4-BE49-F238E27FC236}">
              <a16:creationId xmlns:a16="http://schemas.microsoft.com/office/drawing/2014/main" id="{CBF838A7-6255-4503-819E-737F96916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28</xdr:row>
      <xdr:rowOff>9525</xdr:rowOff>
    </xdr:from>
    <xdr:to>
      <xdr:col>9</xdr:col>
      <xdr:colOff>323850</xdr:colOff>
      <xdr:row>36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609600</xdr:colOff>
      <xdr:row>38</xdr:row>
      <xdr:rowOff>9525</xdr:rowOff>
    </xdr:from>
    <xdr:to>
      <xdr:col>5</xdr:col>
      <xdr:colOff>285749</xdr:colOff>
      <xdr:row>44</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409576</xdr:colOff>
      <xdr:row>47</xdr:row>
      <xdr:rowOff>9525</xdr:rowOff>
    </xdr:from>
    <xdr:to>
      <xdr:col>4</xdr:col>
      <xdr:colOff>904876</xdr:colOff>
      <xdr:row>54</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133349</xdr:colOff>
      <xdr:row>4</xdr:row>
      <xdr:rowOff>152400</xdr:rowOff>
    </xdr:from>
    <xdr:to>
      <xdr:col>3</xdr:col>
      <xdr:colOff>501010</xdr:colOff>
      <xdr:row>8</xdr:row>
      <xdr:rowOff>27370</xdr:rowOff>
    </xdr:to>
    <xdr:grpSp>
      <xdr:nvGrpSpPr>
        <xdr:cNvPr id="8" name="Group 7">
          <a:extLst>
            <a:ext uri="{FF2B5EF4-FFF2-40B4-BE49-F238E27FC236}">
              <a16:creationId xmlns:a16="http://schemas.microsoft.com/office/drawing/2014/main" id="{FAC6BFD0-E727-49EB-B684-3BBECC52744F}"/>
            </a:ext>
          </a:extLst>
        </xdr:cNvPr>
        <xdr:cNvGrpSpPr/>
      </xdr:nvGrpSpPr>
      <xdr:grpSpPr>
        <a:xfrm>
          <a:off x="133349" y="838200"/>
          <a:ext cx="2196461" cy="636970"/>
          <a:chOff x="2388314" y="120554"/>
          <a:chExt cx="1702855" cy="633626"/>
        </a:xfrm>
        <a:effectLst>
          <a:outerShdw blurRad="50800" dist="38100" dir="2700000" algn="tl" rotWithShape="0">
            <a:prstClr val="black">
              <a:alpha val="40000"/>
            </a:prstClr>
          </a:outerShdw>
        </a:effectLst>
      </xdr:grpSpPr>
      <xdr:sp macro="" textlink="'Master Sheet'!B16">
        <xdr:nvSpPr>
          <xdr:cNvPr id="4" name="Rectangle: Rounded Corners 3">
            <a:extLst>
              <a:ext uri="{FF2B5EF4-FFF2-40B4-BE49-F238E27FC236}">
                <a16:creationId xmlns:a16="http://schemas.microsoft.com/office/drawing/2014/main" id="{F0B1075D-2ACF-45A7-AA29-1D99E706C661}"/>
              </a:ext>
            </a:extLst>
          </xdr:cNvPr>
          <xdr:cNvSpPr/>
        </xdr:nvSpPr>
        <xdr:spPr>
          <a:xfrm>
            <a:off x="2388314" y="120554"/>
            <a:ext cx="1175604" cy="633626"/>
          </a:xfrm>
          <a:prstGeom prst="roundRect">
            <a:avLst/>
          </a:prstGeom>
          <a:solidFill>
            <a:srgbClr val="5398BE">
              <a:alpha val="60000"/>
            </a:srgbClr>
          </a:solidFill>
          <a:ln>
            <a:solidFill>
              <a:srgbClr val="5398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21D09A2-B4A9-4EB9-9BD9-CCB7D9010ADA}" type="TxLink">
              <a:rPr lang="en-US" sz="2400" b="1" i="0" u="none" strike="noStrike">
                <a:solidFill>
                  <a:schemeClr val="bg1"/>
                </a:solidFill>
                <a:latin typeface="Calibri"/>
                <a:cs typeface="Calibri"/>
              </a:rPr>
              <a:pPr algn="ctr"/>
              <a:t> $128,355 </a:t>
            </a:fld>
            <a:endParaRPr lang="en-US" sz="2400" b="1">
              <a:solidFill>
                <a:schemeClr val="bg1"/>
              </a:solidFill>
            </a:endParaRPr>
          </a:p>
        </xdr:txBody>
      </xdr:sp>
      <xdr:sp macro="" textlink="">
        <xdr:nvSpPr>
          <xdr:cNvPr id="7" name="TextBox 6">
            <a:extLst>
              <a:ext uri="{FF2B5EF4-FFF2-40B4-BE49-F238E27FC236}">
                <a16:creationId xmlns:a16="http://schemas.microsoft.com/office/drawing/2014/main" id="{0ED97CBA-66CE-4AA7-97D4-F27C9E42B684}"/>
              </a:ext>
            </a:extLst>
          </xdr:cNvPr>
          <xdr:cNvSpPr txBox="1"/>
        </xdr:nvSpPr>
        <xdr:spPr>
          <a:xfrm>
            <a:off x="2530062" y="465732"/>
            <a:ext cx="1561107" cy="232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grpSp>
    <xdr:clientData/>
  </xdr:twoCellAnchor>
  <xdr:twoCellAnchor>
    <xdr:from>
      <xdr:col>0</xdr:col>
      <xdr:colOff>137163</xdr:colOff>
      <xdr:row>8</xdr:row>
      <xdr:rowOff>103358</xdr:rowOff>
    </xdr:from>
    <xdr:to>
      <xdr:col>3</xdr:col>
      <xdr:colOff>481966</xdr:colOff>
      <xdr:row>11</xdr:row>
      <xdr:rowOff>171450</xdr:rowOff>
    </xdr:to>
    <xdr:grpSp>
      <xdr:nvGrpSpPr>
        <xdr:cNvPr id="14" name="Group 13">
          <a:extLst>
            <a:ext uri="{FF2B5EF4-FFF2-40B4-BE49-F238E27FC236}">
              <a16:creationId xmlns:a16="http://schemas.microsoft.com/office/drawing/2014/main" id="{2F26BE61-CC1F-41C2-AF0E-401D8BA52DCB}"/>
            </a:ext>
          </a:extLst>
        </xdr:cNvPr>
        <xdr:cNvGrpSpPr/>
      </xdr:nvGrpSpPr>
      <xdr:grpSpPr>
        <a:xfrm>
          <a:off x="137163" y="1551158"/>
          <a:ext cx="2173603" cy="639592"/>
          <a:chOff x="2346960" y="236621"/>
          <a:chExt cx="1738532" cy="593676"/>
        </a:xfrm>
        <a:effectLst>
          <a:outerShdw blurRad="50800" dist="38100" dir="2700000" algn="tl" rotWithShape="0">
            <a:prstClr val="black">
              <a:alpha val="40000"/>
            </a:prstClr>
          </a:outerShdw>
        </a:effectLst>
      </xdr:grpSpPr>
      <xdr:sp macro="" textlink="'Master Sheet'!C16">
        <xdr:nvSpPr>
          <xdr:cNvPr id="15" name="Rectangle: Rounded Corners 14">
            <a:extLst>
              <a:ext uri="{FF2B5EF4-FFF2-40B4-BE49-F238E27FC236}">
                <a16:creationId xmlns:a16="http://schemas.microsoft.com/office/drawing/2014/main" id="{737D350D-D00B-459B-837E-E63ACD4D6C8B}"/>
              </a:ext>
            </a:extLst>
          </xdr:cNvPr>
          <xdr:cNvSpPr/>
        </xdr:nvSpPr>
        <xdr:spPr>
          <a:xfrm>
            <a:off x="2346960" y="236621"/>
            <a:ext cx="1216958" cy="593676"/>
          </a:xfrm>
          <a:prstGeom prst="roundRect">
            <a:avLst/>
          </a:prstGeom>
          <a:solidFill>
            <a:srgbClr val="5398BE">
              <a:alpha val="60000"/>
            </a:srgbClr>
          </a:solidFill>
          <a:ln>
            <a:solidFill>
              <a:srgbClr val="5398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E77BE8A-C4AF-4825-BE10-61DADCEE6AF8}" type="TxLink">
              <a:rPr lang="en-US" sz="2400" b="1" i="0" u="none" strike="noStrike">
                <a:solidFill>
                  <a:schemeClr val="bg1"/>
                </a:solidFill>
                <a:latin typeface="Calibri"/>
                <a:cs typeface="Calibri"/>
              </a:rPr>
              <a:pPr algn="ctr"/>
              <a:t>553263</a:t>
            </a:fld>
            <a:endParaRPr lang="en-US" sz="4800" b="1">
              <a:solidFill>
                <a:schemeClr val="bg1"/>
              </a:solidFill>
            </a:endParaRPr>
          </a:p>
        </xdr:txBody>
      </xdr:sp>
      <xdr:sp macro="" textlink="">
        <xdr:nvSpPr>
          <xdr:cNvPr id="16" name="TextBox 15">
            <a:extLst>
              <a:ext uri="{FF2B5EF4-FFF2-40B4-BE49-F238E27FC236}">
                <a16:creationId xmlns:a16="http://schemas.microsoft.com/office/drawing/2014/main" id="{F6ADD766-FCEF-46BD-8EB1-9057A6B883B1}"/>
              </a:ext>
            </a:extLst>
          </xdr:cNvPr>
          <xdr:cNvSpPr txBox="1"/>
        </xdr:nvSpPr>
        <xdr:spPr>
          <a:xfrm>
            <a:off x="2524385" y="528261"/>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Clicks</a:t>
            </a:r>
            <a:endParaRPr lang="en-US" sz="1400" b="1">
              <a:solidFill>
                <a:schemeClr val="tx1"/>
              </a:solidFill>
            </a:endParaRPr>
          </a:p>
        </xdr:txBody>
      </xdr:sp>
    </xdr:grpSp>
    <xdr:clientData/>
  </xdr:twoCellAnchor>
  <xdr:twoCellAnchor>
    <xdr:from>
      <xdr:col>0</xdr:col>
      <xdr:colOff>76198</xdr:colOff>
      <xdr:row>12</xdr:row>
      <xdr:rowOff>58998</xdr:rowOff>
    </xdr:from>
    <xdr:to>
      <xdr:col>2</xdr:col>
      <xdr:colOff>520063</xdr:colOff>
      <xdr:row>16</xdr:row>
      <xdr:rowOff>104775</xdr:rowOff>
    </xdr:to>
    <xdr:grpSp>
      <xdr:nvGrpSpPr>
        <xdr:cNvPr id="19" name="Group 18">
          <a:extLst>
            <a:ext uri="{FF2B5EF4-FFF2-40B4-BE49-F238E27FC236}">
              <a16:creationId xmlns:a16="http://schemas.microsoft.com/office/drawing/2014/main" id="{DC1CAA36-54EE-4BE2-92AC-D7C27D8ED65A}"/>
            </a:ext>
          </a:extLst>
        </xdr:cNvPr>
        <xdr:cNvGrpSpPr/>
      </xdr:nvGrpSpPr>
      <xdr:grpSpPr>
        <a:xfrm>
          <a:off x="76198" y="2268798"/>
          <a:ext cx="1663065" cy="807777"/>
          <a:chOff x="2179130" y="243391"/>
          <a:chExt cx="2229126" cy="999652"/>
        </a:xfrm>
        <a:effectLst>
          <a:outerShdw blurRad="50800" dist="38100" dir="2700000" algn="tl" rotWithShape="0">
            <a:prstClr val="black">
              <a:alpha val="40000"/>
            </a:prstClr>
          </a:outerShdw>
        </a:effectLst>
      </xdr:grpSpPr>
      <xdr:sp macro="" textlink="'Master Sheet'!D16">
        <xdr:nvSpPr>
          <xdr:cNvPr id="20" name="Rectangle: Rounded Corners 19">
            <a:extLst>
              <a:ext uri="{FF2B5EF4-FFF2-40B4-BE49-F238E27FC236}">
                <a16:creationId xmlns:a16="http://schemas.microsoft.com/office/drawing/2014/main" id="{880D8E81-3091-4C97-A107-AE4BAF1C1B17}"/>
              </a:ext>
            </a:extLst>
          </xdr:cNvPr>
          <xdr:cNvSpPr/>
        </xdr:nvSpPr>
        <xdr:spPr>
          <a:xfrm>
            <a:off x="2253180" y="243391"/>
            <a:ext cx="2080397" cy="881777"/>
          </a:xfrm>
          <a:prstGeom prst="roundRect">
            <a:avLst/>
          </a:prstGeom>
          <a:solidFill>
            <a:srgbClr val="5398BE">
              <a:alpha val="60000"/>
            </a:srgbClr>
          </a:solidFill>
          <a:ln>
            <a:solidFill>
              <a:srgbClr val="5398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887F99A-AD8F-4402-9850-FBC611323BF8}" type="TxLink">
              <a:rPr lang="en-US" sz="2400" b="1" i="0" u="none" strike="noStrike">
                <a:solidFill>
                  <a:schemeClr val="bg1"/>
                </a:solidFill>
                <a:latin typeface="Calibri"/>
                <a:cs typeface="Calibri"/>
              </a:rPr>
              <a:pPr algn="ctr"/>
              <a:t>344147</a:t>
            </a:fld>
            <a:endParaRPr lang="en-US" sz="8800" b="1">
              <a:solidFill>
                <a:schemeClr val="bg1"/>
              </a:solidFill>
            </a:endParaRPr>
          </a:p>
        </xdr:txBody>
      </xdr:sp>
      <xdr:sp macro="" textlink="">
        <xdr:nvSpPr>
          <xdr:cNvPr id="21" name="TextBox 20">
            <a:extLst>
              <a:ext uri="{FF2B5EF4-FFF2-40B4-BE49-F238E27FC236}">
                <a16:creationId xmlns:a16="http://schemas.microsoft.com/office/drawing/2014/main" id="{4465C48A-CCED-449C-B03F-7766D047E5F1}"/>
              </a:ext>
            </a:extLst>
          </xdr:cNvPr>
          <xdr:cNvSpPr txBox="1"/>
        </xdr:nvSpPr>
        <xdr:spPr>
          <a:xfrm>
            <a:off x="2179130" y="562999"/>
            <a:ext cx="2229126" cy="68004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Average </a:t>
            </a:r>
            <a:r>
              <a:rPr lang="en-US" sz="1200" b="1" baseline="0">
                <a:solidFill>
                  <a:schemeClr val="tx1"/>
                </a:solidFill>
              </a:rPr>
              <a:t>Impression</a:t>
            </a:r>
          </a:p>
          <a:p>
            <a:pPr algn="ctr"/>
            <a:r>
              <a:rPr lang="en-US" sz="1200" b="1" baseline="0">
                <a:solidFill>
                  <a:schemeClr val="tx1"/>
                </a:solidFill>
              </a:rPr>
              <a:t> Rate</a:t>
            </a:r>
            <a:endParaRPr lang="en-US" sz="1200" b="1">
              <a:solidFill>
                <a:schemeClr val="tx1"/>
              </a:solidFill>
            </a:endParaRPr>
          </a:p>
        </xdr:txBody>
      </xdr:sp>
    </xdr:grpSp>
    <xdr:clientData/>
  </xdr:twoCellAnchor>
  <xdr:twoCellAnchor>
    <xdr:from>
      <xdr:col>0</xdr:col>
      <xdr:colOff>171451</xdr:colOff>
      <xdr:row>16</xdr:row>
      <xdr:rowOff>99256</xdr:rowOff>
    </xdr:from>
    <xdr:to>
      <xdr:col>3</xdr:col>
      <xdr:colOff>360045</xdr:colOff>
      <xdr:row>19</xdr:row>
      <xdr:rowOff>180973</xdr:rowOff>
    </xdr:to>
    <xdr:grpSp>
      <xdr:nvGrpSpPr>
        <xdr:cNvPr id="22" name="Group 21">
          <a:extLst>
            <a:ext uri="{FF2B5EF4-FFF2-40B4-BE49-F238E27FC236}">
              <a16:creationId xmlns:a16="http://schemas.microsoft.com/office/drawing/2014/main" id="{DCFF36C1-1303-4513-8263-16E4C57776ED}"/>
            </a:ext>
          </a:extLst>
        </xdr:cNvPr>
        <xdr:cNvGrpSpPr/>
      </xdr:nvGrpSpPr>
      <xdr:grpSpPr>
        <a:xfrm>
          <a:off x="171451" y="3071056"/>
          <a:ext cx="2017394" cy="653217"/>
          <a:chOff x="2260271" y="210788"/>
          <a:chExt cx="1765456" cy="602570"/>
        </a:xfrm>
        <a:effectLst>
          <a:outerShdw blurRad="50800" dist="38100" dir="2700000" algn="tl" rotWithShape="0">
            <a:prstClr val="black">
              <a:alpha val="40000"/>
            </a:prstClr>
          </a:outerShdw>
        </a:effectLst>
      </xdr:grpSpPr>
      <xdr:sp macro="" textlink="'Master Sheet'!E16">
        <xdr:nvSpPr>
          <xdr:cNvPr id="23" name="Rectangle: Rounded Corners 22">
            <a:extLst>
              <a:ext uri="{FF2B5EF4-FFF2-40B4-BE49-F238E27FC236}">
                <a16:creationId xmlns:a16="http://schemas.microsoft.com/office/drawing/2014/main" id="{416355C6-A73E-42C7-81CC-1856BC895A84}"/>
              </a:ext>
            </a:extLst>
          </xdr:cNvPr>
          <xdr:cNvSpPr/>
        </xdr:nvSpPr>
        <xdr:spPr>
          <a:xfrm>
            <a:off x="2260271" y="210788"/>
            <a:ext cx="1327008" cy="561304"/>
          </a:xfrm>
          <a:prstGeom prst="roundRect">
            <a:avLst/>
          </a:prstGeom>
          <a:solidFill>
            <a:srgbClr val="5398BE">
              <a:alpha val="60000"/>
            </a:srgbClr>
          </a:solidFill>
          <a:ln>
            <a:solidFill>
              <a:srgbClr val="5398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20509CE-D660-462E-88ED-EAED01C1607C}" type="TxLink">
              <a:rPr lang="en-US" sz="2400" b="1" i="0" u="none" strike="noStrike">
                <a:solidFill>
                  <a:schemeClr val="bg1"/>
                </a:solidFill>
                <a:latin typeface="Calibri"/>
                <a:cs typeface="Calibri"/>
              </a:rPr>
              <a:pPr algn="ctr"/>
              <a:t>86304247</a:t>
            </a:fld>
            <a:endParaRPr lang="en-US" sz="23900" b="1">
              <a:solidFill>
                <a:schemeClr val="bg1"/>
              </a:solidFill>
            </a:endParaRPr>
          </a:p>
        </xdr:txBody>
      </xdr:sp>
      <xdr:sp macro="" textlink="">
        <xdr:nvSpPr>
          <xdr:cNvPr id="24" name="TextBox 23">
            <a:extLst>
              <a:ext uri="{FF2B5EF4-FFF2-40B4-BE49-F238E27FC236}">
                <a16:creationId xmlns:a16="http://schemas.microsoft.com/office/drawing/2014/main" id="{4CF68F5F-A51D-46EA-A78F-ABC403849ECB}"/>
              </a:ext>
            </a:extLst>
          </xdr:cNvPr>
          <xdr:cNvSpPr txBox="1"/>
        </xdr:nvSpPr>
        <xdr:spPr>
          <a:xfrm>
            <a:off x="2464620" y="514236"/>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Reach</a:t>
            </a:r>
            <a:endParaRPr lang="en-US" sz="1400" b="1">
              <a:solidFill>
                <a:schemeClr val="tx1"/>
              </a:solidFill>
            </a:endParaRPr>
          </a:p>
        </xdr:txBody>
      </xdr:sp>
    </xdr:grpSp>
    <xdr:clientData/>
  </xdr:twoCellAnchor>
  <xdr:twoCellAnchor>
    <xdr:from>
      <xdr:col>3</xdr:col>
      <xdr:colOff>198120</xdr:colOff>
      <xdr:row>5</xdr:row>
      <xdr:rowOff>53340</xdr:rowOff>
    </xdr:from>
    <xdr:to>
      <xdr:col>9</xdr:col>
      <xdr:colOff>137160</xdr:colOff>
      <xdr:row>14</xdr:row>
      <xdr:rowOff>9525</xdr:rowOff>
    </xdr:to>
    <xdr:graphicFrame macro="">
      <xdr:nvGraphicFramePr>
        <xdr:cNvPr id="25" name="Chart 24">
          <a:extLst>
            <a:ext uri="{FF2B5EF4-FFF2-40B4-BE49-F238E27FC236}">
              <a16:creationId xmlns:a16="http://schemas.microsoft.com/office/drawing/2014/main" id="{88BB47AE-D22E-4800-B54A-0E8CBAEC6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163830</xdr:colOff>
      <xdr:row>20</xdr:row>
      <xdr:rowOff>44059</xdr:rowOff>
    </xdr:from>
    <xdr:to>
      <xdr:col>3</xdr:col>
      <xdr:colOff>232415</xdr:colOff>
      <xdr:row>23</xdr:row>
      <xdr:rowOff>20953</xdr:rowOff>
    </xdr:to>
    <xdr:grpSp>
      <xdr:nvGrpSpPr>
        <xdr:cNvPr id="27" name="Group 26">
          <a:extLst>
            <a:ext uri="{FF2B5EF4-FFF2-40B4-BE49-F238E27FC236}">
              <a16:creationId xmlns:a16="http://schemas.microsoft.com/office/drawing/2014/main" id="{CBDF6640-F2B1-4C6E-8C21-86DB2685BDF0}"/>
            </a:ext>
          </a:extLst>
        </xdr:cNvPr>
        <xdr:cNvGrpSpPr/>
      </xdr:nvGrpSpPr>
      <xdr:grpSpPr>
        <a:xfrm>
          <a:off x="163830" y="3777859"/>
          <a:ext cx="1897385" cy="548394"/>
          <a:chOff x="2280273" y="237838"/>
          <a:chExt cx="1660433" cy="572071"/>
        </a:xfrm>
        <a:effectLst>
          <a:outerShdw blurRad="50800" dist="38100" dir="2700000" algn="tl" rotWithShape="0">
            <a:prstClr val="black">
              <a:alpha val="40000"/>
            </a:prstClr>
          </a:outerShdw>
        </a:effectLst>
      </xdr:grpSpPr>
      <xdr:sp macro="" textlink="">
        <xdr:nvSpPr>
          <xdr:cNvPr id="28" name="Rectangle: Rounded Corners 27">
            <a:extLst>
              <a:ext uri="{FF2B5EF4-FFF2-40B4-BE49-F238E27FC236}">
                <a16:creationId xmlns:a16="http://schemas.microsoft.com/office/drawing/2014/main" id="{5BCFFFE2-B01D-41F1-894E-AFBDB2683D7C}"/>
              </a:ext>
            </a:extLst>
          </xdr:cNvPr>
          <xdr:cNvSpPr/>
        </xdr:nvSpPr>
        <xdr:spPr>
          <a:xfrm>
            <a:off x="2280273" y="237838"/>
            <a:ext cx="1340345" cy="562406"/>
          </a:xfrm>
          <a:prstGeom prst="roundRect">
            <a:avLst/>
          </a:prstGeom>
          <a:solidFill>
            <a:srgbClr val="5398BE">
              <a:alpha val="60000"/>
            </a:srgbClr>
          </a:solidFill>
          <a:ln>
            <a:solidFill>
              <a:srgbClr val="5398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bg1"/>
                </a:solidFill>
                <a:latin typeface="Calibri"/>
                <a:cs typeface="Calibri"/>
              </a:rPr>
              <a:t>2</a:t>
            </a:r>
            <a:endParaRPr lang="en-US" sz="1100" b="1" i="0" u="none" strike="noStrike">
              <a:solidFill>
                <a:schemeClr val="bg1"/>
              </a:solidFill>
              <a:latin typeface="Calibri"/>
              <a:cs typeface="Calibri"/>
            </a:endParaRPr>
          </a:p>
        </xdr:txBody>
      </xdr:sp>
      <xdr:sp macro="" textlink="">
        <xdr:nvSpPr>
          <xdr:cNvPr id="29" name="TextBox 28">
            <a:extLst>
              <a:ext uri="{FF2B5EF4-FFF2-40B4-BE49-F238E27FC236}">
                <a16:creationId xmlns:a16="http://schemas.microsoft.com/office/drawing/2014/main" id="{48B3C276-18BF-4339-8545-BFCADFC210E4}"/>
              </a:ext>
            </a:extLst>
          </xdr:cNvPr>
          <xdr:cNvSpPr txBox="1"/>
        </xdr:nvSpPr>
        <xdr:spPr>
          <a:xfrm>
            <a:off x="2379599" y="510787"/>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Language</a:t>
            </a:r>
            <a:endParaRPr lang="en-US" sz="1400" b="1">
              <a:solidFill>
                <a:schemeClr val="tx1"/>
              </a:solidFill>
            </a:endParaRPr>
          </a:p>
        </xdr:txBody>
      </xdr:sp>
    </xdr:grpSp>
    <xdr:clientData/>
  </xdr:twoCellAnchor>
  <xdr:twoCellAnchor>
    <xdr:from>
      <xdr:col>3</xdr:col>
      <xdr:colOff>19050</xdr:colOff>
      <xdr:row>5</xdr:row>
      <xdr:rowOff>66675</xdr:rowOff>
    </xdr:from>
    <xdr:to>
      <xdr:col>3</xdr:col>
      <xdr:colOff>64770</xdr:colOff>
      <xdr:row>23</xdr:row>
      <xdr:rowOff>26670</xdr:rowOff>
    </xdr:to>
    <xdr:cxnSp macro="">
      <xdr:nvCxnSpPr>
        <xdr:cNvPr id="32" name="Straight Connector 31">
          <a:extLst>
            <a:ext uri="{FF2B5EF4-FFF2-40B4-BE49-F238E27FC236}">
              <a16:creationId xmlns:a16="http://schemas.microsoft.com/office/drawing/2014/main" id="{3C181E47-4048-4B07-9907-353101E146C2}"/>
            </a:ext>
          </a:extLst>
        </xdr:cNvPr>
        <xdr:cNvCxnSpPr/>
      </xdr:nvCxnSpPr>
      <xdr:spPr>
        <a:xfrm>
          <a:off x="1847850" y="942975"/>
          <a:ext cx="45720" cy="338899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391625</xdr:colOff>
      <xdr:row>0</xdr:row>
      <xdr:rowOff>0</xdr:rowOff>
    </xdr:from>
    <xdr:to>
      <xdr:col>20</xdr:col>
      <xdr:colOff>561974</xdr:colOff>
      <xdr:row>24</xdr:row>
      <xdr:rowOff>48768</xdr:rowOff>
    </xdr:to>
    <xdr:sp macro="" textlink="">
      <xdr:nvSpPr>
        <xdr:cNvPr id="38" name="Rectangle: Rounded Corners 37">
          <a:extLst>
            <a:ext uri="{FF2B5EF4-FFF2-40B4-BE49-F238E27FC236}">
              <a16:creationId xmlns:a16="http://schemas.microsoft.com/office/drawing/2014/main" id="{F48D664E-4B49-4C8F-8CBD-62D803842160}"/>
            </a:ext>
          </a:extLst>
        </xdr:cNvPr>
        <xdr:cNvSpPr/>
      </xdr:nvSpPr>
      <xdr:spPr>
        <a:xfrm>
          <a:off x="11364425" y="0"/>
          <a:ext cx="1389549" cy="4544568"/>
        </a:xfrm>
        <a:prstGeom prst="roundRect">
          <a:avLst>
            <a:gd name="adj" fmla="val 5647"/>
          </a:avLst>
        </a:prstGeom>
        <a:solidFill>
          <a:srgbClr val="5398BE">
            <a:alpha val="7490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165735</xdr:colOff>
      <xdr:row>14</xdr:row>
      <xdr:rowOff>114397</xdr:rowOff>
    </xdr:from>
    <xdr:to>
      <xdr:col>9</xdr:col>
      <xdr:colOff>112395</xdr:colOff>
      <xdr:row>23</xdr:row>
      <xdr:rowOff>1</xdr:rowOff>
    </xdr:to>
    <xdr:graphicFrame macro="">
      <xdr:nvGraphicFramePr>
        <xdr:cNvPr id="39" name="Chart 38">
          <a:extLst>
            <a:ext uri="{FF2B5EF4-FFF2-40B4-BE49-F238E27FC236}">
              <a16:creationId xmlns:a16="http://schemas.microsoft.com/office/drawing/2014/main" id="{C2AFBE8A-90A1-43BD-B566-B665D70E1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566312</xdr:colOff>
      <xdr:row>12</xdr:row>
      <xdr:rowOff>92825</xdr:rowOff>
    </xdr:from>
    <xdr:to>
      <xdr:col>20</xdr:col>
      <xdr:colOff>78632</xdr:colOff>
      <xdr:row>16</xdr:row>
      <xdr:rowOff>90186</xdr:rowOff>
    </xdr:to>
    <xdr:pic>
      <xdr:nvPicPr>
        <xdr:cNvPr id="41" name="Picture 40">
          <a:hlinkClick xmlns:r="http://schemas.openxmlformats.org/officeDocument/2006/relationships" r:id="rId3"/>
          <a:extLst>
            <a:ext uri="{FF2B5EF4-FFF2-40B4-BE49-F238E27FC236}">
              <a16:creationId xmlns:a16="http://schemas.microsoft.com/office/drawing/2014/main" id="{A76C0A54-B69B-4AF5-AA61-DE39A54E16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39112" y="2302625"/>
          <a:ext cx="731520" cy="759361"/>
        </a:xfrm>
        <a:prstGeom prst="rect">
          <a:avLst/>
        </a:prstGeom>
      </xdr:spPr>
    </xdr:pic>
    <xdr:clientData/>
  </xdr:twoCellAnchor>
  <xdr:twoCellAnchor editAs="oneCell">
    <xdr:from>
      <xdr:col>18</xdr:col>
      <xdr:colOff>566312</xdr:colOff>
      <xdr:row>18</xdr:row>
      <xdr:rowOff>87582</xdr:rowOff>
    </xdr:from>
    <xdr:to>
      <xdr:col>20</xdr:col>
      <xdr:colOff>78632</xdr:colOff>
      <xdr:row>22</xdr:row>
      <xdr:rowOff>84950</xdr:rowOff>
    </xdr:to>
    <xdr:pic>
      <xdr:nvPicPr>
        <xdr:cNvPr id="43" name="Picture 42">
          <a:hlinkClick xmlns:r="http://schemas.openxmlformats.org/officeDocument/2006/relationships" r:id="rId5"/>
          <a:extLst>
            <a:ext uri="{FF2B5EF4-FFF2-40B4-BE49-F238E27FC236}">
              <a16:creationId xmlns:a16="http://schemas.microsoft.com/office/drawing/2014/main" id="{831973E5-1DE8-447C-BCCC-61552A914DC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39112" y="3440382"/>
          <a:ext cx="731520" cy="759368"/>
        </a:xfrm>
        <a:prstGeom prst="rect">
          <a:avLst/>
        </a:prstGeom>
      </xdr:spPr>
    </xdr:pic>
    <xdr:clientData/>
  </xdr:twoCellAnchor>
  <xdr:twoCellAnchor editAs="oneCell">
    <xdr:from>
      <xdr:col>18</xdr:col>
      <xdr:colOff>566312</xdr:colOff>
      <xdr:row>7</xdr:row>
      <xdr:rowOff>9064</xdr:rowOff>
    </xdr:from>
    <xdr:to>
      <xdr:col>20</xdr:col>
      <xdr:colOff>78632</xdr:colOff>
      <xdr:row>11</xdr:row>
      <xdr:rowOff>13394</xdr:rowOff>
    </xdr:to>
    <xdr:pic>
      <xdr:nvPicPr>
        <xdr:cNvPr id="45" name="Picture 44">
          <a:hlinkClick xmlns:r="http://schemas.openxmlformats.org/officeDocument/2006/relationships" r:id="rId7"/>
          <a:extLst>
            <a:ext uri="{FF2B5EF4-FFF2-40B4-BE49-F238E27FC236}">
              <a16:creationId xmlns:a16="http://schemas.microsoft.com/office/drawing/2014/main" id="{BE4F56C0-0029-469D-B8FE-95093BC550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539112" y="1266364"/>
          <a:ext cx="731520" cy="766330"/>
        </a:xfrm>
        <a:prstGeom prst="rect">
          <a:avLst/>
        </a:prstGeom>
      </xdr:spPr>
    </xdr:pic>
    <xdr:clientData/>
  </xdr:twoCellAnchor>
  <xdr:twoCellAnchor editAs="oneCell">
    <xdr:from>
      <xdr:col>18</xdr:col>
      <xdr:colOff>566312</xdr:colOff>
      <xdr:row>1</xdr:row>
      <xdr:rowOff>163590</xdr:rowOff>
    </xdr:from>
    <xdr:to>
      <xdr:col>20</xdr:col>
      <xdr:colOff>78632</xdr:colOff>
      <xdr:row>5</xdr:row>
      <xdr:rowOff>165675</xdr:rowOff>
    </xdr:to>
    <xdr:pic>
      <xdr:nvPicPr>
        <xdr:cNvPr id="49" name="Picture 48">
          <a:hlinkClick xmlns:r="http://schemas.openxmlformats.org/officeDocument/2006/relationships" r:id="rId9"/>
          <a:extLst>
            <a:ext uri="{FF2B5EF4-FFF2-40B4-BE49-F238E27FC236}">
              <a16:creationId xmlns:a16="http://schemas.microsoft.com/office/drawing/2014/main" id="{071F2415-EB75-4AB4-ACD6-A7825D6EF0F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539112" y="277890"/>
          <a:ext cx="731520" cy="764085"/>
        </a:xfrm>
        <a:prstGeom prst="rect">
          <a:avLst/>
        </a:prstGeom>
      </xdr:spPr>
    </xdr:pic>
    <xdr:clientData/>
  </xdr:twoCellAnchor>
  <xdr:twoCellAnchor>
    <xdr:from>
      <xdr:col>0</xdr:col>
      <xdr:colOff>142875</xdr:colOff>
      <xdr:row>1</xdr:row>
      <xdr:rowOff>0</xdr:rowOff>
    </xdr:from>
    <xdr:to>
      <xdr:col>12</xdr:col>
      <xdr:colOff>0</xdr:colOff>
      <xdr:row>4</xdr:row>
      <xdr:rowOff>47625</xdr:rowOff>
    </xdr:to>
    <xdr:sp macro="" textlink="">
      <xdr:nvSpPr>
        <xdr:cNvPr id="5" name="Rounded Rectangle 4"/>
        <xdr:cNvSpPr/>
      </xdr:nvSpPr>
      <xdr:spPr>
        <a:xfrm>
          <a:off x="142875" y="114300"/>
          <a:ext cx="7172325" cy="619125"/>
        </a:xfrm>
        <a:prstGeom prst="roundRect">
          <a:avLst/>
        </a:prstGeom>
        <a:solidFill>
          <a:srgbClr val="5398BE">
            <a:alpha val="69804"/>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1</xdr:row>
      <xdr:rowOff>0</xdr:rowOff>
    </xdr:from>
    <xdr:to>
      <xdr:col>12</xdr:col>
      <xdr:colOff>200025</xdr:colOff>
      <xdr:row>3</xdr:row>
      <xdr:rowOff>123825</xdr:rowOff>
    </xdr:to>
    <xdr:sp macro="" textlink="">
      <xdr:nvSpPr>
        <xdr:cNvPr id="6" name="TextBox 5"/>
        <xdr:cNvSpPr txBox="1"/>
      </xdr:nvSpPr>
      <xdr:spPr>
        <a:xfrm>
          <a:off x="742950" y="114300"/>
          <a:ext cx="6772275" cy="50482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Ramadan Digital Marketing Campaign</a:t>
          </a:r>
        </a:p>
      </xdr:txBody>
    </xdr:sp>
    <xdr:clientData/>
  </xdr:twoCellAnchor>
  <xdr:twoCellAnchor editAs="oneCell">
    <xdr:from>
      <xdr:col>0</xdr:col>
      <xdr:colOff>323851</xdr:colOff>
      <xdr:row>1</xdr:row>
      <xdr:rowOff>76200</xdr:rowOff>
    </xdr:from>
    <xdr:to>
      <xdr:col>1</xdr:col>
      <xdr:colOff>152401</xdr:colOff>
      <xdr:row>3</xdr:row>
      <xdr:rowOff>133350</xdr:rowOff>
    </xdr:to>
    <xdr:pic>
      <xdr:nvPicPr>
        <xdr:cNvPr id="9" name="Picture 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3851" y="190500"/>
          <a:ext cx="438150" cy="438150"/>
        </a:xfrm>
        <a:prstGeom prst="rect">
          <a:avLst/>
        </a:prstGeom>
      </xdr:spPr>
    </xdr:pic>
    <xdr:clientData/>
  </xdr:twoCellAnchor>
  <xdr:twoCellAnchor>
    <xdr:from>
      <xdr:col>9</xdr:col>
      <xdr:colOff>257174</xdr:colOff>
      <xdr:row>14</xdr:row>
      <xdr:rowOff>85726</xdr:rowOff>
    </xdr:from>
    <xdr:to>
      <xdr:col>18</xdr:col>
      <xdr:colOff>190499</xdr:colOff>
      <xdr:row>22</xdr:row>
      <xdr:rowOff>180976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295274</xdr:colOff>
      <xdr:row>5</xdr:row>
      <xdr:rowOff>95250</xdr:rowOff>
    </xdr:from>
    <xdr:to>
      <xdr:col>13</xdr:col>
      <xdr:colOff>600075</xdr:colOff>
      <xdr:row>13</xdr:row>
      <xdr:rowOff>180974</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142875</xdr:colOff>
      <xdr:row>5</xdr:row>
      <xdr:rowOff>123825</xdr:rowOff>
    </xdr:from>
    <xdr:to>
      <xdr:col>18</xdr:col>
      <xdr:colOff>180975</xdr:colOff>
      <xdr:row>13</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85725</xdr:colOff>
      <xdr:row>1</xdr:row>
      <xdr:rowOff>28576</xdr:rowOff>
    </xdr:from>
    <xdr:to>
      <xdr:col>14</xdr:col>
      <xdr:colOff>163831</xdr:colOff>
      <xdr:row>4</xdr:row>
      <xdr:rowOff>152400</xdr:rowOff>
    </xdr:to>
    <mc:AlternateContent xmlns:mc="http://schemas.openxmlformats.org/markup-compatibility/2006" xmlns:a14="http://schemas.microsoft.com/office/drawing/2010/main">
      <mc:Choice Requires="a14">
        <xdr:graphicFrame macro="">
          <xdr:nvGraphicFramePr>
            <xdr:cNvPr id="36" name="Language  1"/>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mlns="">
        <xdr:sp macro="" textlink="">
          <xdr:nvSpPr>
            <xdr:cNvPr id="0" name=""/>
            <xdr:cNvSpPr>
              <a:spLocks noTextEdit="1"/>
            </xdr:cNvSpPr>
          </xdr:nvSpPr>
          <xdr:spPr>
            <a:xfrm>
              <a:off x="7400925" y="142876"/>
              <a:ext cx="1297306"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1</xdr:row>
      <xdr:rowOff>19051</xdr:rowOff>
    </xdr:from>
    <xdr:to>
      <xdr:col>18</xdr:col>
      <xdr:colOff>133350</xdr:colOff>
      <xdr:row>4</xdr:row>
      <xdr:rowOff>161925</xdr:rowOff>
    </xdr:to>
    <mc:AlternateContent xmlns:mc="http://schemas.openxmlformats.org/markup-compatibility/2006" xmlns:a14="http://schemas.microsoft.com/office/drawing/2010/main">
      <mc:Choice Requires="a14">
        <xdr:graphicFrame macro="">
          <xdr:nvGraphicFramePr>
            <xdr:cNvPr id="37" name="Target Group 1"/>
            <xdr:cNvGraphicFramePr/>
          </xdr:nvGraphicFramePr>
          <xdr:xfrm>
            <a:off x="0" y="0"/>
            <a:ext cx="0" cy="0"/>
          </xdr:xfrm>
          <a:graphic>
            <a:graphicData uri="http://schemas.microsoft.com/office/drawing/2010/slicer">
              <sle:slicer xmlns:sle="http://schemas.microsoft.com/office/drawing/2010/slicer" name="Target Group 1"/>
            </a:graphicData>
          </a:graphic>
        </xdr:graphicFrame>
      </mc:Choice>
      <mc:Fallback xmlns="">
        <xdr:sp macro="" textlink="">
          <xdr:nvSpPr>
            <xdr:cNvPr id="0" name=""/>
            <xdr:cNvSpPr>
              <a:spLocks noTextEdit="1"/>
            </xdr:cNvSpPr>
          </xdr:nvSpPr>
          <xdr:spPr>
            <a:xfrm>
              <a:off x="8820150" y="133351"/>
              <a:ext cx="2286000"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148591</xdr:colOff>
      <xdr:row>3</xdr:row>
      <xdr:rowOff>180975</xdr:rowOff>
    </xdr:from>
    <xdr:to>
      <xdr:col>3</xdr:col>
      <xdr:colOff>516253</xdr:colOff>
      <xdr:row>7</xdr:row>
      <xdr:rowOff>57150</xdr:rowOff>
    </xdr:to>
    <xdr:grpSp>
      <xdr:nvGrpSpPr>
        <xdr:cNvPr id="2" name="Group 1">
          <a:extLst>
            <a:ext uri="{FF2B5EF4-FFF2-40B4-BE49-F238E27FC236}">
              <a16:creationId xmlns:a16="http://schemas.microsoft.com/office/drawing/2014/main" id="{6680E731-BCB5-4E8A-B670-C310C5750768}"/>
            </a:ext>
          </a:extLst>
        </xdr:cNvPr>
        <xdr:cNvGrpSpPr/>
      </xdr:nvGrpSpPr>
      <xdr:grpSpPr>
        <a:xfrm>
          <a:off x="148591" y="752475"/>
          <a:ext cx="2196462" cy="638175"/>
          <a:chOff x="2388314" y="236621"/>
          <a:chExt cx="1702855" cy="487028"/>
        </a:xfrm>
        <a:solidFill>
          <a:srgbClr val="FF0050"/>
        </a:solidFill>
        <a:effectLst>
          <a:outerShdw blurRad="50800" dist="38100" dir="2700000" algn="tl" rotWithShape="0">
            <a:prstClr val="black">
              <a:alpha val="40000"/>
            </a:prstClr>
          </a:outerShdw>
        </a:effectLst>
      </xdr:grpSpPr>
      <xdr:sp macro="" textlink="'Master Sheet'!B13">
        <xdr:nvSpPr>
          <xdr:cNvPr id="3" name="Rectangle: Rounded Corners 2">
            <a:extLst>
              <a:ext uri="{FF2B5EF4-FFF2-40B4-BE49-F238E27FC236}">
                <a16:creationId xmlns:a16="http://schemas.microsoft.com/office/drawing/2014/main" id="{514B7372-32F0-43AF-A01D-F4940943DCD4}"/>
              </a:ext>
            </a:extLst>
          </xdr:cNvPr>
          <xdr:cNvSpPr/>
        </xdr:nvSpPr>
        <xdr:spPr>
          <a:xfrm>
            <a:off x="2388314" y="236621"/>
            <a:ext cx="1175604" cy="487028"/>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5414562-1172-40EC-9179-7995123E702B}" type="TxLink">
              <a:rPr lang="en-US" sz="2400" b="1" i="0" u="none" strike="noStrike">
                <a:solidFill>
                  <a:schemeClr val="bg1"/>
                </a:solidFill>
                <a:latin typeface="Calibri"/>
                <a:cs typeface="Calibri"/>
              </a:rPr>
              <a:pPr algn="ctr"/>
              <a:t> $52,193 </a:t>
            </a:fld>
            <a:endParaRPr lang="en-US" sz="2400" b="1">
              <a:solidFill>
                <a:schemeClr val="bg1"/>
              </a:solidFill>
            </a:endParaRPr>
          </a:p>
        </xdr:txBody>
      </xdr:sp>
      <xdr:sp macro="" textlink="">
        <xdr:nvSpPr>
          <xdr:cNvPr id="4" name="TextBox 3">
            <a:extLst>
              <a:ext uri="{FF2B5EF4-FFF2-40B4-BE49-F238E27FC236}">
                <a16:creationId xmlns:a16="http://schemas.microsoft.com/office/drawing/2014/main" id="{773968BD-6215-4582-B868-2DC441AF6090}"/>
              </a:ext>
            </a:extLst>
          </xdr:cNvPr>
          <xdr:cNvSpPr txBox="1"/>
        </xdr:nvSpPr>
        <xdr:spPr>
          <a:xfrm>
            <a:off x="2530062" y="489010"/>
            <a:ext cx="1561107" cy="227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grpSp>
    <xdr:clientData/>
  </xdr:twoCellAnchor>
  <xdr:twoCellAnchor>
    <xdr:from>
      <xdr:col>0</xdr:col>
      <xdr:colOff>144782</xdr:colOff>
      <xdr:row>7</xdr:row>
      <xdr:rowOff>144780</xdr:rowOff>
    </xdr:from>
    <xdr:to>
      <xdr:col>3</xdr:col>
      <xdr:colOff>499110</xdr:colOff>
      <xdr:row>11</xdr:row>
      <xdr:rowOff>76200</xdr:rowOff>
    </xdr:to>
    <xdr:grpSp>
      <xdr:nvGrpSpPr>
        <xdr:cNvPr id="5" name="Group 4">
          <a:extLst>
            <a:ext uri="{FF2B5EF4-FFF2-40B4-BE49-F238E27FC236}">
              <a16:creationId xmlns:a16="http://schemas.microsoft.com/office/drawing/2014/main" id="{40DCE01F-347E-420A-8435-5112E23336E1}"/>
            </a:ext>
          </a:extLst>
        </xdr:cNvPr>
        <xdr:cNvGrpSpPr/>
      </xdr:nvGrpSpPr>
      <xdr:grpSpPr>
        <a:xfrm>
          <a:off x="144782" y="1478280"/>
          <a:ext cx="2183128" cy="693420"/>
          <a:chOff x="2346960" y="236621"/>
          <a:chExt cx="1746151" cy="590762"/>
        </a:xfrm>
        <a:solidFill>
          <a:srgbClr val="FF0050"/>
        </a:solidFill>
        <a:effectLst>
          <a:outerShdw blurRad="50800" dist="38100" dir="2700000" algn="tl" rotWithShape="0">
            <a:prstClr val="black">
              <a:alpha val="40000"/>
            </a:prstClr>
          </a:outerShdw>
        </a:effectLst>
      </xdr:grpSpPr>
      <xdr:sp macro="" textlink="'Master Sheet'!C13">
        <xdr:nvSpPr>
          <xdr:cNvPr id="6" name="Rectangle: Rounded Corners 5">
            <a:extLst>
              <a:ext uri="{FF2B5EF4-FFF2-40B4-BE49-F238E27FC236}">
                <a16:creationId xmlns:a16="http://schemas.microsoft.com/office/drawing/2014/main" id="{2F3A4DAA-6D72-45BB-8A2D-A70AD02B3DF0}"/>
              </a:ext>
            </a:extLst>
          </xdr:cNvPr>
          <xdr:cNvSpPr/>
        </xdr:nvSpPr>
        <xdr:spPr>
          <a:xfrm>
            <a:off x="2346960" y="236621"/>
            <a:ext cx="1216958" cy="517559"/>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ECB6BDB-6139-49E5-8B30-7F86CB71EEBB}" type="TxLink">
              <a:rPr lang="en-US" sz="2400" b="1" i="0" u="none" strike="noStrike">
                <a:solidFill>
                  <a:schemeClr val="bg1"/>
                </a:solidFill>
                <a:latin typeface="Calibri"/>
                <a:cs typeface="Calibri"/>
              </a:rPr>
              <a:pPr algn="ctr"/>
              <a:t>79388</a:t>
            </a:fld>
            <a:endParaRPr lang="en-US" sz="8800" b="1">
              <a:solidFill>
                <a:schemeClr val="bg1"/>
              </a:solidFill>
            </a:endParaRPr>
          </a:p>
        </xdr:txBody>
      </xdr:sp>
      <xdr:sp macro="" textlink="">
        <xdr:nvSpPr>
          <xdr:cNvPr id="7" name="TextBox 6">
            <a:extLst>
              <a:ext uri="{FF2B5EF4-FFF2-40B4-BE49-F238E27FC236}">
                <a16:creationId xmlns:a16="http://schemas.microsoft.com/office/drawing/2014/main" id="{B9890A8B-5287-43F1-8636-972358BA4197}"/>
              </a:ext>
            </a:extLst>
          </xdr:cNvPr>
          <xdr:cNvSpPr txBox="1"/>
        </xdr:nvSpPr>
        <xdr:spPr>
          <a:xfrm>
            <a:off x="2532004" y="528261"/>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Clicks</a:t>
            </a:r>
            <a:endParaRPr lang="en-US" sz="1400" b="1">
              <a:solidFill>
                <a:schemeClr val="tx1"/>
              </a:solidFill>
            </a:endParaRPr>
          </a:p>
        </xdr:txBody>
      </xdr:sp>
    </xdr:grpSp>
    <xdr:clientData/>
  </xdr:twoCellAnchor>
  <xdr:twoCellAnchor>
    <xdr:from>
      <xdr:col>0</xdr:col>
      <xdr:colOff>38100</xdr:colOff>
      <xdr:row>11</xdr:row>
      <xdr:rowOff>87633</xdr:rowOff>
    </xdr:from>
    <xdr:to>
      <xdr:col>3</xdr:col>
      <xdr:colOff>0</xdr:colOff>
      <xdr:row>15</xdr:row>
      <xdr:rowOff>114300</xdr:rowOff>
    </xdr:to>
    <xdr:grpSp>
      <xdr:nvGrpSpPr>
        <xdr:cNvPr id="8" name="Group 7">
          <a:extLst>
            <a:ext uri="{FF2B5EF4-FFF2-40B4-BE49-F238E27FC236}">
              <a16:creationId xmlns:a16="http://schemas.microsoft.com/office/drawing/2014/main" id="{36CEEB79-14E8-4A57-B516-5A70A29CB7DC}"/>
            </a:ext>
          </a:extLst>
        </xdr:cNvPr>
        <xdr:cNvGrpSpPr/>
      </xdr:nvGrpSpPr>
      <xdr:grpSpPr>
        <a:xfrm>
          <a:off x="38100" y="2183133"/>
          <a:ext cx="1790700" cy="788667"/>
          <a:chOff x="2145937" y="243392"/>
          <a:chExt cx="2400204" cy="794631"/>
        </a:xfrm>
        <a:solidFill>
          <a:srgbClr val="FF0050"/>
        </a:solidFill>
        <a:effectLst>
          <a:outerShdw blurRad="50800" dist="38100" dir="2700000" algn="tl" rotWithShape="0">
            <a:prstClr val="black">
              <a:alpha val="40000"/>
            </a:prstClr>
          </a:outerShdw>
        </a:effectLst>
      </xdr:grpSpPr>
      <xdr:sp macro="" textlink="'Master Sheet'!D13">
        <xdr:nvSpPr>
          <xdr:cNvPr id="9" name="Rectangle: Rounded Corners 8">
            <a:extLst>
              <a:ext uri="{FF2B5EF4-FFF2-40B4-BE49-F238E27FC236}">
                <a16:creationId xmlns:a16="http://schemas.microsoft.com/office/drawing/2014/main" id="{D33CF3C6-29B4-4220-8A2E-7216CD9CCE18}"/>
              </a:ext>
            </a:extLst>
          </xdr:cNvPr>
          <xdr:cNvSpPr/>
        </xdr:nvSpPr>
        <xdr:spPr>
          <a:xfrm>
            <a:off x="2253180" y="243392"/>
            <a:ext cx="2080397" cy="71785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5F9FAD9-04A9-4C77-90FF-FF712E4DA876}" type="TxLink">
              <a:rPr lang="en-US" sz="2400" b="1" i="0" u="none" strike="noStrike">
                <a:solidFill>
                  <a:schemeClr val="bg1"/>
                </a:solidFill>
                <a:latin typeface="Calibri"/>
                <a:cs typeface="Calibri"/>
              </a:rPr>
              <a:pPr algn="ctr"/>
              <a:t>809426</a:t>
            </a:fld>
            <a:endParaRPr lang="en-US" sz="23900" b="1">
              <a:solidFill>
                <a:schemeClr val="bg1"/>
              </a:solidFill>
            </a:endParaRPr>
          </a:p>
        </xdr:txBody>
      </xdr:sp>
      <xdr:sp macro="" textlink="">
        <xdr:nvSpPr>
          <xdr:cNvPr id="10" name="TextBox 9">
            <a:extLst>
              <a:ext uri="{FF2B5EF4-FFF2-40B4-BE49-F238E27FC236}">
                <a16:creationId xmlns:a16="http://schemas.microsoft.com/office/drawing/2014/main" id="{FE0B72A8-5B8A-4883-BC07-7C12E3159683}"/>
              </a:ext>
            </a:extLst>
          </xdr:cNvPr>
          <xdr:cNvSpPr txBox="1"/>
        </xdr:nvSpPr>
        <xdr:spPr>
          <a:xfrm>
            <a:off x="2145937" y="528990"/>
            <a:ext cx="2400204" cy="50903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Average </a:t>
            </a:r>
            <a:r>
              <a:rPr lang="en-US" sz="1200" b="1" baseline="0">
                <a:solidFill>
                  <a:schemeClr val="tx1"/>
                </a:solidFill>
              </a:rPr>
              <a:t>Impression </a:t>
            </a:r>
          </a:p>
          <a:p>
            <a:pPr algn="ctr"/>
            <a:r>
              <a:rPr lang="en-US" sz="1200" b="1" baseline="0">
                <a:solidFill>
                  <a:schemeClr val="tx1"/>
                </a:solidFill>
              </a:rPr>
              <a:t>Rate</a:t>
            </a:r>
            <a:endParaRPr lang="en-US" sz="1200" b="1">
              <a:solidFill>
                <a:schemeClr val="tx1"/>
              </a:solidFill>
            </a:endParaRPr>
          </a:p>
        </xdr:txBody>
      </xdr:sp>
    </xdr:grpSp>
    <xdr:clientData/>
  </xdr:twoCellAnchor>
  <xdr:twoCellAnchor>
    <xdr:from>
      <xdr:col>0</xdr:col>
      <xdr:colOff>148591</xdr:colOff>
      <xdr:row>15</xdr:row>
      <xdr:rowOff>137161</xdr:rowOff>
    </xdr:from>
    <xdr:to>
      <xdr:col>3</xdr:col>
      <xdr:colOff>337185</xdr:colOff>
      <xdr:row>19</xdr:row>
      <xdr:rowOff>28576</xdr:rowOff>
    </xdr:to>
    <xdr:grpSp>
      <xdr:nvGrpSpPr>
        <xdr:cNvPr id="11" name="Group 10">
          <a:extLst>
            <a:ext uri="{FF2B5EF4-FFF2-40B4-BE49-F238E27FC236}">
              <a16:creationId xmlns:a16="http://schemas.microsoft.com/office/drawing/2014/main" id="{FA27E48A-44C1-4371-9DB5-0A157DC87CB7}"/>
            </a:ext>
          </a:extLst>
        </xdr:cNvPr>
        <xdr:cNvGrpSpPr/>
      </xdr:nvGrpSpPr>
      <xdr:grpSpPr>
        <a:xfrm>
          <a:off x="148591" y="2994661"/>
          <a:ext cx="2017394" cy="653415"/>
          <a:chOff x="2260271" y="210788"/>
          <a:chExt cx="1765456" cy="555987"/>
        </a:xfrm>
        <a:solidFill>
          <a:srgbClr val="FF0050"/>
        </a:solidFill>
        <a:effectLst>
          <a:outerShdw blurRad="50800" dist="38100" dir="2700000" algn="tl" rotWithShape="0">
            <a:prstClr val="black">
              <a:alpha val="40000"/>
            </a:prstClr>
          </a:outerShdw>
        </a:effectLst>
      </xdr:grpSpPr>
      <xdr:sp macro="" textlink="'Master Sheet'!E13">
        <xdr:nvSpPr>
          <xdr:cNvPr id="12" name="Rectangle: Rounded Corners 11">
            <a:extLst>
              <a:ext uri="{FF2B5EF4-FFF2-40B4-BE49-F238E27FC236}">
                <a16:creationId xmlns:a16="http://schemas.microsoft.com/office/drawing/2014/main" id="{338316C7-4F0D-47A3-B4C3-020CA42411CB}"/>
              </a:ext>
            </a:extLst>
          </xdr:cNvPr>
          <xdr:cNvSpPr/>
        </xdr:nvSpPr>
        <xdr:spPr>
          <a:xfrm>
            <a:off x="2260271" y="210788"/>
            <a:ext cx="1327008" cy="483043"/>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8C22ADC-6307-4879-BD88-7D79FDD839C0}" type="TxLink">
              <a:rPr lang="en-US" sz="2400" b="1" i="0" u="none" strike="noStrike">
                <a:solidFill>
                  <a:schemeClr val="bg1"/>
                </a:solidFill>
                <a:latin typeface="Calibri"/>
                <a:cs typeface="Calibri"/>
              </a:rPr>
              <a:pPr algn="ctr"/>
              <a:t>40396558</a:t>
            </a:fld>
            <a:endParaRPr lang="en-US" sz="71400" b="1">
              <a:solidFill>
                <a:schemeClr val="bg1"/>
              </a:solidFill>
            </a:endParaRPr>
          </a:p>
        </xdr:txBody>
      </xdr:sp>
      <xdr:sp macro="" textlink="">
        <xdr:nvSpPr>
          <xdr:cNvPr id="13" name="TextBox 12">
            <a:extLst>
              <a:ext uri="{FF2B5EF4-FFF2-40B4-BE49-F238E27FC236}">
                <a16:creationId xmlns:a16="http://schemas.microsoft.com/office/drawing/2014/main" id="{EDE50C6E-0BB6-4DA0-AF0B-258B4B7CD8C5}"/>
              </a:ext>
            </a:extLst>
          </xdr:cNvPr>
          <xdr:cNvSpPr txBox="1"/>
        </xdr:nvSpPr>
        <xdr:spPr>
          <a:xfrm>
            <a:off x="2464620" y="467653"/>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Reach</a:t>
            </a:r>
            <a:endParaRPr lang="en-US" sz="1400" b="1">
              <a:solidFill>
                <a:schemeClr val="tx1"/>
              </a:solidFill>
            </a:endParaRPr>
          </a:p>
        </xdr:txBody>
      </xdr:sp>
    </xdr:grpSp>
    <xdr:clientData/>
  </xdr:twoCellAnchor>
  <xdr:twoCellAnchor>
    <xdr:from>
      <xdr:col>0</xdr:col>
      <xdr:colOff>140970</xdr:colOff>
      <xdr:row>19</xdr:row>
      <xdr:rowOff>19051</xdr:rowOff>
    </xdr:from>
    <xdr:to>
      <xdr:col>3</xdr:col>
      <xdr:colOff>209555</xdr:colOff>
      <xdr:row>22</xdr:row>
      <xdr:rowOff>100965</xdr:rowOff>
    </xdr:to>
    <xdr:grpSp>
      <xdr:nvGrpSpPr>
        <xdr:cNvPr id="14" name="Group 13">
          <a:extLst>
            <a:ext uri="{FF2B5EF4-FFF2-40B4-BE49-F238E27FC236}">
              <a16:creationId xmlns:a16="http://schemas.microsoft.com/office/drawing/2014/main" id="{0FAE398C-384C-4E56-8F4E-93DE1E24F8E3}"/>
            </a:ext>
          </a:extLst>
        </xdr:cNvPr>
        <xdr:cNvGrpSpPr/>
      </xdr:nvGrpSpPr>
      <xdr:grpSpPr>
        <a:xfrm>
          <a:off x="140970" y="3638551"/>
          <a:ext cx="1897385" cy="653414"/>
          <a:chOff x="2280273" y="284760"/>
          <a:chExt cx="1660433" cy="554958"/>
        </a:xfrm>
        <a:solidFill>
          <a:srgbClr val="FF0050"/>
        </a:solidFill>
        <a:effectLst>
          <a:outerShdw blurRad="50800" dist="38100" dir="2700000" algn="tl"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82B71A3A-7443-425C-8F98-F1D03F8B0E5C}"/>
              </a:ext>
            </a:extLst>
          </xdr:cNvPr>
          <xdr:cNvSpPr/>
        </xdr:nvSpPr>
        <xdr:spPr>
          <a:xfrm>
            <a:off x="2280273" y="284760"/>
            <a:ext cx="1340345" cy="515484"/>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bg1"/>
                </a:solidFill>
                <a:latin typeface="Calibri"/>
                <a:cs typeface="Calibri"/>
              </a:rPr>
              <a:t>2</a:t>
            </a:r>
            <a:endParaRPr lang="en-US" sz="1100" b="1" i="0" u="none" strike="noStrike">
              <a:solidFill>
                <a:schemeClr val="bg1"/>
              </a:solidFill>
              <a:latin typeface="Calibri"/>
              <a:cs typeface="Calibri"/>
            </a:endParaRPr>
          </a:p>
        </xdr:txBody>
      </xdr:sp>
      <xdr:sp macro="" textlink="">
        <xdr:nvSpPr>
          <xdr:cNvPr id="16" name="TextBox 15">
            <a:extLst>
              <a:ext uri="{FF2B5EF4-FFF2-40B4-BE49-F238E27FC236}">
                <a16:creationId xmlns:a16="http://schemas.microsoft.com/office/drawing/2014/main" id="{1AFDE06C-8A58-46C3-BD4A-2624142CA70A}"/>
              </a:ext>
            </a:extLst>
          </xdr:cNvPr>
          <xdr:cNvSpPr txBox="1"/>
        </xdr:nvSpPr>
        <xdr:spPr>
          <a:xfrm>
            <a:off x="2379599" y="540596"/>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Language</a:t>
            </a:r>
            <a:endParaRPr lang="en-US" sz="1400" b="1">
              <a:solidFill>
                <a:schemeClr val="tx1"/>
              </a:solidFill>
            </a:endParaRPr>
          </a:p>
        </xdr:txBody>
      </xdr:sp>
    </xdr:grpSp>
    <xdr:clientData/>
  </xdr:twoCellAnchor>
  <xdr:twoCellAnchor>
    <xdr:from>
      <xdr:col>3</xdr:col>
      <xdr:colOff>51435</xdr:colOff>
      <xdr:row>4</xdr:row>
      <xdr:rowOff>76200</xdr:rowOff>
    </xdr:from>
    <xdr:to>
      <xdr:col>3</xdr:col>
      <xdr:colOff>57150</xdr:colOff>
      <xdr:row>22</xdr:row>
      <xdr:rowOff>158115</xdr:rowOff>
    </xdr:to>
    <xdr:cxnSp macro="">
      <xdr:nvCxnSpPr>
        <xdr:cNvPr id="18" name="Straight Connector 17">
          <a:extLst>
            <a:ext uri="{FF2B5EF4-FFF2-40B4-BE49-F238E27FC236}">
              <a16:creationId xmlns:a16="http://schemas.microsoft.com/office/drawing/2014/main" id="{EECE20BC-5AF3-4F73-8904-468EA60ABB77}"/>
            </a:ext>
          </a:extLst>
        </xdr:cNvPr>
        <xdr:cNvCxnSpPr/>
      </xdr:nvCxnSpPr>
      <xdr:spPr>
        <a:xfrm flipH="1">
          <a:off x="1880235" y="838200"/>
          <a:ext cx="5715" cy="351091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447674</xdr:colOff>
      <xdr:row>4</xdr:row>
      <xdr:rowOff>76200</xdr:rowOff>
    </xdr:from>
    <xdr:to>
      <xdr:col>14</xdr:col>
      <xdr:colOff>476250</xdr:colOff>
      <xdr:row>22</xdr:row>
      <xdr:rowOff>66675</xdr:rowOff>
    </xdr:to>
    <xdr:graphicFrame macro="">
      <xdr:nvGraphicFramePr>
        <xdr:cNvPr id="21" name="Chart 20">
          <a:extLst>
            <a:ext uri="{FF2B5EF4-FFF2-40B4-BE49-F238E27FC236}">
              <a16:creationId xmlns:a16="http://schemas.microsoft.com/office/drawing/2014/main" id="{739E3FF8-257E-4373-A3A2-295BD464B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408078</xdr:colOff>
      <xdr:row>0</xdr:row>
      <xdr:rowOff>0</xdr:rowOff>
    </xdr:from>
    <xdr:to>
      <xdr:col>21</xdr:col>
      <xdr:colOff>312419</xdr:colOff>
      <xdr:row>23</xdr:row>
      <xdr:rowOff>164845</xdr:rowOff>
    </xdr:to>
    <xdr:sp macro="" textlink="">
      <xdr:nvSpPr>
        <xdr:cNvPr id="22" name="Rectangle: Rounded Corners 21">
          <a:extLst>
            <a:ext uri="{FF2B5EF4-FFF2-40B4-BE49-F238E27FC236}">
              <a16:creationId xmlns:a16="http://schemas.microsoft.com/office/drawing/2014/main" id="{282CA85B-5454-4E5C-850F-A2E6C59CD9CA}"/>
            </a:ext>
          </a:extLst>
        </xdr:cNvPr>
        <xdr:cNvSpPr/>
      </xdr:nvSpPr>
      <xdr:spPr>
        <a:xfrm>
          <a:off x="11380878" y="0"/>
          <a:ext cx="1733141" cy="4546345"/>
        </a:xfrm>
        <a:prstGeom prst="roundRect">
          <a:avLst>
            <a:gd name="adj" fmla="val 5647"/>
          </a:avLst>
        </a:prstGeom>
        <a:solidFill>
          <a:srgbClr val="FF0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50"/>
            </a:solidFill>
          </a:endParaRPr>
        </a:p>
      </xdr:txBody>
    </xdr:sp>
    <xdr:clientData/>
  </xdr:twoCellAnchor>
  <xdr:twoCellAnchor editAs="oneCell">
    <xdr:from>
      <xdr:col>18</xdr:col>
      <xdr:colOff>590545</xdr:colOff>
      <xdr:row>12</xdr:row>
      <xdr:rowOff>53521</xdr:rowOff>
    </xdr:from>
    <xdr:to>
      <xdr:col>20</xdr:col>
      <xdr:colOff>102865</xdr:colOff>
      <xdr:row>16</xdr:row>
      <xdr:rowOff>58025</xdr:rowOff>
    </xdr:to>
    <xdr:pic>
      <xdr:nvPicPr>
        <xdr:cNvPr id="23" name="Picture 22">
          <a:hlinkClick xmlns:r="http://schemas.openxmlformats.org/officeDocument/2006/relationships" r:id="rId2"/>
          <a:extLst>
            <a:ext uri="{FF2B5EF4-FFF2-40B4-BE49-F238E27FC236}">
              <a16:creationId xmlns:a16="http://schemas.microsoft.com/office/drawing/2014/main" id="{B3369291-AF98-472A-B25D-CB060243C9E6}"/>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563345" y="2339521"/>
          <a:ext cx="731520" cy="766504"/>
        </a:xfrm>
        <a:prstGeom prst="rect">
          <a:avLst/>
        </a:prstGeom>
      </xdr:spPr>
    </xdr:pic>
    <xdr:clientData/>
  </xdr:twoCellAnchor>
  <xdr:twoCellAnchor editAs="oneCell">
    <xdr:from>
      <xdr:col>18</xdr:col>
      <xdr:colOff>590549</xdr:colOff>
      <xdr:row>18</xdr:row>
      <xdr:rowOff>79739</xdr:rowOff>
    </xdr:from>
    <xdr:to>
      <xdr:col>20</xdr:col>
      <xdr:colOff>102869</xdr:colOff>
      <xdr:row>22</xdr:row>
      <xdr:rowOff>77254</xdr:rowOff>
    </xdr:to>
    <xdr:pic>
      <xdr:nvPicPr>
        <xdr:cNvPr id="24" name="Picture 23">
          <a:hlinkClick xmlns:r="http://schemas.openxmlformats.org/officeDocument/2006/relationships" r:id="rId4"/>
          <a:extLst>
            <a:ext uri="{FF2B5EF4-FFF2-40B4-BE49-F238E27FC236}">
              <a16:creationId xmlns:a16="http://schemas.microsoft.com/office/drawing/2014/main" id="{72A1DDE0-A70E-478F-A635-70648A5CE7AE}"/>
            </a:ext>
          </a:extLst>
        </xdr:cNvPr>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563349" y="3508739"/>
          <a:ext cx="731520" cy="759515"/>
        </a:xfrm>
        <a:prstGeom prst="rect">
          <a:avLst/>
        </a:prstGeom>
      </xdr:spPr>
    </xdr:pic>
    <xdr:clientData/>
  </xdr:twoCellAnchor>
  <xdr:twoCellAnchor editAs="oneCell">
    <xdr:from>
      <xdr:col>19</xdr:col>
      <xdr:colOff>9525</xdr:colOff>
      <xdr:row>6</xdr:row>
      <xdr:rowOff>164969</xdr:rowOff>
    </xdr:from>
    <xdr:to>
      <xdr:col>20</xdr:col>
      <xdr:colOff>104482</xdr:colOff>
      <xdr:row>10</xdr:row>
      <xdr:rowOff>134489</xdr:rowOff>
    </xdr:to>
    <xdr:pic>
      <xdr:nvPicPr>
        <xdr:cNvPr id="25" name="Picture 24">
          <a:hlinkClick xmlns:r="http://schemas.openxmlformats.org/officeDocument/2006/relationships" r:id="rId6"/>
          <a:extLst>
            <a:ext uri="{FF2B5EF4-FFF2-40B4-BE49-F238E27FC236}">
              <a16:creationId xmlns:a16="http://schemas.microsoft.com/office/drawing/2014/main" id="{56F59898-5DF3-40E7-9CBA-9868470F0C76}"/>
            </a:ext>
          </a:extLst>
        </xdr:cNvPr>
        <xdr:cNvPicPr>
          <a:picLocks noChangeAspect="1"/>
        </xdr:cNvPicPr>
      </xdr:nvPicPr>
      <xdr:blipFill>
        <a:blip xmlns:r="http://schemas.openxmlformats.org/officeDocument/2006/relationships" r:embed="rId7"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591925" y="1307969"/>
          <a:ext cx="704557" cy="731520"/>
        </a:xfrm>
        <a:prstGeom prst="rect">
          <a:avLst/>
        </a:prstGeom>
      </xdr:spPr>
    </xdr:pic>
    <xdr:clientData/>
  </xdr:twoCellAnchor>
  <xdr:twoCellAnchor editAs="oneCell">
    <xdr:from>
      <xdr:col>18</xdr:col>
      <xdr:colOff>588887</xdr:colOff>
      <xdr:row>1</xdr:row>
      <xdr:rowOff>55712</xdr:rowOff>
    </xdr:from>
    <xdr:to>
      <xdr:col>20</xdr:col>
      <xdr:colOff>115342</xdr:colOff>
      <xdr:row>5</xdr:row>
      <xdr:rowOff>66062</xdr:rowOff>
    </xdr:to>
    <xdr:pic>
      <xdr:nvPicPr>
        <xdr:cNvPr id="26" name="Picture 25">
          <a:hlinkClick xmlns:r="http://schemas.openxmlformats.org/officeDocument/2006/relationships" r:id="rId8"/>
          <a:extLst>
            <a:ext uri="{FF2B5EF4-FFF2-40B4-BE49-F238E27FC236}">
              <a16:creationId xmlns:a16="http://schemas.microsoft.com/office/drawing/2014/main" id="{F9A856C9-474A-49F6-8D80-6D910B830BA9}"/>
            </a:ext>
          </a:extLst>
        </xdr:cNvPr>
        <xdr:cNvPicPr>
          <a:picLocks noChangeAspect="1"/>
        </xdr:cNvPicPr>
      </xdr:nvPicPr>
      <xdr:blipFill>
        <a:blip xmlns:r="http://schemas.openxmlformats.org/officeDocument/2006/relationships" r:embed="rId9"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561687" y="246212"/>
          <a:ext cx="745655" cy="772350"/>
        </a:xfrm>
        <a:prstGeom prst="rect">
          <a:avLst/>
        </a:prstGeom>
      </xdr:spPr>
    </xdr:pic>
    <xdr:clientData/>
  </xdr:twoCellAnchor>
  <xdr:twoCellAnchor>
    <xdr:from>
      <xdr:col>3</xdr:col>
      <xdr:colOff>142875</xdr:colOff>
      <xdr:row>4</xdr:row>
      <xdr:rowOff>38100</xdr:rowOff>
    </xdr:from>
    <xdr:to>
      <xdr:col>8</xdr:col>
      <xdr:colOff>342900</xdr:colOff>
      <xdr:row>22</xdr:row>
      <xdr:rowOff>57150</xdr:rowOff>
    </xdr:to>
    <xdr:graphicFrame macro="">
      <xdr:nvGraphicFramePr>
        <xdr:cNvPr id="28" name="Chart 27">
          <a:extLst>
            <a:ext uri="{FF2B5EF4-FFF2-40B4-BE49-F238E27FC236}">
              <a16:creationId xmlns:a16="http://schemas.microsoft.com/office/drawing/2014/main" id="{84E3DF03-C72A-498E-BB6C-48EF6F241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85726</xdr:colOff>
      <xdr:row>0</xdr:row>
      <xdr:rowOff>66675</xdr:rowOff>
    </xdr:from>
    <xdr:to>
      <xdr:col>8</xdr:col>
      <xdr:colOff>409575</xdr:colOff>
      <xdr:row>3</xdr:row>
      <xdr:rowOff>114300</xdr:rowOff>
    </xdr:to>
    <xdr:sp macro="" textlink="">
      <xdr:nvSpPr>
        <xdr:cNvPr id="29" name="Rounded Rectangle 28"/>
        <xdr:cNvSpPr/>
      </xdr:nvSpPr>
      <xdr:spPr>
        <a:xfrm>
          <a:off x="85726" y="66675"/>
          <a:ext cx="5200649" cy="619125"/>
        </a:xfrm>
        <a:prstGeom prst="roundRect">
          <a:avLst/>
        </a:prstGeom>
        <a:solidFill>
          <a:srgbClr val="FF005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0</xdr:row>
      <xdr:rowOff>76201</xdr:rowOff>
    </xdr:from>
    <xdr:to>
      <xdr:col>8</xdr:col>
      <xdr:colOff>476250</xdr:colOff>
      <xdr:row>3</xdr:row>
      <xdr:rowOff>57151</xdr:rowOff>
    </xdr:to>
    <xdr:sp macro="" textlink="">
      <xdr:nvSpPr>
        <xdr:cNvPr id="30" name="TextBox 29"/>
        <xdr:cNvSpPr txBox="1"/>
      </xdr:nvSpPr>
      <xdr:spPr>
        <a:xfrm>
          <a:off x="733425" y="76201"/>
          <a:ext cx="4619625" cy="552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TikTok Platform Analyze</a:t>
          </a:r>
        </a:p>
      </xdr:txBody>
    </xdr:sp>
    <xdr:clientData/>
  </xdr:twoCellAnchor>
  <xdr:twoCellAnchor editAs="oneCell">
    <xdr:from>
      <xdr:col>0</xdr:col>
      <xdr:colOff>285750</xdr:colOff>
      <xdr:row>0</xdr:row>
      <xdr:rowOff>152400</xdr:rowOff>
    </xdr:from>
    <xdr:to>
      <xdr:col>1</xdr:col>
      <xdr:colOff>132739</xdr:colOff>
      <xdr:row>3</xdr:row>
      <xdr:rowOff>37489</xdr:rowOff>
    </xdr:to>
    <xdr:pic>
      <xdr:nvPicPr>
        <xdr:cNvPr id="33" name="Picture 32"/>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285750" y="152400"/>
          <a:ext cx="456589" cy="456589"/>
        </a:xfrm>
        <a:prstGeom prst="rect">
          <a:avLst/>
        </a:prstGeom>
      </xdr:spPr>
    </xdr:pic>
    <xdr:clientData/>
  </xdr:twoCellAnchor>
  <xdr:twoCellAnchor>
    <xdr:from>
      <xdr:col>14</xdr:col>
      <xdr:colOff>571500</xdr:colOff>
      <xdr:row>4</xdr:row>
      <xdr:rowOff>95250</xdr:rowOff>
    </xdr:from>
    <xdr:to>
      <xdr:col>18</xdr:col>
      <xdr:colOff>323850</xdr:colOff>
      <xdr:row>22</xdr:row>
      <xdr:rowOff>85724</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514350</xdr:colOff>
      <xdr:row>0</xdr:row>
      <xdr:rowOff>66675</xdr:rowOff>
    </xdr:from>
    <xdr:to>
      <xdr:col>12</xdr:col>
      <xdr:colOff>419100</xdr:colOff>
      <xdr:row>4</xdr:row>
      <xdr:rowOff>9525</xdr:rowOff>
    </xdr:to>
    <mc:AlternateContent xmlns:mc="http://schemas.openxmlformats.org/markup-compatibility/2006" xmlns:a14="http://schemas.microsoft.com/office/drawing/2010/main">
      <mc:Choice Requires="a14">
        <xdr:graphicFrame macro="">
          <xdr:nvGraphicFramePr>
            <xdr:cNvPr id="35" name="Language  2"/>
            <xdr:cNvGraphicFramePr/>
          </xdr:nvGraphicFramePr>
          <xdr:xfrm>
            <a:off x="0" y="0"/>
            <a:ext cx="0" cy="0"/>
          </xdr:xfrm>
          <a:graphic>
            <a:graphicData uri="http://schemas.microsoft.com/office/drawing/2010/slicer">
              <sle:slicer xmlns:sle="http://schemas.microsoft.com/office/drawing/2010/slicer" name="Language  2"/>
            </a:graphicData>
          </a:graphic>
        </xdr:graphicFrame>
      </mc:Choice>
      <mc:Fallback xmlns="">
        <xdr:sp macro="" textlink="">
          <xdr:nvSpPr>
            <xdr:cNvPr id="0" name=""/>
            <xdr:cNvSpPr>
              <a:spLocks noTextEdit="1"/>
            </xdr:cNvSpPr>
          </xdr:nvSpPr>
          <xdr:spPr>
            <a:xfrm>
              <a:off x="5391150" y="66675"/>
              <a:ext cx="23431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542925</xdr:colOff>
      <xdr:row>0</xdr:row>
      <xdr:rowOff>47625</xdr:rowOff>
    </xdr:from>
    <xdr:to>
      <xdr:col>18</xdr:col>
      <xdr:colOff>285750</xdr:colOff>
      <xdr:row>4</xdr:row>
      <xdr:rowOff>0</xdr:rowOff>
    </xdr:to>
    <mc:AlternateContent xmlns:mc="http://schemas.openxmlformats.org/markup-compatibility/2006" xmlns:a14="http://schemas.microsoft.com/office/drawing/2010/main">
      <mc:Choice Requires="a14">
        <xdr:graphicFrame macro="">
          <xdr:nvGraphicFramePr>
            <xdr:cNvPr id="36" name="Target Group 2"/>
            <xdr:cNvGraphicFramePr/>
          </xdr:nvGraphicFramePr>
          <xdr:xfrm>
            <a:off x="0" y="0"/>
            <a:ext cx="0" cy="0"/>
          </xdr:xfrm>
          <a:graphic>
            <a:graphicData uri="http://schemas.microsoft.com/office/drawing/2010/slicer">
              <sle:slicer xmlns:sle="http://schemas.microsoft.com/office/drawing/2010/slicer" name="Target Group 2"/>
            </a:graphicData>
          </a:graphic>
        </xdr:graphicFrame>
      </mc:Choice>
      <mc:Fallback xmlns="">
        <xdr:sp macro="" textlink="">
          <xdr:nvSpPr>
            <xdr:cNvPr id="0" name=""/>
            <xdr:cNvSpPr>
              <a:spLocks noTextEdit="1"/>
            </xdr:cNvSpPr>
          </xdr:nvSpPr>
          <xdr:spPr>
            <a:xfrm>
              <a:off x="7858125" y="47625"/>
              <a:ext cx="3400425"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110490</xdr:colOff>
      <xdr:row>3</xdr:row>
      <xdr:rowOff>179071</xdr:rowOff>
    </xdr:from>
    <xdr:to>
      <xdr:col>3</xdr:col>
      <xdr:colOff>468626</xdr:colOff>
      <xdr:row>7</xdr:row>
      <xdr:rowOff>152401</xdr:rowOff>
    </xdr:to>
    <xdr:grpSp>
      <xdr:nvGrpSpPr>
        <xdr:cNvPr id="2" name="Group 1">
          <a:extLst>
            <a:ext uri="{FF2B5EF4-FFF2-40B4-BE49-F238E27FC236}">
              <a16:creationId xmlns:a16="http://schemas.microsoft.com/office/drawing/2014/main" id="{8C65DE01-7DBB-4BDE-8BD4-AD664F10C02C}"/>
            </a:ext>
          </a:extLst>
        </xdr:cNvPr>
        <xdr:cNvGrpSpPr/>
      </xdr:nvGrpSpPr>
      <xdr:grpSpPr>
        <a:xfrm>
          <a:off x="110490" y="750571"/>
          <a:ext cx="2186936" cy="735330"/>
          <a:chOff x="2388314" y="236621"/>
          <a:chExt cx="1695470" cy="572719"/>
        </a:xfrm>
        <a:solidFill>
          <a:srgbClr val="477ACD"/>
        </a:solidFill>
        <a:effectLst>
          <a:outerShdw blurRad="50800" dist="38100" dir="2700000" algn="tl" rotWithShape="0">
            <a:prstClr val="black">
              <a:alpha val="40000"/>
            </a:prstClr>
          </a:outerShdw>
        </a:effectLst>
      </xdr:grpSpPr>
      <xdr:sp macro="" textlink="'Master Sheet'!B14">
        <xdr:nvSpPr>
          <xdr:cNvPr id="3" name="Rectangle: Rounded Corners 2">
            <a:extLst>
              <a:ext uri="{FF2B5EF4-FFF2-40B4-BE49-F238E27FC236}">
                <a16:creationId xmlns:a16="http://schemas.microsoft.com/office/drawing/2014/main" id="{EFEBF747-40DD-4192-8F89-6BB62D805B0B}"/>
              </a:ext>
            </a:extLst>
          </xdr:cNvPr>
          <xdr:cNvSpPr/>
        </xdr:nvSpPr>
        <xdr:spPr>
          <a:xfrm>
            <a:off x="2388314" y="236621"/>
            <a:ext cx="1175604" cy="517559"/>
          </a:xfrm>
          <a:prstGeom prst="roundRect">
            <a:avLst/>
          </a:prstGeom>
          <a:solidFill>
            <a:srgbClr val="5398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05B862A-15FA-4301-ADD8-E28298885B4A}" type="TxLink">
              <a:rPr lang="en-US" sz="2400" b="1" i="0" u="none" strike="noStrike">
                <a:solidFill>
                  <a:schemeClr val="bg1"/>
                </a:solidFill>
                <a:latin typeface="Calibri"/>
                <a:cs typeface="Calibri"/>
              </a:rPr>
              <a:pPr algn="ctr"/>
              <a:t> $53,114 </a:t>
            </a:fld>
            <a:endParaRPr lang="en-US" sz="4800" b="1">
              <a:solidFill>
                <a:schemeClr val="bg1"/>
              </a:solidFill>
            </a:endParaRPr>
          </a:p>
        </xdr:txBody>
      </xdr:sp>
      <xdr:sp macro="" textlink="">
        <xdr:nvSpPr>
          <xdr:cNvPr id="4" name="TextBox 3">
            <a:extLst>
              <a:ext uri="{FF2B5EF4-FFF2-40B4-BE49-F238E27FC236}">
                <a16:creationId xmlns:a16="http://schemas.microsoft.com/office/drawing/2014/main" id="{B528605E-B6D9-4F09-8A8B-40694017F7C9}"/>
              </a:ext>
            </a:extLst>
          </xdr:cNvPr>
          <xdr:cNvSpPr txBox="1"/>
        </xdr:nvSpPr>
        <xdr:spPr>
          <a:xfrm>
            <a:off x="2522677" y="510218"/>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grpSp>
    <xdr:clientData/>
  </xdr:twoCellAnchor>
  <xdr:twoCellAnchor>
    <xdr:from>
      <xdr:col>0</xdr:col>
      <xdr:colOff>118112</xdr:colOff>
      <xdr:row>7</xdr:row>
      <xdr:rowOff>179070</xdr:rowOff>
    </xdr:from>
    <xdr:to>
      <xdr:col>3</xdr:col>
      <xdr:colOff>472440</xdr:colOff>
      <xdr:row>11</xdr:row>
      <xdr:rowOff>66675</xdr:rowOff>
    </xdr:to>
    <xdr:grpSp>
      <xdr:nvGrpSpPr>
        <xdr:cNvPr id="5" name="Group 4">
          <a:extLst>
            <a:ext uri="{FF2B5EF4-FFF2-40B4-BE49-F238E27FC236}">
              <a16:creationId xmlns:a16="http://schemas.microsoft.com/office/drawing/2014/main" id="{F9906EF5-E524-42F2-B7EB-49B0352B55D2}"/>
            </a:ext>
          </a:extLst>
        </xdr:cNvPr>
        <xdr:cNvGrpSpPr/>
      </xdr:nvGrpSpPr>
      <xdr:grpSpPr>
        <a:xfrm>
          <a:off x="118112" y="1512570"/>
          <a:ext cx="2183128" cy="649605"/>
          <a:chOff x="2346960" y="236621"/>
          <a:chExt cx="1746151" cy="573931"/>
        </a:xfrm>
        <a:solidFill>
          <a:srgbClr val="477ACD"/>
        </a:solidFill>
        <a:effectLst>
          <a:outerShdw blurRad="50800" dist="38100" dir="2700000" algn="tl" rotWithShape="0">
            <a:prstClr val="black">
              <a:alpha val="40000"/>
            </a:prstClr>
          </a:outerShdw>
        </a:effectLst>
      </xdr:grpSpPr>
      <xdr:sp macro="" textlink="'Master Sheet'!C14">
        <xdr:nvSpPr>
          <xdr:cNvPr id="6" name="Rectangle: Rounded Corners 5">
            <a:extLst>
              <a:ext uri="{FF2B5EF4-FFF2-40B4-BE49-F238E27FC236}">
                <a16:creationId xmlns:a16="http://schemas.microsoft.com/office/drawing/2014/main" id="{C4A300E1-F9F4-4782-86A6-1B26A5D30BC7}"/>
              </a:ext>
            </a:extLst>
          </xdr:cNvPr>
          <xdr:cNvSpPr/>
        </xdr:nvSpPr>
        <xdr:spPr>
          <a:xfrm>
            <a:off x="2346960" y="236621"/>
            <a:ext cx="1216958" cy="517559"/>
          </a:xfrm>
          <a:prstGeom prst="roundRect">
            <a:avLst/>
          </a:prstGeom>
          <a:solidFill>
            <a:srgbClr val="5398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6CE13D0-57E2-47D2-941E-D3D369AF0876}" type="TxLink">
              <a:rPr lang="en-US" sz="2400" b="1" i="0" u="none" strike="noStrike">
                <a:solidFill>
                  <a:schemeClr val="bg1"/>
                </a:solidFill>
                <a:latin typeface="Calibri"/>
                <a:cs typeface="Calibri"/>
              </a:rPr>
              <a:pPr algn="ctr"/>
              <a:t>419081</a:t>
            </a:fld>
            <a:endParaRPr lang="en-US" sz="8800" b="1" i="0">
              <a:solidFill>
                <a:schemeClr val="bg1"/>
              </a:solidFill>
            </a:endParaRPr>
          </a:p>
        </xdr:txBody>
      </xdr:sp>
      <xdr:sp macro="" textlink="">
        <xdr:nvSpPr>
          <xdr:cNvPr id="7" name="TextBox 6">
            <a:extLst>
              <a:ext uri="{FF2B5EF4-FFF2-40B4-BE49-F238E27FC236}">
                <a16:creationId xmlns:a16="http://schemas.microsoft.com/office/drawing/2014/main" id="{934D3CBA-260F-4BFD-A2C2-68B528D8A593}"/>
              </a:ext>
            </a:extLst>
          </xdr:cNvPr>
          <xdr:cNvSpPr txBox="1"/>
        </xdr:nvSpPr>
        <xdr:spPr>
          <a:xfrm>
            <a:off x="2532004" y="511430"/>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Clicks</a:t>
            </a:r>
            <a:endParaRPr lang="en-US" sz="1400" b="1">
              <a:solidFill>
                <a:schemeClr val="tx1"/>
              </a:solidFill>
            </a:endParaRPr>
          </a:p>
        </xdr:txBody>
      </xdr:sp>
    </xdr:grpSp>
    <xdr:clientData/>
  </xdr:twoCellAnchor>
  <xdr:twoCellAnchor>
    <xdr:from>
      <xdr:col>0</xdr:col>
      <xdr:colOff>0</xdr:colOff>
      <xdr:row>11</xdr:row>
      <xdr:rowOff>76202</xdr:rowOff>
    </xdr:from>
    <xdr:to>
      <xdr:col>2</xdr:col>
      <xdr:colOff>571500</xdr:colOff>
      <xdr:row>15</xdr:row>
      <xdr:rowOff>114300</xdr:rowOff>
    </xdr:to>
    <xdr:grpSp>
      <xdr:nvGrpSpPr>
        <xdr:cNvPr id="8" name="Group 7">
          <a:extLst>
            <a:ext uri="{FF2B5EF4-FFF2-40B4-BE49-F238E27FC236}">
              <a16:creationId xmlns:a16="http://schemas.microsoft.com/office/drawing/2014/main" id="{117CF8F6-6108-41EF-B6D4-38530160CC22}"/>
            </a:ext>
          </a:extLst>
        </xdr:cNvPr>
        <xdr:cNvGrpSpPr/>
      </xdr:nvGrpSpPr>
      <xdr:grpSpPr>
        <a:xfrm>
          <a:off x="0" y="2171702"/>
          <a:ext cx="1790700" cy="800098"/>
          <a:chOff x="2094869" y="243391"/>
          <a:chExt cx="2400204" cy="877390"/>
        </a:xfrm>
        <a:solidFill>
          <a:srgbClr val="477ACD"/>
        </a:solidFill>
        <a:effectLst>
          <a:outerShdw blurRad="50800" dist="38100" dir="2700000" algn="tl" rotWithShape="0">
            <a:prstClr val="black">
              <a:alpha val="40000"/>
            </a:prstClr>
          </a:outerShdw>
        </a:effectLst>
      </xdr:grpSpPr>
      <xdr:sp macro="" textlink="'Master Sheet'!D14">
        <xdr:nvSpPr>
          <xdr:cNvPr id="9" name="Rectangle: Rounded Corners 8">
            <a:extLst>
              <a:ext uri="{FF2B5EF4-FFF2-40B4-BE49-F238E27FC236}">
                <a16:creationId xmlns:a16="http://schemas.microsoft.com/office/drawing/2014/main" id="{034F617D-5854-42F2-AE96-2DA848876CDD}"/>
              </a:ext>
            </a:extLst>
          </xdr:cNvPr>
          <xdr:cNvSpPr/>
        </xdr:nvSpPr>
        <xdr:spPr>
          <a:xfrm>
            <a:off x="2253180" y="243391"/>
            <a:ext cx="2080397" cy="834117"/>
          </a:xfrm>
          <a:prstGeom prst="roundRect">
            <a:avLst/>
          </a:prstGeom>
          <a:solidFill>
            <a:srgbClr val="5398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5F1F1F2-913B-4CEB-8358-699E91BF75B7}" type="TxLink">
              <a:rPr lang="en-US" sz="2400" b="1" i="0" u="none" strike="noStrike">
                <a:solidFill>
                  <a:schemeClr val="bg1"/>
                </a:solidFill>
                <a:latin typeface="Calibri"/>
                <a:cs typeface="Calibri"/>
              </a:rPr>
              <a:pPr algn="ctr"/>
              <a:t>251058</a:t>
            </a:fld>
            <a:endParaRPr lang="en-US" sz="23900" b="1">
              <a:solidFill>
                <a:schemeClr val="bg1"/>
              </a:solidFill>
            </a:endParaRPr>
          </a:p>
        </xdr:txBody>
      </xdr:sp>
      <xdr:sp macro="" textlink="">
        <xdr:nvSpPr>
          <xdr:cNvPr id="10" name="TextBox 9">
            <a:extLst>
              <a:ext uri="{FF2B5EF4-FFF2-40B4-BE49-F238E27FC236}">
                <a16:creationId xmlns:a16="http://schemas.microsoft.com/office/drawing/2014/main" id="{0722A822-8FFB-4D33-A544-7AE769B4AD2C}"/>
              </a:ext>
            </a:extLst>
          </xdr:cNvPr>
          <xdr:cNvSpPr txBox="1"/>
        </xdr:nvSpPr>
        <xdr:spPr>
          <a:xfrm>
            <a:off x="2094869" y="565683"/>
            <a:ext cx="2400204" cy="55509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Average </a:t>
            </a:r>
            <a:r>
              <a:rPr lang="en-US" sz="1200" b="1" baseline="0">
                <a:solidFill>
                  <a:schemeClr val="tx1"/>
                </a:solidFill>
              </a:rPr>
              <a:t>Impression </a:t>
            </a:r>
          </a:p>
          <a:p>
            <a:pPr algn="ctr"/>
            <a:r>
              <a:rPr lang="en-US" sz="1200" b="1" baseline="0">
                <a:solidFill>
                  <a:schemeClr val="tx1"/>
                </a:solidFill>
              </a:rPr>
              <a:t>Rate</a:t>
            </a:r>
            <a:endParaRPr lang="en-US" sz="1200" b="1">
              <a:solidFill>
                <a:schemeClr val="tx1"/>
              </a:solidFill>
            </a:endParaRPr>
          </a:p>
        </xdr:txBody>
      </xdr:sp>
    </xdr:grpSp>
    <xdr:clientData/>
  </xdr:twoCellAnchor>
  <xdr:twoCellAnchor>
    <xdr:from>
      <xdr:col>0</xdr:col>
      <xdr:colOff>154306</xdr:colOff>
      <xdr:row>15</xdr:row>
      <xdr:rowOff>148591</xdr:rowOff>
    </xdr:from>
    <xdr:to>
      <xdr:col>3</xdr:col>
      <xdr:colOff>323850</xdr:colOff>
      <xdr:row>19</xdr:row>
      <xdr:rowOff>19051</xdr:rowOff>
    </xdr:to>
    <xdr:grpSp>
      <xdr:nvGrpSpPr>
        <xdr:cNvPr id="11" name="Group 10">
          <a:extLst>
            <a:ext uri="{FF2B5EF4-FFF2-40B4-BE49-F238E27FC236}">
              <a16:creationId xmlns:a16="http://schemas.microsoft.com/office/drawing/2014/main" id="{41878FA2-29A7-4D59-8250-43419B6DEF74}"/>
            </a:ext>
          </a:extLst>
        </xdr:cNvPr>
        <xdr:cNvGrpSpPr/>
      </xdr:nvGrpSpPr>
      <xdr:grpSpPr>
        <a:xfrm>
          <a:off x="154306" y="3006091"/>
          <a:ext cx="1998344" cy="632460"/>
          <a:chOff x="2260271" y="210788"/>
          <a:chExt cx="1748785" cy="568951"/>
        </a:xfrm>
        <a:solidFill>
          <a:srgbClr val="477ACD"/>
        </a:solidFill>
        <a:effectLst>
          <a:outerShdw blurRad="50800" dist="38100" dir="2700000" algn="tl" rotWithShape="0">
            <a:prstClr val="black">
              <a:alpha val="40000"/>
            </a:prstClr>
          </a:outerShdw>
        </a:effectLst>
      </xdr:grpSpPr>
      <xdr:sp macro="" textlink="'Master Sheet'!E14">
        <xdr:nvSpPr>
          <xdr:cNvPr id="12" name="Rectangle: Rounded Corners 11">
            <a:extLst>
              <a:ext uri="{FF2B5EF4-FFF2-40B4-BE49-F238E27FC236}">
                <a16:creationId xmlns:a16="http://schemas.microsoft.com/office/drawing/2014/main" id="{6891CE3B-097D-4144-AAAC-79F4D83281BA}"/>
              </a:ext>
            </a:extLst>
          </xdr:cNvPr>
          <xdr:cNvSpPr/>
        </xdr:nvSpPr>
        <xdr:spPr>
          <a:xfrm>
            <a:off x="2260271" y="210788"/>
            <a:ext cx="1327008" cy="561304"/>
          </a:xfrm>
          <a:prstGeom prst="roundRect">
            <a:avLst/>
          </a:prstGeom>
          <a:solidFill>
            <a:srgbClr val="5398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DEC1CEE-F3A3-48BE-8A02-B0DB92FF6053}" type="TxLink">
              <a:rPr lang="en-US" sz="2400" b="1" i="0" u="none" strike="noStrike">
                <a:solidFill>
                  <a:schemeClr val="bg1"/>
                </a:solidFill>
                <a:latin typeface="Calibri"/>
                <a:cs typeface="Calibri"/>
              </a:rPr>
              <a:pPr algn="ctr"/>
              <a:t>33253030</a:t>
            </a:fld>
            <a:endParaRPr lang="en-US" sz="71400" b="1">
              <a:solidFill>
                <a:schemeClr val="bg1"/>
              </a:solidFill>
            </a:endParaRPr>
          </a:p>
        </xdr:txBody>
      </xdr:sp>
      <xdr:sp macro="" textlink="">
        <xdr:nvSpPr>
          <xdr:cNvPr id="13" name="TextBox 12">
            <a:extLst>
              <a:ext uri="{FF2B5EF4-FFF2-40B4-BE49-F238E27FC236}">
                <a16:creationId xmlns:a16="http://schemas.microsoft.com/office/drawing/2014/main" id="{1BF84FB8-7725-408F-A4CC-A7E58EBA9FAC}"/>
              </a:ext>
            </a:extLst>
          </xdr:cNvPr>
          <xdr:cNvSpPr txBox="1"/>
        </xdr:nvSpPr>
        <xdr:spPr>
          <a:xfrm>
            <a:off x="2447949" y="480617"/>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Reach</a:t>
            </a:r>
            <a:endParaRPr lang="en-US" sz="1400" b="1">
              <a:solidFill>
                <a:schemeClr val="tx1"/>
              </a:solidFill>
            </a:endParaRPr>
          </a:p>
        </xdr:txBody>
      </xdr:sp>
    </xdr:grpSp>
    <xdr:clientData/>
  </xdr:twoCellAnchor>
  <xdr:twoCellAnchor>
    <xdr:from>
      <xdr:col>0</xdr:col>
      <xdr:colOff>150495</xdr:colOff>
      <xdr:row>19</xdr:row>
      <xdr:rowOff>76201</xdr:rowOff>
    </xdr:from>
    <xdr:to>
      <xdr:col>3</xdr:col>
      <xdr:colOff>219080</xdr:colOff>
      <xdr:row>23</xdr:row>
      <xdr:rowOff>3809</xdr:rowOff>
    </xdr:to>
    <xdr:grpSp>
      <xdr:nvGrpSpPr>
        <xdr:cNvPr id="14" name="Group 13">
          <a:extLst>
            <a:ext uri="{FF2B5EF4-FFF2-40B4-BE49-F238E27FC236}">
              <a16:creationId xmlns:a16="http://schemas.microsoft.com/office/drawing/2014/main" id="{3DC97474-47F4-4535-A262-436AC5FE1EA5}"/>
            </a:ext>
          </a:extLst>
        </xdr:cNvPr>
        <xdr:cNvGrpSpPr/>
      </xdr:nvGrpSpPr>
      <xdr:grpSpPr>
        <a:xfrm>
          <a:off x="150495" y="3695701"/>
          <a:ext cx="1897385" cy="689608"/>
          <a:chOff x="2280273" y="237838"/>
          <a:chExt cx="1660433" cy="601880"/>
        </a:xfrm>
        <a:solidFill>
          <a:srgbClr val="477ACD"/>
        </a:solidFill>
        <a:effectLst>
          <a:outerShdw blurRad="50800" dist="38100" dir="2700000" algn="tl"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C0B4D9D1-50AD-4918-804C-903474793E0C}"/>
              </a:ext>
            </a:extLst>
          </xdr:cNvPr>
          <xdr:cNvSpPr/>
        </xdr:nvSpPr>
        <xdr:spPr>
          <a:xfrm>
            <a:off x="2280273" y="237838"/>
            <a:ext cx="1340345" cy="562406"/>
          </a:xfrm>
          <a:prstGeom prst="roundRect">
            <a:avLst/>
          </a:prstGeom>
          <a:solidFill>
            <a:srgbClr val="5398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bg1"/>
                </a:solidFill>
                <a:latin typeface="Calibri"/>
                <a:cs typeface="Calibri"/>
              </a:rPr>
              <a:t>2</a:t>
            </a:r>
            <a:endParaRPr lang="en-US" sz="1100" b="1" i="0" u="none" strike="noStrike">
              <a:solidFill>
                <a:schemeClr val="bg1"/>
              </a:solidFill>
              <a:latin typeface="Calibri"/>
              <a:cs typeface="Calibri"/>
            </a:endParaRPr>
          </a:p>
        </xdr:txBody>
      </xdr:sp>
      <xdr:sp macro="" textlink="">
        <xdr:nvSpPr>
          <xdr:cNvPr id="16" name="TextBox 15">
            <a:extLst>
              <a:ext uri="{FF2B5EF4-FFF2-40B4-BE49-F238E27FC236}">
                <a16:creationId xmlns:a16="http://schemas.microsoft.com/office/drawing/2014/main" id="{E3DDE04E-DB1E-4CE7-B8C7-D9D64A3405B1}"/>
              </a:ext>
            </a:extLst>
          </xdr:cNvPr>
          <xdr:cNvSpPr txBox="1"/>
        </xdr:nvSpPr>
        <xdr:spPr>
          <a:xfrm>
            <a:off x="2379599" y="540596"/>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Language</a:t>
            </a:r>
            <a:endParaRPr lang="en-US" sz="1400" b="1">
              <a:solidFill>
                <a:schemeClr val="tx1"/>
              </a:solidFill>
            </a:endParaRPr>
          </a:p>
        </xdr:txBody>
      </xdr:sp>
    </xdr:grpSp>
    <xdr:clientData/>
  </xdr:twoCellAnchor>
  <xdr:twoCellAnchor>
    <xdr:from>
      <xdr:col>2</xdr:col>
      <xdr:colOff>588645</xdr:colOff>
      <xdr:row>3</xdr:row>
      <xdr:rowOff>180975</xdr:rowOff>
    </xdr:from>
    <xdr:to>
      <xdr:col>2</xdr:col>
      <xdr:colOff>590550</xdr:colOff>
      <xdr:row>22</xdr:row>
      <xdr:rowOff>146685</xdr:rowOff>
    </xdr:to>
    <xdr:cxnSp macro="">
      <xdr:nvCxnSpPr>
        <xdr:cNvPr id="17" name="Straight Connector 16">
          <a:extLst>
            <a:ext uri="{FF2B5EF4-FFF2-40B4-BE49-F238E27FC236}">
              <a16:creationId xmlns:a16="http://schemas.microsoft.com/office/drawing/2014/main" id="{5BF57D9F-69B9-4F20-9DBA-7A834CBBCA92}"/>
            </a:ext>
          </a:extLst>
        </xdr:cNvPr>
        <xdr:cNvCxnSpPr/>
      </xdr:nvCxnSpPr>
      <xdr:spPr>
        <a:xfrm flipH="1">
          <a:off x="1807845" y="752475"/>
          <a:ext cx="1905" cy="358521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85726</xdr:colOff>
      <xdr:row>4</xdr:row>
      <xdr:rowOff>66675</xdr:rowOff>
    </xdr:from>
    <xdr:to>
      <xdr:col>8</xdr:col>
      <xdr:colOff>523875</xdr:colOff>
      <xdr:row>22</xdr:row>
      <xdr:rowOff>123824</xdr:rowOff>
    </xdr:to>
    <xdr:graphicFrame macro="">
      <xdr:nvGraphicFramePr>
        <xdr:cNvPr id="18" name="Chart 17">
          <a:extLst>
            <a:ext uri="{FF2B5EF4-FFF2-40B4-BE49-F238E27FC236}">
              <a16:creationId xmlns:a16="http://schemas.microsoft.com/office/drawing/2014/main" id="{7899F7E2-F326-41A9-BDDB-1A48B2F4D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247649</xdr:colOff>
      <xdr:row>4</xdr:row>
      <xdr:rowOff>104775</xdr:rowOff>
    </xdr:from>
    <xdr:to>
      <xdr:col>18</xdr:col>
      <xdr:colOff>304798</xdr:colOff>
      <xdr:row>11</xdr:row>
      <xdr:rowOff>85725</xdr:rowOff>
    </xdr:to>
    <xdr:graphicFrame macro="">
      <xdr:nvGraphicFramePr>
        <xdr:cNvPr id="19" name="Chart 18">
          <a:extLst>
            <a:ext uri="{FF2B5EF4-FFF2-40B4-BE49-F238E27FC236}">
              <a16:creationId xmlns:a16="http://schemas.microsoft.com/office/drawing/2014/main" id="{FB747976-E5D7-4AC8-94A6-554D7BFCD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361950</xdr:colOff>
      <xdr:row>0</xdr:row>
      <xdr:rowOff>0</xdr:rowOff>
    </xdr:from>
    <xdr:to>
      <xdr:col>21</xdr:col>
      <xdr:colOff>270510</xdr:colOff>
      <xdr:row>23</xdr:row>
      <xdr:rowOff>163068</xdr:rowOff>
    </xdr:to>
    <xdr:sp macro="" textlink="">
      <xdr:nvSpPr>
        <xdr:cNvPr id="20" name="Rectangle: Rounded Corners 19">
          <a:extLst>
            <a:ext uri="{FF2B5EF4-FFF2-40B4-BE49-F238E27FC236}">
              <a16:creationId xmlns:a16="http://schemas.microsoft.com/office/drawing/2014/main" id="{671FE793-0D09-4D49-8214-7A19854D9404}"/>
            </a:ext>
          </a:extLst>
        </xdr:cNvPr>
        <xdr:cNvSpPr/>
      </xdr:nvSpPr>
      <xdr:spPr>
        <a:xfrm>
          <a:off x="11334750" y="0"/>
          <a:ext cx="1737360" cy="4544568"/>
        </a:xfrm>
        <a:prstGeom prst="roundRect">
          <a:avLst>
            <a:gd name="adj" fmla="val 5647"/>
          </a:avLst>
        </a:prstGeom>
        <a:solidFill>
          <a:srgbClr val="5398B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476250</xdr:colOff>
      <xdr:row>12</xdr:row>
      <xdr:rowOff>44934</xdr:rowOff>
    </xdr:from>
    <xdr:to>
      <xdr:col>19</xdr:col>
      <xdr:colOff>598170</xdr:colOff>
      <xdr:row>16</xdr:row>
      <xdr:rowOff>44009</xdr:rowOff>
    </xdr:to>
    <xdr:pic>
      <xdr:nvPicPr>
        <xdr:cNvPr id="21" name="Picture 20">
          <a:hlinkClick xmlns:r="http://schemas.openxmlformats.org/officeDocument/2006/relationships" r:id="rId3"/>
          <a:extLst>
            <a:ext uri="{FF2B5EF4-FFF2-40B4-BE49-F238E27FC236}">
              <a16:creationId xmlns:a16="http://schemas.microsoft.com/office/drawing/2014/main" id="{AC9CAA28-57E2-4A8F-AE91-FB88D4B75AA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49050" y="2330934"/>
          <a:ext cx="731520" cy="761075"/>
        </a:xfrm>
        <a:prstGeom prst="rect">
          <a:avLst/>
        </a:prstGeom>
      </xdr:spPr>
    </xdr:pic>
    <xdr:clientData/>
  </xdr:twoCellAnchor>
  <xdr:twoCellAnchor editAs="oneCell">
    <xdr:from>
      <xdr:col>18</xdr:col>
      <xdr:colOff>476250</xdr:colOff>
      <xdr:row>17</xdr:row>
      <xdr:rowOff>163516</xdr:rowOff>
    </xdr:from>
    <xdr:to>
      <xdr:col>19</xdr:col>
      <xdr:colOff>598170</xdr:colOff>
      <xdr:row>21</xdr:row>
      <xdr:rowOff>162599</xdr:rowOff>
    </xdr:to>
    <xdr:pic>
      <xdr:nvPicPr>
        <xdr:cNvPr id="22" name="Picture 21">
          <a:hlinkClick xmlns:r="http://schemas.openxmlformats.org/officeDocument/2006/relationships" r:id="rId5"/>
          <a:extLst>
            <a:ext uri="{FF2B5EF4-FFF2-40B4-BE49-F238E27FC236}">
              <a16:creationId xmlns:a16="http://schemas.microsoft.com/office/drawing/2014/main" id="{28D35FC3-73B8-47F0-B290-28C82A2D44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449050" y="3402016"/>
          <a:ext cx="731520" cy="761083"/>
        </a:xfrm>
        <a:prstGeom prst="rect">
          <a:avLst/>
        </a:prstGeom>
      </xdr:spPr>
    </xdr:pic>
    <xdr:clientData/>
  </xdr:twoCellAnchor>
  <xdr:twoCellAnchor editAs="oneCell">
    <xdr:from>
      <xdr:col>18</xdr:col>
      <xdr:colOff>476250</xdr:colOff>
      <xdr:row>6</xdr:row>
      <xdr:rowOff>71581</xdr:rowOff>
    </xdr:from>
    <xdr:to>
      <xdr:col>19</xdr:col>
      <xdr:colOff>598170</xdr:colOff>
      <xdr:row>10</xdr:row>
      <xdr:rowOff>70664</xdr:rowOff>
    </xdr:to>
    <xdr:pic>
      <xdr:nvPicPr>
        <xdr:cNvPr id="23" name="Picture 22">
          <a:hlinkClick xmlns:r="http://schemas.openxmlformats.org/officeDocument/2006/relationships" r:id="rId7"/>
          <a:extLst>
            <a:ext uri="{FF2B5EF4-FFF2-40B4-BE49-F238E27FC236}">
              <a16:creationId xmlns:a16="http://schemas.microsoft.com/office/drawing/2014/main" id="{EA57BCE1-09D2-495B-97F3-59D84DB6700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49050" y="1214581"/>
          <a:ext cx="731520" cy="761083"/>
        </a:xfrm>
        <a:prstGeom prst="rect">
          <a:avLst/>
        </a:prstGeom>
      </xdr:spPr>
    </xdr:pic>
    <xdr:clientData/>
  </xdr:twoCellAnchor>
  <xdr:twoCellAnchor editAs="oneCell">
    <xdr:from>
      <xdr:col>18</xdr:col>
      <xdr:colOff>476250</xdr:colOff>
      <xdr:row>0</xdr:row>
      <xdr:rowOff>124025</xdr:rowOff>
    </xdr:from>
    <xdr:to>
      <xdr:col>19</xdr:col>
      <xdr:colOff>520065</xdr:colOff>
      <xdr:row>4</xdr:row>
      <xdr:rowOff>46319</xdr:rowOff>
    </xdr:to>
    <xdr:pic>
      <xdr:nvPicPr>
        <xdr:cNvPr id="24" name="Picture 23">
          <a:hlinkClick xmlns:r="http://schemas.openxmlformats.org/officeDocument/2006/relationships" r:id="rId9"/>
          <a:extLst>
            <a:ext uri="{FF2B5EF4-FFF2-40B4-BE49-F238E27FC236}">
              <a16:creationId xmlns:a16="http://schemas.microsoft.com/office/drawing/2014/main" id="{9E35468A-6484-4A78-B173-C3285A658E0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449050" y="124025"/>
          <a:ext cx="653415" cy="684294"/>
        </a:xfrm>
        <a:prstGeom prst="rect">
          <a:avLst/>
        </a:prstGeom>
      </xdr:spPr>
    </xdr:pic>
    <xdr:clientData/>
  </xdr:twoCellAnchor>
  <xdr:twoCellAnchor>
    <xdr:from>
      <xdr:col>14</xdr:col>
      <xdr:colOff>238125</xdr:colOff>
      <xdr:row>11</xdr:row>
      <xdr:rowOff>142875</xdr:rowOff>
    </xdr:from>
    <xdr:to>
      <xdr:col>18</xdr:col>
      <xdr:colOff>276225</xdr:colOff>
      <xdr:row>22</xdr:row>
      <xdr:rowOff>114300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28575</xdr:colOff>
      <xdr:row>4</xdr:row>
      <xdr:rowOff>104774</xdr:rowOff>
    </xdr:from>
    <xdr:to>
      <xdr:col>14</xdr:col>
      <xdr:colOff>190500</xdr:colOff>
      <xdr:row>22</xdr:row>
      <xdr:rowOff>95249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140970</xdr:colOff>
      <xdr:row>0</xdr:row>
      <xdr:rowOff>38101</xdr:rowOff>
    </xdr:from>
    <xdr:to>
      <xdr:col>8</xdr:col>
      <xdr:colOff>464819</xdr:colOff>
      <xdr:row>3</xdr:row>
      <xdr:rowOff>85726</xdr:rowOff>
    </xdr:to>
    <xdr:sp macro="" textlink="">
      <xdr:nvSpPr>
        <xdr:cNvPr id="28" name="Rounded Rectangle 27"/>
        <xdr:cNvSpPr/>
      </xdr:nvSpPr>
      <xdr:spPr>
        <a:xfrm>
          <a:off x="140970" y="38101"/>
          <a:ext cx="5200649" cy="619125"/>
        </a:xfrm>
        <a:prstGeom prst="roundRect">
          <a:avLst/>
        </a:prstGeom>
        <a:solidFill>
          <a:srgbClr val="5398BE"/>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179069</xdr:colOff>
      <xdr:row>0</xdr:row>
      <xdr:rowOff>47627</xdr:rowOff>
    </xdr:from>
    <xdr:to>
      <xdr:col>8</xdr:col>
      <xdr:colOff>531494</xdr:colOff>
      <xdr:row>3</xdr:row>
      <xdr:rowOff>28577</xdr:rowOff>
    </xdr:to>
    <xdr:sp macro="" textlink="">
      <xdr:nvSpPr>
        <xdr:cNvPr id="29" name="TextBox 28"/>
        <xdr:cNvSpPr txBox="1"/>
      </xdr:nvSpPr>
      <xdr:spPr>
        <a:xfrm>
          <a:off x="788669" y="47627"/>
          <a:ext cx="4619625" cy="552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Meta Platform Analyze</a:t>
          </a:r>
        </a:p>
      </xdr:txBody>
    </xdr:sp>
    <xdr:clientData/>
  </xdr:twoCellAnchor>
  <xdr:twoCellAnchor editAs="oneCell">
    <xdr:from>
      <xdr:col>0</xdr:col>
      <xdr:colOff>304801</xdr:colOff>
      <xdr:row>0</xdr:row>
      <xdr:rowOff>95251</xdr:rowOff>
    </xdr:from>
    <xdr:to>
      <xdr:col>1</xdr:col>
      <xdr:colOff>228601</xdr:colOff>
      <xdr:row>3</xdr:row>
      <xdr:rowOff>57151</xdr:rowOff>
    </xdr:to>
    <xdr:pic>
      <xdr:nvPicPr>
        <xdr:cNvPr id="31" name="Picture 3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04801" y="95251"/>
          <a:ext cx="533400" cy="533400"/>
        </a:xfrm>
        <a:prstGeom prst="rect">
          <a:avLst/>
        </a:prstGeom>
      </xdr:spPr>
    </xdr:pic>
    <xdr:clientData/>
  </xdr:twoCellAnchor>
  <xdr:twoCellAnchor editAs="oneCell">
    <xdr:from>
      <xdr:col>9</xdr:col>
      <xdr:colOff>28574</xdr:colOff>
      <xdr:row>0</xdr:row>
      <xdr:rowOff>85726</xdr:rowOff>
    </xdr:from>
    <xdr:to>
      <xdr:col>12</xdr:col>
      <xdr:colOff>342899</xdr:colOff>
      <xdr:row>3</xdr:row>
      <xdr:rowOff>180975</xdr:rowOff>
    </xdr:to>
    <mc:AlternateContent xmlns:mc="http://schemas.openxmlformats.org/markup-compatibility/2006" xmlns:a14="http://schemas.microsoft.com/office/drawing/2010/main">
      <mc:Choice Requires="a14">
        <xdr:graphicFrame macro="">
          <xdr:nvGraphicFramePr>
            <xdr:cNvPr id="32" name="Language 1"/>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mlns="">
        <xdr:sp macro="" textlink="">
          <xdr:nvSpPr>
            <xdr:cNvPr id="0" name=""/>
            <xdr:cNvSpPr>
              <a:spLocks noTextEdit="1"/>
            </xdr:cNvSpPr>
          </xdr:nvSpPr>
          <xdr:spPr>
            <a:xfrm>
              <a:off x="5514974" y="85726"/>
              <a:ext cx="214312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419099</xdr:colOff>
      <xdr:row>0</xdr:row>
      <xdr:rowOff>57151</xdr:rowOff>
    </xdr:from>
    <xdr:to>
      <xdr:col>18</xdr:col>
      <xdr:colOff>152400</xdr:colOff>
      <xdr:row>3</xdr:row>
      <xdr:rowOff>180975</xdr:rowOff>
    </xdr:to>
    <mc:AlternateContent xmlns:mc="http://schemas.openxmlformats.org/markup-compatibility/2006" xmlns:a14="http://schemas.microsoft.com/office/drawing/2010/main">
      <mc:Choice Requires="a14">
        <xdr:graphicFrame macro="">
          <xdr:nvGraphicFramePr>
            <xdr:cNvPr id="33" name="Target Group 4"/>
            <xdr:cNvGraphicFramePr/>
          </xdr:nvGraphicFramePr>
          <xdr:xfrm>
            <a:off x="0" y="0"/>
            <a:ext cx="0" cy="0"/>
          </xdr:xfrm>
          <a:graphic>
            <a:graphicData uri="http://schemas.microsoft.com/office/drawing/2010/slicer">
              <sle:slicer xmlns:sle="http://schemas.microsoft.com/office/drawing/2010/slicer" name="Target Group 4"/>
            </a:graphicData>
          </a:graphic>
        </xdr:graphicFrame>
      </mc:Choice>
      <mc:Fallback xmlns="">
        <xdr:sp macro="" textlink="">
          <xdr:nvSpPr>
            <xdr:cNvPr id="0" name=""/>
            <xdr:cNvSpPr>
              <a:spLocks noTextEdit="1"/>
            </xdr:cNvSpPr>
          </xdr:nvSpPr>
          <xdr:spPr>
            <a:xfrm>
              <a:off x="7734299" y="57151"/>
              <a:ext cx="3390901"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158115</xdr:colOff>
      <xdr:row>4</xdr:row>
      <xdr:rowOff>0</xdr:rowOff>
    </xdr:from>
    <xdr:to>
      <xdr:col>3</xdr:col>
      <xdr:colOff>516251</xdr:colOff>
      <xdr:row>7</xdr:row>
      <xdr:rowOff>171450</xdr:rowOff>
    </xdr:to>
    <xdr:grpSp>
      <xdr:nvGrpSpPr>
        <xdr:cNvPr id="2" name="Group 1">
          <a:extLst>
            <a:ext uri="{FF2B5EF4-FFF2-40B4-BE49-F238E27FC236}">
              <a16:creationId xmlns:a16="http://schemas.microsoft.com/office/drawing/2014/main" id="{0E432632-34E6-4B08-B1DF-E500696F4445}"/>
            </a:ext>
          </a:extLst>
        </xdr:cNvPr>
        <xdr:cNvGrpSpPr/>
      </xdr:nvGrpSpPr>
      <xdr:grpSpPr>
        <a:xfrm>
          <a:off x="158115" y="762000"/>
          <a:ext cx="2186936" cy="742950"/>
          <a:chOff x="2388314" y="236621"/>
          <a:chExt cx="1695470" cy="556526"/>
        </a:xfrm>
        <a:solidFill>
          <a:srgbClr val="FFFF9B"/>
        </a:solidFill>
        <a:effectLst>
          <a:outerShdw blurRad="50800" dist="38100" dir="2700000" algn="tl" rotWithShape="0">
            <a:prstClr val="black">
              <a:alpha val="40000"/>
            </a:prstClr>
          </a:outerShdw>
        </a:effectLst>
      </xdr:grpSpPr>
      <xdr:sp macro="" textlink="'Master Sheet'!B15">
        <xdr:nvSpPr>
          <xdr:cNvPr id="3" name="Rectangle: Rounded Corners 2">
            <a:extLst>
              <a:ext uri="{FF2B5EF4-FFF2-40B4-BE49-F238E27FC236}">
                <a16:creationId xmlns:a16="http://schemas.microsoft.com/office/drawing/2014/main" id="{2BBCDFED-0BE3-45EB-A53A-C1514B6B999A}"/>
              </a:ext>
            </a:extLst>
          </xdr:cNvPr>
          <xdr:cNvSpPr/>
        </xdr:nvSpPr>
        <xdr:spPr>
          <a:xfrm>
            <a:off x="2388314" y="236621"/>
            <a:ext cx="1175604" cy="517559"/>
          </a:xfrm>
          <a:prstGeom prst="roundRect">
            <a:avLst/>
          </a:prstGeom>
          <a:solidFill>
            <a:srgbClr val="FFFF9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D4514C8-1328-4B5B-B02E-DAE4969828DC}" type="TxLink">
              <a:rPr lang="en-US" sz="2400" b="1" i="0" u="none" strike="noStrike">
                <a:solidFill>
                  <a:schemeClr val="bg1">
                    <a:lumMod val="65000"/>
                  </a:schemeClr>
                </a:solidFill>
                <a:latin typeface="Calibri"/>
                <a:cs typeface="Calibri"/>
              </a:rPr>
              <a:pPr algn="ctr"/>
              <a:t> $23,049 </a:t>
            </a:fld>
            <a:endParaRPr lang="en-US" sz="4800" b="1">
              <a:solidFill>
                <a:schemeClr val="bg1">
                  <a:lumMod val="65000"/>
                </a:schemeClr>
              </a:solidFill>
            </a:endParaRPr>
          </a:p>
        </xdr:txBody>
      </xdr:sp>
      <xdr:sp macro="" textlink="">
        <xdr:nvSpPr>
          <xdr:cNvPr id="4" name="TextBox 3">
            <a:extLst>
              <a:ext uri="{FF2B5EF4-FFF2-40B4-BE49-F238E27FC236}">
                <a16:creationId xmlns:a16="http://schemas.microsoft.com/office/drawing/2014/main" id="{F8AFC3FD-C3B0-414D-BE49-579B6E59714D}"/>
              </a:ext>
            </a:extLst>
          </xdr:cNvPr>
          <xdr:cNvSpPr txBox="1"/>
        </xdr:nvSpPr>
        <xdr:spPr>
          <a:xfrm>
            <a:off x="2522677" y="494025"/>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Amount</a:t>
            </a:r>
            <a:endParaRPr lang="en-US" sz="1400" b="1">
              <a:solidFill>
                <a:schemeClr val="tx1"/>
              </a:solidFill>
            </a:endParaRPr>
          </a:p>
        </xdr:txBody>
      </xdr:sp>
    </xdr:grpSp>
    <xdr:clientData/>
  </xdr:twoCellAnchor>
  <xdr:twoCellAnchor>
    <xdr:from>
      <xdr:col>0</xdr:col>
      <xdr:colOff>142877</xdr:colOff>
      <xdr:row>7</xdr:row>
      <xdr:rowOff>180975</xdr:rowOff>
    </xdr:from>
    <xdr:to>
      <xdr:col>3</xdr:col>
      <xdr:colOff>516254</xdr:colOff>
      <xdr:row>11</xdr:row>
      <xdr:rowOff>161924</xdr:rowOff>
    </xdr:to>
    <xdr:grpSp>
      <xdr:nvGrpSpPr>
        <xdr:cNvPr id="5" name="Group 4">
          <a:extLst>
            <a:ext uri="{FF2B5EF4-FFF2-40B4-BE49-F238E27FC236}">
              <a16:creationId xmlns:a16="http://schemas.microsoft.com/office/drawing/2014/main" id="{5BC3FA87-2C16-4C39-A5A0-362DF76821F2}"/>
            </a:ext>
          </a:extLst>
        </xdr:cNvPr>
        <xdr:cNvGrpSpPr/>
      </xdr:nvGrpSpPr>
      <xdr:grpSpPr>
        <a:xfrm>
          <a:off x="142877" y="1514475"/>
          <a:ext cx="2202177" cy="742949"/>
          <a:chOff x="2346960" y="236621"/>
          <a:chExt cx="1761387" cy="590762"/>
        </a:xfrm>
        <a:solidFill>
          <a:srgbClr val="FFFF9B"/>
        </a:solidFill>
        <a:effectLst>
          <a:outerShdw blurRad="50800" dist="38100" dir="2700000" algn="tl" rotWithShape="0">
            <a:prstClr val="black">
              <a:alpha val="40000"/>
            </a:prstClr>
          </a:outerShdw>
        </a:effectLst>
      </xdr:grpSpPr>
      <xdr:sp macro="" textlink="'Master Sheet'!C15">
        <xdr:nvSpPr>
          <xdr:cNvPr id="6" name="Rectangle: Rounded Corners 5">
            <a:extLst>
              <a:ext uri="{FF2B5EF4-FFF2-40B4-BE49-F238E27FC236}">
                <a16:creationId xmlns:a16="http://schemas.microsoft.com/office/drawing/2014/main" id="{B100D3EA-43D2-41CB-966A-BDB0BAAEDB15}"/>
              </a:ext>
            </a:extLst>
          </xdr:cNvPr>
          <xdr:cNvSpPr/>
        </xdr:nvSpPr>
        <xdr:spPr>
          <a:xfrm>
            <a:off x="2346960" y="236621"/>
            <a:ext cx="1216958" cy="517559"/>
          </a:xfrm>
          <a:prstGeom prst="roundRect">
            <a:avLst/>
          </a:prstGeom>
          <a:solidFill>
            <a:srgbClr val="FFFF9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AB74DAD-7A64-4313-B67E-49340E9F44CF}" type="TxLink">
              <a:rPr lang="en-US" sz="2400" b="1" i="0" u="none" strike="noStrike">
                <a:solidFill>
                  <a:schemeClr val="bg1">
                    <a:lumMod val="65000"/>
                  </a:schemeClr>
                </a:solidFill>
                <a:latin typeface="Calibri"/>
                <a:cs typeface="Calibri"/>
              </a:rPr>
              <a:pPr algn="ctr"/>
              <a:t>54794</a:t>
            </a:fld>
            <a:endParaRPr lang="en-US" sz="8800" b="1">
              <a:solidFill>
                <a:schemeClr val="bg1">
                  <a:lumMod val="65000"/>
                </a:schemeClr>
              </a:solidFill>
            </a:endParaRPr>
          </a:p>
        </xdr:txBody>
      </xdr:sp>
      <xdr:sp macro="" textlink="">
        <xdr:nvSpPr>
          <xdr:cNvPr id="7" name="TextBox 6">
            <a:extLst>
              <a:ext uri="{FF2B5EF4-FFF2-40B4-BE49-F238E27FC236}">
                <a16:creationId xmlns:a16="http://schemas.microsoft.com/office/drawing/2014/main" id="{697ACCB0-7EBF-4B1B-B461-539D53D5E98F}"/>
              </a:ext>
            </a:extLst>
          </xdr:cNvPr>
          <xdr:cNvSpPr txBox="1"/>
        </xdr:nvSpPr>
        <xdr:spPr>
          <a:xfrm>
            <a:off x="2547240" y="528261"/>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Clicks</a:t>
            </a:r>
            <a:endParaRPr lang="en-US" sz="1400" b="1">
              <a:solidFill>
                <a:schemeClr val="tx1"/>
              </a:solidFill>
            </a:endParaRPr>
          </a:p>
        </xdr:txBody>
      </xdr:sp>
    </xdr:grpSp>
    <xdr:clientData/>
  </xdr:twoCellAnchor>
  <xdr:twoCellAnchor>
    <xdr:from>
      <xdr:col>0</xdr:col>
      <xdr:colOff>28575</xdr:colOff>
      <xdr:row>11</xdr:row>
      <xdr:rowOff>142875</xdr:rowOff>
    </xdr:from>
    <xdr:to>
      <xdr:col>2</xdr:col>
      <xdr:colOff>600075</xdr:colOff>
      <xdr:row>16</xdr:row>
      <xdr:rowOff>1</xdr:rowOff>
    </xdr:to>
    <xdr:grpSp>
      <xdr:nvGrpSpPr>
        <xdr:cNvPr id="8" name="Group 7">
          <a:extLst>
            <a:ext uri="{FF2B5EF4-FFF2-40B4-BE49-F238E27FC236}">
              <a16:creationId xmlns:a16="http://schemas.microsoft.com/office/drawing/2014/main" id="{BAB5F7BD-61AA-4C43-95B3-3F00280369F8}"/>
            </a:ext>
          </a:extLst>
        </xdr:cNvPr>
        <xdr:cNvGrpSpPr/>
      </xdr:nvGrpSpPr>
      <xdr:grpSpPr>
        <a:xfrm>
          <a:off x="28575" y="2238375"/>
          <a:ext cx="1790700" cy="809626"/>
          <a:chOff x="2120403" y="243391"/>
          <a:chExt cx="2400204" cy="899864"/>
        </a:xfrm>
        <a:solidFill>
          <a:srgbClr val="FFFF9B"/>
        </a:solidFill>
        <a:effectLst>
          <a:outerShdw blurRad="50800" dist="38100" dir="2700000" algn="tl" rotWithShape="0">
            <a:prstClr val="black">
              <a:alpha val="40000"/>
            </a:prstClr>
          </a:outerShdw>
        </a:effectLst>
      </xdr:grpSpPr>
      <xdr:sp macro="" textlink="'Master Sheet'!D15">
        <xdr:nvSpPr>
          <xdr:cNvPr id="9" name="Rectangle: Rounded Corners 8">
            <a:extLst>
              <a:ext uri="{FF2B5EF4-FFF2-40B4-BE49-F238E27FC236}">
                <a16:creationId xmlns:a16="http://schemas.microsoft.com/office/drawing/2014/main" id="{DB7BFF45-D87A-49CA-8094-197FFF1B4892}"/>
              </a:ext>
            </a:extLst>
          </xdr:cNvPr>
          <xdr:cNvSpPr/>
        </xdr:nvSpPr>
        <xdr:spPr>
          <a:xfrm>
            <a:off x="2253180" y="243391"/>
            <a:ext cx="2080397" cy="834117"/>
          </a:xfrm>
          <a:prstGeom prst="roundRect">
            <a:avLst/>
          </a:prstGeom>
          <a:solidFill>
            <a:srgbClr val="FFFF9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79DE7EF-4F57-4DF5-8F65-931DA820E15E}" type="TxLink">
              <a:rPr lang="en-US" sz="2400" b="1" i="0" u="none" strike="noStrike">
                <a:solidFill>
                  <a:schemeClr val="bg1">
                    <a:lumMod val="65000"/>
                  </a:schemeClr>
                </a:solidFill>
                <a:latin typeface="Calibri"/>
                <a:cs typeface="Calibri"/>
              </a:rPr>
              <a:pPr algn="ctr"/>
              <a:t>316106</a:t>
            </a:fld>
            <a:endParaRPr lang="en-US" sz="23900" b="1">
              <a:solidFill>
                <a:schemeClr val="bg1">
                  <a:lumMod val="65000"/>
                </a:schemeClr>
              </a:solidFill>
            </a:endParaRPr>
          </a:p>
        </xdr:txBody>
      </xdr:sp>
      <xdr:sp macro="" textlink="">
        <xdr:nvSpPr>
          <xdr:cNvPr id="10" name="TextBox 9">
            <a:extLst>
              <a:ext uri="{FF2B5EF4-FFF2-40B4-BE49-F238E27FC236}">
                <a16:creationId xmlns:a16="http://schemas.microsoft.com/office/drawing/2014/main" id="{82055B9D-301B-4DE2-86CC-B5BEC087FA15}"/>
              </a:ext>
            </a:extLst>
          </xdr:cNvPr>
          <xdr:cNvSpPr txBox="1"/>
        </xdr:nvSpPr>
        <xdr:spPr>
          <a:xfrm>
            <a:off x="2120403" y="588158"/>
            <a:ext cx="2400204" cy="55509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Average </a:t>
            </a:r>
            <a:r>
              <a:rPr lang="en-US" sz="1200" b="1" baseline="0">
                <a:solidFill>
                  <a:schemeClr val="tx1"/>
                </a:solidFill>
              </a:rPr>
              <a:t>Impression </a:t>
            </a:r>
          </a:p>
          <a:p>
            <a:pPr algn="ctr"/>
            <a:r>
              <a:rPr lang="en-US" sz="1200" b="1" baseline="0">
                <a:solidFill>
                  <a:schemeClr val="tx1"/>
                </a:solidFill>
              </a:rPr>
              <a:t>Rate</a:t>
            </a:r>
            <a:endParaRPr lang="en-US" sz="1200" b="1">
              <a:solidFill>
                <a:schemeClr val="tx1"/>
              </a:solidFill>
            </a:endParaRPr>
          </a:p>
        </xdr:txBody>
      </xdr:sp>
    </xdr:grpSp>
    <xdr:clientData/>
  </xdr:twoCellAnchor>
  <xdr:twoCellAnchor>
    <xdr:from>
      <xdr:col>0</xdr:col>
      <xdr:colOff>129542</xdr:colOff>
      <xdr:row>16</xdr:row>
      <xdr:rowOff>15241</xdr:rowOff>
    </xdr:from>
    <xdr:to>
      <xdr:col>3</xdr:col>
      <xdr:colOff>308612</xdr:colOff>
      <xdr:row>19</xdr:row>
      <xdr:rowOff>95251</xdr:rowOff>
    </xdr:to>
    <xdr:grpSp>
      <xdr:nvGrpSpPr>
        <xdr:cNvPr id="11" name="Group 10">
          <a:extLst>
            <a:ext uri="{FF2B5EF4-FFF2-40B4-BE49-F238E27FC236}">
              <a16:creationId xmlns:a16="http://schemas.microsoft.com/office/drawing/2014/main" id="{38BDE877-D44C-41D1-8B8F-09B1402DAA6B}"/>
            </a:ext>
          </a:extLst>
        </xdr:cNvPr>
        <xdr:cNvGrpSpPr/>
      </xdr:nvGrpSpPr>
      <xdr:grpSpPr>
        <a:xfrm>
          <a:off x="129542" y="3063241"/>
          <a:ext cx="2007870" cy="651510"/>
          <a:chOff x="2260271" y="210788"/>
          <a:chExt cx="1757121" cy="594183"/>
        </a:xfrm>
        <a:solidFill>
          <a:srgbClr val="FFFF9B"/>
        </a:solidFill>
        <a:effectLst>
          <a:outerShdw blurRad="50800" dist="38100" dir="2700000" algn="tl" rotWithShape="0">
            <a:prstClr val="black">
              <a:alpha val="40000"/>
            </a:prstClr>
          </a:outerShdw>
        </a:effectLst>
      </xdr:grpSpPr>
      <xdr:sp macro="" textlink="'Master Sheet'!E15">
        <xdr:nvSpPr>
          <xdr:cNvPr id="12" name="Rectangle: Rounded Corners 11">
            <a:extLst>
              <a:ext uri="{FF2B5EF4-FFF2-40B4-BE49-F238E27FC236}">
                <a16:creationId xmlns:a16="http://schemas.microsoft.com/office/drawing/2014/main" id="{729887C8-EAC6-4AC3-8CF0-1FF55FAE1CA9}"/>
              </a:ext>
            </a:extLst>
          </xdr:cNvPr>
          <xdr:cNvSpPr/>
        </xdr:nvSpPr>
        <xdr:spPr>
          <a:xfrm>
            <a:off x="2260271" y="210788"/>
            <a:ext cx="1327008" cy="561304"/>
          </a:xfrm>
          <a:prstGeom prst="roundRect">
            <a:avLst/>
          </a:prstGeom>
          <a:solidFill>
            <a:srgbClr val="FFFF9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8BBC029-9501-4B12-B487-762D498D8EA5}" type="TxLink">
              <a:rPr lang="en-US" sz="2400" b="1" i="0" u="none" strike="noStrike">
                <a:solidFill>
                  <a:schemeClr val="bg1">
                    <a:lumMod val="65000"/>
                  </a:schemeClr>
                </a:solidFill>
                <a:latin typeface="Calibri"/>
                <a:cs typeface="Calibri"/>
              </a:rPr>
              <a:pPr algn="ctr"/>
              <a:t>12654659</a:t>
            </a:fld>
            <a:endParaRPr lang="en-US" sz="71400" b="1">
              <a:solidFill>
                <a:schemeClr val="bg1">
                  <a:lumMod val="65000"/>
                </a:schemeClr>
              </a:solidFill>
            </a:endParaRPr>
          </a:p>
        </xdr:txBody>
      </xdr:sp>
      <xdr:sp macro="" textlink="">
        <xdr:nvSpPr>
          <xdr:cNvPr id="13" name="TextBox 12">
            <a:extLst>
              <a:ext uri="{FF2B5EF4-FFF2-40B4-BE49-F238E27FC236}">
                <a16:creationId xmlns:a16="http://schemas.microsoft.com/office/drawing/2014/main" id="{DAFCA145-A5CA-48E1-AA92-75307813DBEE}"/>
              </a:ext>
            </a:extLst>
          </xdr:cNvPr>
          <xdr:cNvSpPr txBox="1"/>
        </xdr:nvSpPr>
        <xdr:spPr>
          <a:xfrm>
            <a:off x="2456285" y="505849"/>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Reach</a:t>
            </a:r>
            <a:endParaRPr lang="en-US" sz="1400" b="1">
              <a:solidFill>
                <a:schemeClr val="tx1"/>
              </a:solidFill>
            </a:endParaRPr>
          </a:p>
        </xdr:txBody>
      </xdr:sp>
    </xdr:grpSp>
    <xdr:clientData/>
  </xdr:twoCellAnchor>
  <xdr:twoCellAnchor>
    <xdr:from>
      <xdr:col>0</xdr:col>
      <xdr:colOff>121920</xdr:colOff>
      <xdr:row>19</xdr:row>
      <xdr:rowOff>123826</xdr:rowOff>
    </xdr:from>
    <xdr:to>
      <xdr:col>3</xdr:col>
      <xdr:colOff>190505</xdr:colOff>
      <xdr:row>23</xdr:row>
      <xdr:rowOff>36194</xdr:rowOff>
    </xdr:to>
    <xdr:grpSp>
      <xdr:nvGrpSpPr>
        <xdr:cNvPr id="14" name="Group 13">
          <a:extLst>
            <a:ext uri="{FF2B5EF4-FFF2-40B4-BE49-F238E27FC236}">
              <a16:creationId xmlns:a16="http://schemas.microsoft.com/office/drawing/2014/main" id="{D642832C-8722-431B-9989-A4A546B1E190}"/>
            </a:ext>
          </a:extLst>
        </xdr:cNvPr>
        <xdr:cNvGrpSpPr/>
      </xdr:nvGrpSpPr>
      <xdr:grpSpPr>
        <a:xfrm>
          <a:off x="121920" y="3743326"/>
          <a:ext cx="1897385" cy="674368"/>
          <a:chOff x="2280273" y="237838"/>
          <a:chExt cx="1660433" cy="601880"/>
        </a:xfrm>
        <a:solidFill>
          <a:srgbClr val="FFFF9B"/>
        </a:solidFill>
        <a:effectLst>
          <a:outerShdw blurRad="50800" dist="38100" dir="2700000" algn="tl"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C2CB9D08-18EC-4C8D-ACAC-0079A55930B6}"/>
              </a:ext>
            </a:extLst>
          </xdr:cNvPr>
          <xdr:cNvSpPr/>
        </xdr:nvSpPr>
        <xdr:spPr>
          <a:xfrm>
            <a:off x="2280273" y="237838"/>
            <a:ext cx="1340345" cy="562406"/>
          </a:xfrm>
          <a:prstGeom prst="roundRect">
            <a:avLst/>
          </a:prstGeom>
          <a:solidFill>
            <a:srgbClr val="FFFF9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bg1">
                    <a:lumMod val="65000"/>
                  </a:schemeClr>
                </a:solidFill>
                <a:latin typeface="Calibri"/>
                <a:cs typeface="Calibri"/>
              </a:rPr>
              <a:t>2</a:t>
            </a:r>
            <a:endParaRPr lang="en-US" sz="1100" b="1" i="0" u="none" strike="noStrike">
              <a:solidFill>
                <a:schemeClr val="bg1">
                  <a:lumMod val="65000"/>
                </a:schemeClr>
              </a:solidFill>
              <a:latin typeface="Calibri"/>
              <a:cs typeface="Calibri"/>
            </a:endParaRPr>
          </a:p>
        </xdr:txBody>
      </xdr:sp>
      <xdr:sp macro="" textlink="">
        <xdr:nvSpPr>
          <xdr:cNvPr id="16" name="TextBox 15">
            <a:extLst>
              <a:ext uri="{FF2B5EF4-FFF2-40B4-BE49-F238E27FC236}">
                <a16:creationId xmlns:a16="http://schemas.microsoft.com/office/drawing/2014/main" id="{2D972BCF-50EE-4F6A-A4F8-52A1A85AD763}"/>
              </a:ext>
            </a:extLst>
          </xdr:cNvPr>
          <xdr:cNvSpPr txBox="1"/>
        </xdr:nvSpPr>
        <xdr:spPr>
          <a:xfrm>
            <a:off x="2379599" y="540596"/>
            <a:ext cx="1561107" cy="29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Total</a:t>
            </a:r>
            <a:r>
              <a:rPr lang="en-US" sz="1400" b="1" baseline="0">
                <a:solidFill>
                  <a:schemeClr val="tx1"/>
                </a:solidFill>
              </a:rPr>
              <a:t> Language</a:t>
            </a:r>
            <a:endParaRPr lang="en-US" sz="1400" b="1">
              <a:solidFill>
                <a:schemeClr val="tx1"/>
              </a:solidFill>
            </a:endParaRPr>
          </a:p>
        </xdr:txBody>
      </xdr:sp>
    </xdr:grpSp>
    <xdr:clientData/>
  </xdr:twoCellAnchor>
  <xdr:twoCellAnchor>
    <xdr:from>
      <xdr:col>3</xdr:col>
      <xdr:colOff>0</xdr:colOff>
      <xdr:row>4</xdr:row>
      <xdr:rowOff>0</xdr:rowOff>
    </xdr:from>
    <xdr:to>
      <xdr:col>3</xdr:col>
      <xdr:colOff>45720</xdr:colOff>
      <xdr:row>25</xdr:row>
      <xdr:rowOff>175260</xdr:rowOff>
    </xdr:to>
    <xdr:cxnSp macro="">
      <xdr:nvCxnSpPr>
        <xdr:cNvPr id="17" name="Straight Connector 16">
          <a:extLst>
            <a:ext uri="{FF2B5EF4-FFF2-40B4-BE49-F238E27FC236}">
              <a16:creationId xmlns:a16="http://schemas.microsoft.com/office/drawing/2014/main" id="{89DD4527-3E17-4CE3-8FD0-DCEB534F247C}"/>
            </a:ext>
          </a:extLst>
        </xdr:cNvPr>
        <xdr:cNvCxnSpPr/>
      </xdr:nvCxnSpPr>
      <xdr:spPr>
        <a:xfrm>
          <a:off x="1828800" y="731520"/>
          <a:ext cx="45720" cy="401574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123825</xdr:colOff>
      <xdr:row>4</xdr:row>
      <xdr:rowOff>19050</xdr:rowOff>
    </xdr:from>
    <xdr:to>
      <xdr:col>9</xdr:col>
      <xdr:colOff>0</xdr:colOff>
      <xdr:row>22</xdr:row>
      <xdr:rowOff>38100</xdr:rowOff>
    </xdr:to>
    <xdr:graphicFrame macro="">
      <xdr:nvGraphicFramePr>
        <xdr:cNvPr id="18" name="Chart 17">
          <a:extLst>
            <a:ext uri="{FF2B5EF4-FFF2-40B4-BE49-F238E27FC236}">
              <a16:creationId xmlns:a16="http://schemas.microsoft.com/office/drawing/2014/main" id="{07C3F700-9DAE-47EC-8D6B-F53021FEC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308610</xdr:colOff>
      <xdr:row>0</xdr:row>
      <xdr:rowOff>0</xdr:rowOff>
    </xdr:from>
    <xdr:to>
      <xdr:col>21</xdr:col>
      <xdr:colOff>369024</xdr:colOff>
      <xdr:row>29</xdr:row>
      <xdr:rowOff>53340</xdr:rowOff>
    </xdr:to>
    <xdr:sp macro="" textlink="">
      <xdr:nvSpPr>
        <xdr:cNvPr id="19" name="Rectangle: Rounded Corners 18">
          <a:extLst>
            <a:ext uri="{FF2B5EF4-FFF2-40B4-BE49-F238E27FC236}">
              <a16:creationId xmlns:a16="http://schemas.microsoft.com/office/drawing/2014/main" id="{2526067B-6620-4AB2-8851-A0A43B2B50CE}"/>
            </a:ext>
          </a:extLst>
        </xdr:cNvPr>
        <xdr:cNvSpPr/>
      </xdr:nvSpPr>
      <xdr:spPr>
        <a:xfrm>
          <a:off x="11281410" y="0"/>
          <a:ext cx="1889214" cy="5577840"/>
        </a:xfrm>
        <a:prstGeom prst="roundRect">
          <a:avLst>
            <a:gd name="adj" fmla="val 5647"/>
          </a:avLst>
        </a:prstGeom>
        <a:solidFill>
          <a:srgbClr val="FFFF9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571103</xdr:colOff>
      <xdr:row>11</xdr:row>
      <xdr:rowOff>181344</xdr:rowOff>
    </xdr:from>
    <xdr:to>
      <xdr:col>20</xdr:col>
      <xdr:colOff>83423</xdr:colOff>
      <xdr:row>15</xdr:row>
      <xdr:rowOff>178777</xdr:rowOff>
    </xdr:to>
    <xdr:pic>
      <xdr:nvPicPr>
        <xdr:cNvPr id="20" name="Picture 19">
          <a:hlinkClick xmlns:r="http://schemas.openxmlformats.org/officeDocument/2006/relationships" r:id="rId2"/>
          <a:extLst>
            <a:ext uri="{FF2B5EF4-FFF2-40B4-BE49-F238E27FC236}">
              <a16:creationId xmlns:a16="http://schemas.microsoft.com/office/drawing/2014/main" id="{2821498A-F978-4B3E-89B0-0F8D95B953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43903" y="2276844"/>
          <a:ext cx="731520" cy="759433"/>
        </a:xfrm>
        <a:prstGeom prst="rect">
          <a:avLst/>
        </a:prstGeom>
      </xdr:spPr>
    </xdr:pic>
    <xdr:clientData/>
  </xdr:twoCellAnchor>
  <xdr:twoCellAnchor editAs="oneCell">
    <xdr:from>
      <xdr:col>18</xdr:col>
      <xdr:colOff>571103</xdr:colOff>
      <xdr:row>17</xdr:row>
      <xdr:rowOff>4701</xdr:rowOff>
    </xdr:from>
    <xdr:to>
      <xdr:col>20</xdr:col>
      <xdr:colOff>83423</xdr:colOff>
      <xdr:row>21</xdr:row>
      <xdr:rowOff>9121</xdr:rowOff>
    </xdr:to>
    <xdr:pic>
      <xdr:nvPicPr>
        <xdr:cNvPr id="21" name="Picture 20">
          <a:hlinkClick xmlns:r="http://schemas.openxmlformats.org/officeDocument/2006/relationships" r:id="rId4"/>
          <a:extLst>
            <a:ext uri="{FF2B5EF4-FFF2-40B4-BE49-F238E27FC236}">
              <a16:creationId xmlns:a16="http://schemas.microsoft.com/office/drawing/2014/main" id="{E336833A-37FB-4869-B752-40EBFC8C329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543903" y="3243201"/>
          <a:ext cx="731520" cy="766420"/>
        </a:xfrm>
        <a:prstGeom prst="rect">
          <a:avLst/>
        </a:prstGeom>
      </xdr:spPr>
    </xdr:pic>
    <xdr:clientData/>
  </xdr:twoCellAnchor>
  <xdr:twoCellAnchor editAs="oneCell">
    <xdr:from>
      <xdr:col>18</xdr:col>
      <xdr:colOff>571103</xdr:colOff>
      <xdr:row>6</xdr:row>
      <xdr:rowOff>88026</xdr:rowOff>
    </xdr:from>
    <xdr:to>
      <xdr:col>20</xdr:col>
      <xdr:colOff>83423</xdr:colOff>
      <xdr:row>10</xdr:row>
      <xdr:rowOff>85466</xdr:rowOff>
    </xdr:to>
    <xdr:pic>
      <xdr:nvPicPr>
        <xdr:cNvPr id="22" name="Picture 21">
          <a:hlinkClick xmlns:r="http://schemas.openxmlformats.org/officeDocument/2006/relationships" r:id="rId6"/>
          <a:extLst>
            <a:ext uri="{FF2B5EF4-FFF2-40B4-BE49-F238E27FC236}">
              <a16:creationId xmlns:a16="http://schemas.microsoft.com/office/drawing/2014/main" id="{691CADE2-F3E7-400B-9F18-40204D458BE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543903" y="1231026"/>
          <a:ext cx="731520" cy="759440"/>
        </a:xfrm>
        <a:prstGeom prst="rect">
          <a:avLst/>
        </a:prstGeom>
      </xdr:spPr>
    </xdr:pic>
    <xdr:clientData/>
  </xdr:twoCellAnchor>
  <xdr:twoCellAnchor editAs="oneCell">
    <xdr:from>
      <xdr:col>18</xdr:col>
      <xdr:colOff>571103</xdr:colOff>
      <xdr:row>1</xdr:row>
      <xdr:rowOff>21333</xdr:rowOff>
    </xdr:from>
    <xdr:to>
      <xdr:col>20</xdr:col>
      <xdr:colOff>83423</xdr:colOff>
      <xdr:row>5</xdr:row>
      <xdr:rowOff>23502</xdr:rowOff>
    </xdr:to>
    <xdr:pic>
      <xdr:nvPicPr>
        <xdr:cNvPr id="23" name="Picture 22">
          <a:hlinkClick xmlns:r="http://schemas.openxmlformats.org/officeDocument/2006/relationships" r:id="rId8"/>
          <a:extLst>
            <a:ext uri="{FF2B5EF4-FFF2-40B4-BE49-F238E27FC236}">
              <a16:creationId xmlns:a16="http://schemas.microsoft.com/office/drawing/2014/main" id="{80B7A28E-E170-47CB-88D9-915F4CB6CE7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543903" y="211833"/>
          <a:ext cx="731520" cy="764169"/>
        </a:xfrm>
        <a:prstGeom prst="rect">
          <a:avLst/>
        </a:prstGeom>
      </xdr:spPr>
    </xdr:pic>
    <xdr:clientData/>
  </xdr:twoCellAnchor>
  <xdr:twoCellAnchor>
    <xdr:from>
      <xdr:col>0</xdr:col>
      <xdr:colOff>133350</xdr:colOff>
      <xdr:row>0</xdr:row>
      <xdr:rowOff>47625</xdr:rowOff>
    </xdr:from>
    <xdr:to>
      <xdr:col>9</xdr:col>
      <xdr:colOff>85725</xdr:colOff>
      <xdr:row>3</xdr:row>
      <xdr:rowOff>95250</xdr:rowOff>
    </xdr:to>
    <xdr:sp macro="" textlink="">
      <xdr:nvSpPr>
        <xdr:cNvPr id="24" name="Rounded Rectangle 23"/>
        <xdr:cNvSpPr/>
      </xdr:nvSpPr>
      <xdr:spPr>
        <a:xfrm>
          <a:off x="133350" y="47625"/>
          <a:ext cx="5438775" cy="619125"/>
        </a:xfrm>
        <a:prstGeom prst="roundRect">
          <a:avLst/>
        </a:prstGeom>
        <a:solidFill>
          <a:srgbClr val="FFFF9B"/>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171449</xdr:colOff>
      <xdr:row>0</xdr:row>
      <xdr:rowOff>57151</xdr:rowOff>
    </xdr:from>
    <xdr:to>
      <xdr:col>9</xdr:col>
      <xdr:colOff>219075</xdr:colOff>
      <xdr:row>3</xdr:row>
      <xdr:rowOff>38101</xdr:rowOff>
    </xdr:to>
    <xdr:sp macro="" textlink="">
      <xdr:nvSpPr>
        <xdr:cNvPr id="25" name="TextBox 24"/>
        <xdr:cNvSpPr txBox="1"/>
      </xdr:nvSpPr>
      <xdr:spPr>
        <a:xfrm>
          <a:off x="781049" y="57151"/>
          <a:ext cx="4924426" cy="552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ysClr val="windowText" lastClr="000000"/>
              </a:solidFill>
            </a:rPr>
            <a:t>Snapchat Platform Analyze</a:t>
          </a:r>
        </a:p>
      </xdr:txBody>
    </xdr:sp>
    <xdr:clientData/>
  </xdr:twoCellAnchor>
  <xdr:twoCellAnchor editAs="oneCell">
    <xdr:from>
      <xdr:col>0</xdr:col>
      <xdr:colOff>219075</xdr:colOff>
      <xdr:row>0</xdr:row>
      <xdr:rowOff>95251</xdr:rowOff>
    </xdr:from>
    <xdr:to>
      <xdr:col>1</xdr:col>
      <xdr:colOff>219075</xdr:colOff>
      <xdr:row>3</xdr:row>
      <xdr:rowOff>38101</xdr:rowOff>
    </xdr:to>
    <xdr:pic>
      <xdr:nvPicPr>
        <xdr:cNvPr id="26" name="Picture 2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219075" y="95251"/>
          <a:ext cx="609600" cy="514350"/>
        </a:xfrm>
        <a:prstGeom prst="rect">
          <a:avLst/>
        </a:prstGeom>
      </xdr:spPr>
    </xdr:pic>
    <xdr:clientData/>
  </xdr:twoCellAnchor>
  <xdr:twoCellAnchor>
    <xdr:from>
      <xdr:col>9</xdr:col>
      <xdr:colOff>114300</xdr:colOff>
      <xdr:row>4</xdr:row>
      <xdr:rowOff>9525</xdr:rowOff>
    </xdr:from>
    <xdr:to>
      <xdr:col>14</xdr:col>
      <xdr:colOff>381000</xdr:colOff>
      <xdr:row>22</xdr:row>
      <xdr:rowOff>47625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514350</xdr:colOff>
      <xdr:row>4</xdr:row>
      <xdr:rowOff>19050</xdr:rowOff>
    </xdr:from>
    <xdr:to>
      <xdr:col>18</xdr:col>
      <xdr:colOff>161925</xdr:colOff>
      <xdr:row>22</xdr:row>
      <xdr:rowOff>38100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190499</xdr:colOff>
      <xdr:row>0</xdr:row>
      <xdr:rowOff>47626</xdr:rowOff>
    </xdr:from>
    <xdr:to>
      <xdr:col>18</xdr:col>
      <xdr:colOff>142875</xdr:colOff>
      <xdr:row>3</xdr:row>
      <xdr:rowOff>152400</xdr:rowOff>
    </xdr:to>
    <mc:AlternateContent xmlns:mc="http://schemas.openxmlformats.org/markup-compatibility/2006" xmlns:a14="http://schemas.microsoft.com/office/drawing/2010/main">
      <mc:Choice Requires="a14">
        <xdr:graphicFrame macro="">
          <xdr:nvGraphicFramePr>
            <xdr:cNvPr id="29" name="Target Group 6"/>
            <xdr:cNvGraphicFramePr/>
          </xdr:nvGraphicFramePr>
          <xdr:xfrm>
            <a:off x="0" y="0"/>
            <a:ext cx="0" cy="0"/>
          </xdr:xfrm>
          <a:graphic>
            <a:graphicData uri="http://schemas.microsoft.com/office/drawing/2010/slicer">
              <sle:slicer xmlns:sle="http://schemas.microsoft.com/office/drawing/2010/slicer" name="Target Group 6"/>
            </a:graphicData>
          </a:graphic>
        </xdr:graphicFrame>
      </mc:Choice>
      <mc:Fallback xmlns="">
        <xdr:sp macro="" textlink="">
          <xdr:nvSpPr>
            <xdr:cNvPr id="0" name=""/>
            <xdr:cNvSpPr>
              <a:spLocks noTextEdit="1"/>
            </xdr:cNvSpPr>
          </xdr:nvSpPr>
          <xdr:spPr>
            <a:xfrm>
              <a:off x="7505699" y="47626"/>
              <a:ext cx="3609976"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0</xdr:row>
      <xdr:rowOff>66675</xdr:rowOff>
    </xdr:from>
    <xdr:to>
      <xdr:col>12</xdr:col>
      <xdr:colOff>114299</xdr:colOff>
      <xdr:row>3</xdr:row>
      <xdr:rowOff>133350</xdr:rowOff>
    </xdr:to>
    <mc:AlternateContent xmlns:mc="http://schemas.openxmlformats.org/markup-compatibility/2006" xmlns:a14="http://schemas.microsoft.com/office/drawing/2010/main">
      <mc:Choice Requires="a14">
        <xdr:graphicFrame macro="">
          <xdr:nvGraphicFramePr>
            <xdr:cNvPr id="30" name="Language 3"/>
            <xdr:cNvGraphicFramePr/>
          </xdr:nvGraphicFramePr>
          <xdr:xfrm>
            <a:off x="0" y="0"/>
            <a:ext cx="0" cy="0"/>
          </xdr:xfrm>
          <a:graphic>
            <a:graphicData uri="http://schemas.microsoft.com/office/drawing/2010/slicer">
              <sle:slicer xmlns:sle="http://schemas.microsoft.com/office/drawing/2010/slicer" name="Language 3"/>
            </a:graphicData>
          </a:graphic>
        </xdr:graphicFrame>
      </mc:Choice>
      <mc:Fallback xmlns="">
        <xdr:sp macro="" textlink="">
          <xdr:nvSpPr>
            <xdr:cNvPr id="0" name=""/>
            <xdr:cNvSpPr>
              <a:spLocks noTextEdit="1"/>
            </xdr:cNvSpPr>
          </xdr:nvSpPr>
          <xdr:spPr>
            <a:xfrm>
              <a:off x="5695950" y="66675"/>
              <a:ext cx="1733549"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saveData="0" refreshedBy="DELL" refreshedDate="45540.341327199072" backgroundQuery="1" createdVersion="7" refreshedVersion="6" minRefreshableVersion="3" recordCount="0" supportSubquery="1" supportAdvancedDrill="1">
  <cacheSource type="external" connectionId="1"/>
  <cacheFields count="4">
    <cacheField name="[Range].[Age Group].[Age Group]" caption="Age Group" numFmtId="0" hierarchy="21" level="1">
      <sharedItems count="2">
        <s v="Boomers"/>
        <s v="Millennials"/>
      </sharedItems>
    </cacheField>
    <cacheField name="[Measures].[Average of Conversion Rate]" caption="Average of Conversion Rate" numFmtId="0" hierarchy="26"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540.341341550928" backgroundQuery="1" createdVersion="7" refreshedVersion="6" minRefreshableVersion="3" recordCount="0" supportSubquery="1" supportAdvancedDrill="1">
  <cacheSource type="external" connectionId="1"/>
  <cacheFields count="4">
    <cacheField name="[Range].[Platform].[Platform]" caption="Platform" numFmtId="0" hierarchy="20" level="1">
      <sharedItems count="1">
        <s v="Meta"/>
      </sharedItems>
    </cacheField>
    <cacheField name="[Measures].[Average of CPC]" caption="Average of CPC" numFmtId="0" hierarchy="28"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r:id="rId1" refreshedBy="DELL" refreshedDate="45540.341343518521" createdVersion="7" refreshedVersion="6" minRefreshableVersion="3" recordCount="72">
  <cacheSource type="worksheet">
    <worksheetSource name="Table1"/>
  </cacheSource>
  <cacheFields count="23">
    <cacheField name="Market" numFmtId="0">
      <sharedItems/>
    </cacheField>
    <cacheField name="Campaign Name" numFmtId="0">
      <sharedItems count="8">
        <s v="Tiktok_MK~AE_TG"/>
        <s v="Tiktok_MK~BAH_TG"/>
        <s v="Tiktok_MK~JED_TG"/>
        <s v="Tiktok_MK~KWT_TG"/>
        <s v="Tiktok_MK~OMA_TG"/>
        <s v="Tiktok_MK~QAT_TG"/>
        <s v="FBIG_MK~RIY_TG"/>
        <s v="Tiktok_MK~RIY_TG"/>
      </sharedItems>
    </cacheField>
    <cacheField name="Target Group" numFmtId="0">
      <sharedItems count="7">
        <s v="United Arab Emirates Target Group"/>
        <s v="Bahrain Target Group"/>
        <s v="Jeddah Target Group"/>
        <s v="Kuwait Target Group"/>
        <s v="Oman Target Group"/>
        <s v="Qatar Target Group"/>
        <s v="RiyadhTarget Group"/>
      </sharedItems>
    </cacheField>
    <cacheField name="Ad Group Name" numFmtId="0">
      <sharedItems/>
    </cacheField>
    <cacheField name="Audience" numFmtId="0">
      <sharedItems count="4">
        <s v="Interests"/>
        <s v="CDP"/>
        <s v="CDPAuudience" u="1"/>
        <s v="CDPAudience" u="1"/>
      </sharedItems>
    </cacheField>
    <cacheField name="Ad Name" numFmtId="0">
      <sharedItems/>
    </cacheField>
    <cacheField name="Language " numFmtId="0">
      <sharedItems count="2">
        <s v="EN"/>
        <s v="AR"/>
      </sharedItems>
    </cacheField>
    <cacheField name="Format" numFmtId="0">
      <sharedItems/>
    </cacheField>
    <cacheField name="Creative Variation" numFmtId="0">
      <sharedItems/>
    </cacheField>
    <cacheField name="Amount Spent" numFmtId="43">
      <sharedItems containsSemiMixedTypes="0" containsString="0" containsNumber="1" minValue="5.79" maxValue="6640.06"/>
    </cacheField>
    <cacheField name="Clicks" numFmtId="1">
      <sharedItems containsSemiMixedTypes="0" containsString="0" containsNumber="1" containsInteger="1" minValue="0" maxValue="11347"/>
    </cacheField>
    <cacheField name="Paid Reach" numFmtId="165">
      <sharedItems containsSemiMixedTypes="0" containsString="0" containsNumber="1" containsInteger="1" minValue="1219" maxValue="3064506"/>
    </cacheField>
    <cacheField name="Total Impressions" numFmtId="165">
      <sharedItems containsSemiMixedTypes="0" containsString="0" containsNumber="1" containsInteger="1" minValue="1488" maxValue="5201668"/>
    </cacheField>
    <cacheField name="CTR" numFmtId="2">
      <sharedItems containsSemiMixedTypes="0" containsString="0" containsNumber="1" minValue="0" maxValue="0.374009973599296"/>
    </cacheField>
    <cacheField name="CPM" numFmtId="0">
      <sharedItems containsSemiMixedTypes="0" containsString="0" containsNumber="1" minValue="0.26" maxValue="7.85"/>
    </cacheField>
    <cacheField name="2 Second Video Views" numFmtId="165">
      <sharedItems containsSemiMixedTypes="0" containsString="0" containsNumber="1" containsInteger="1" minValue="242" maxValue="676057"/>
    </cacheField>
    <cacheField name="Video Completions" numFmtId="165">
      <sharedItems containsSemiMixedTypes="0" containsString="0" containsNumber="1" containsInteger="1" minValue="2" maxValue="13332"/>
    </cacheField>
    <cacheField name="VTR (2 Sec)" numFmtId="164">
      <sharedItems containsSemiMixedTypes="0" containsString="0" containsNumber="1" minValue="7.6207352891957195E-2" maxValue="0.22953884503531366"/>
    </cacheField>
    <cacheField name="VTR (Complete)" numFmtId="10">
      <sharedItems containsSemiMixedTypes="0" containsString="0" containsNumber="1" minValue="7.8773729199059788E-4" maxValue="9.247027741083224E-3"/>
    </cacheField>
    <cacheField name="Total Engagement" numFmtId="0">
      <sharedItems containsSemiMixedTypes="0" containsString="0" containsNumber="1" containsInteger="1" minValue="7" maxValue="30892"/>
    </cacheField>
    <cacheField name="Engagement Rate" numFmtId="10">
      <sharedItems containsSemiMixedTypes="0" containsString="0" containsNumber="1" minValue="8.9999999999999998E-4" maxValue="1.14E-2"/>
    </cacheField>
    <cacheField name="CPC" numFmtId="2">
      <sharedItems containsSemiMixedTypes="0" containsString="0" containsNumber="1" minValue="0" maxValue="3.2772222222222225"/>
    </cacheField>
    <cacheField name="Platform" numFmtId="0">
      <sharedItems count="1">
        <s v="TikTok"/>
      </sharedItems>
    </cacheField>
  </cacheFields>
  <extLst>
    <ext xmlns:x14="http://schemas.microsoft.com/office/spreadsheetml/2009/9/main" uri="{725AE2AE-9491-48be-B2B4-4EB974FC3084}">
      <x14:pivotCacheDefinition pivotCacheId="1"/>
    </ext>
  </extLst>
</pivotCacheDefinition>
</file>

<file path=xl/pivotCache/pivotCacheDefinition12.xml><?xml version="1.0" encoding="utf-8"?>
<pivotCacheDefinition xmlns="http://schemas.openxmlformats.org/spreadsheetml/2006/main" xmlns:r="http://schemas.openxmlformats.org/officeDocument/2006/relationships" r:id="rId1" refreshedBy="DELL" refreshedDate="45540.341348148148" createdVersion="7" refreshedVersion="6" minRefreshableVersion="3" recordCount="53">
  <cacheSource type="worksheet">
    <worksheetSource name="Table2"/>
  </cacheSource>
  <cacheFields count="24">
    <cacheField name="Market" numFmtId="0">
      <sharedItems/>
    </cacheField>
    <cacheField name="Campaign Name" numFmtId="0">
      <sharedItems/>
    </cacheField>
    <cacheField name="Target Group" numFmtId="0">
      <sharedItems count="5">
        <s v="Jeddah Target Group"/>
        <s v="Kuwait Target Group"/>
        <s v="Qatar Target Group"/>
        <s v="Riyadh Target Group"/>
        <s v="United Arab Emirates Target Group"/>
      </sharedItems>
    </cacheField>
    <cacheField name="Campaign Strategy" numFmtId="0">
      <sharedItems/>
    </cacheField>
    <cacheField name="Ad Group Name" numFmtId="0">
      <sharedItems/>
    </cacheField>
    <cacheField name="Audience" numFmtId="0">
      <sharedItems count="2">
        <s v="CDP"/>
        <s v="Interests"/>
      </sharedItems>
    </cacheField>
    <cacheField name="Ad Name" numFmtId="0">
      <sharedItems/>
    </cacheField>
    <cacheField name="Language" numFmtId="0">
      <sharedItems count="2">
        <s v="AR"/>
        <s v="EN"/>
      </sharedItems>
    </cacheField>
    <cacheField name="Format" numFmtId="0">
      <sharedItems/>
    </cacheField>
    <cacheField name="Creative Variation" numFmtId="0">
      <sharedItems/>
    </cacheField>
    <cacheField name="Amount Spent" numFmtId="43">
      <sharedItems containsSemiMixedTypes="0" containsString="0" containsNumber="1" minValue="3.22" maxValue="2910.22"/>
    </cacheField>
    <cacheField name="Swipe Up Rate" numFmtId="0">
      <sharedItems containsSemiMixedTypes="0" containsString="0" containsNumber="1" minValue="0" maxValue="6.3E-3"/>
    </cacheField>
    <cacheField name="Paid Reach" numFmtId="165">
      <sharedItems containsSemiMixedTypes="0" containsString="0" containsNumber="1" containsInteger="1" minValue="6681" maxValue="2161313"/>
    </cacheField>
    <cacheField name="Paid Frequency" numFmtId="0">
      <sharedItems containsSemiMixedTypes="0" containsString="0" containsNumber="1" minValue="1.0091000000000001" maxValue="3.4630000000000001"/>
    </cacheField>
    <cacheField name="Paid eCPM" numFmtId="0">
      <sharedItems containsSemiMixedTypes="0" containsString="0" containsNumber="1" minValue="0.48" maxValue="2.42"/>
    </cacheField>
    <cacheField name="2 Second Video Views" numFmtId="165">
      <sharedItems containsSemiMixedTypes="0" containsString="0" containsNumber="1" containsInteger="1" minValue="109" maxValue="402299"/>
    </cacheField>
    <cacheField name="Video Completions" numFmtId="165">
      <sharedItems containsSemiMixedTypes="0" containsString="0" containsNumber="1" containsInteger="1" minValue="9" maxValue="13870"/>
    </cacheField>
    <cacheField name="VTR%" numFmtId="10">
      <sharedItems containsSemiMixedTypes="0" containsString="0" containsNumber="1" minValue="1.6167309403737763E-2" maxValue="0.41325295702607662"/>
    </cacheField>
    <cacheField name="Total Impressions" numFmtId="165">
      <sharedItems containsSemiMixedTypes="0" containsString="0" containsNumber="1" containsInteger="1" minValue="6742" maxValue="2618714"/>
    </cacheField>
    <cacheField name="Swipe Ups" numFmtId="1">
      <sharedItems containsSemiMixedTypes="0" containsString="0" containsNumber="1" containsInteger="1" minValue="0" maxValue="7449"/>
    </cacheField>
    <cacheField name="CTR" numFmtId="2">
      <sharedItems containsSemiMixedTypes="0" containsString="0" containsNumber="1" minValue="0" maxValue="0.62801475456351086"/>
    </cacheField>
    <cacheField name="Engagement" numFmtId="0">
      <sharedItems/>
    </cacheField>
    <cacheField name="CPC" numFmtId="2">
      <sharedItems containsSemiMixedTypes="0" containsString="0" containsNumber="1" minValue="0" maxValue="1.1004"/>
    </cacheField>
    <cacheField name="Platform" numFmtId="0">
      <sharedItems count="1">
        <s v="Snapchat"/>
      </sharedItems>
    </cacheField>
  </cacheFields>
  <extLst>
    <ext xmlns:x14="http://schemas.microsoft.com/office/spreadsheetml/2009/9/main" uri="{725AE2AE-9491-48be-B2B4-4EB974FC3084}">
      <x14:pivotCacheDefinition pivotCacheId="3"/>
    </ext>
  </extLst>
</pivotCacheDefinition>
</file>

<file path=xl/pivotCache/pivotCacheDefinition13.xml><?xml version="1.0" encoding="utf-8"?>
<pivotCacheDefinition xmlns="http://schemas.openxmlformats.org/spreadsheetml/2006/main" xmlns:r="http://schemas.openxmlformats.org/officeDocument/2006/relationships" saveData="0" refreshedBy="DELL" refreshedDate="45540.34132407407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540.341328703704" backgroundQuery="1" createdVersion="7" refreshedVersion="6" minRefreshableVersion="3" recordCount="0" supportSubquery="1" supportAdvancedDrill="1">
  <cacheSource type="external" connectionId="1"/>
  <cacheFields count="6">
    <cacheField name="[Measures].[Sum of Amount spent]" caption="Sum of Amount spent" numFmtId="0" hierarchy="29" level="32767"/>
    <cacheField name="[Measures].[Sum of Link clicks]" caption="Sum of Link clicks" numFmtId="0" hierarchy="30" level="32767"/>
    <cacheField name="[Measures].[Sum of Reach]" caption="Sum of Reach" numFmtId="0" hierarchy="32" level="32767"/>
    <cacheField name="[Measures].[Average of Impressions]" caption="Average of Impressions" numFmtId="0" hierarchy="34"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4"/>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5"/>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540.341330324074" backgroundQuery="1" createdVersion="7" refreshedVersion="6" minRefreshableVersion="3" recordCount="0" supportSubquery="1" supportAdvancedDrill="1">
  <cacheSource type="external" connectionId="1"/>
  <cacheFields count="4">
    <cacheField name="[Range].[Platform].[Platform]" caption="Platform" numFmtId="0" hierarchy="20" level="1">
      <sharedItems count="1">
        <s v="Meta"/>
      </sharedItems>
    </cacheField>
    <cacheField name="[Measures].[Sum of Reach]" caption="Sum of Reach" numFmtId="0" hierarchy="32"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540.341331828706" backgroundQuery="1" createdVersion="7" refreshedVersion="6" minRefreshableVersion="3" recordCount="0" supportSubquery="1" supportAdvancedDrill="1">
  <cacheSource type="external" connectionId="1"/>
  <cacheFields count="3">
    <cacheField name="[Range].[Target Group].[Target Group]" caption="Target Group" numFmtId="0" hierarchy="2" level="1">
      <sharedItems count="7">
        <s v="Bahrain Target Group"/>
        <s v="Jeddah Target Group"/>
        <s v="Kuwait Target Group"/>
        <s v="Oman Target Group"/>
        <s v="Qatar Target Group"/>
        <s v="Riyadh Target Group"/>
        <s v="United Arab Emirates Target Group"/>
      </sharedItems>
    </cacheField>
    <cacheField name="[Measures].[Sum of Amount spent]" caption="Sum of Amount spent" numFmtId="0" hierarchy="29" level="32767"/>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0"/>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2"/>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540.34133333333" backgroundQuery="1" createdVersion="7" refreshedVersion="6" minRefreshableVersion="3" recordCount="0" supportSubquery="1" supportAdvancedDrill="1">
  <cacheSource type="external" connectionId="1"/>
  <cacheFields count="4">
    <cacheField name="[Measures].[Sum of 3-second video plays]" caption="Sum of 3-second video plays" numFmtId="0" hierarchy="37" level="32767"/>
    <cacheField name="[Range].[Platform].[Platform]" caption="Platform" numFmtId="0" hierarchy="20" level="1">
      <sharedItems count="1">
        <s v="Meta"/>
      </sharedItems>
    </cacheField>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2" memberValueDatatype="130" unbalanced="0">
      <fieldsUsage count="2">
        <fieldUsage x="-1"/>
        <fieldUsage x="1"/>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540.3413349537" backgroundQuery="1" createdVersion="7" refreshedVersion="6" minRefreshableVersion="3" recordCount="0" supportSubquery="1" supportAdvancedDrill="1">
  <cacheSource type="external" connectionId="1"/>
  <cacheFields count="4">
    <cacheField name="[Range].[Platform].[Platform]" caption="Platform" numFmtId="0" hierarchy="20" level="1">
      <sharedItems count="1">
        <s v="Meta"/>
      </sharedItems>
    </cacheField>
    <cacheField name="[Measures].[Average of CTR (all)]" caption="Average of CTR (all)" numFmtId="0" hierarchy="38"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540.341336689817" backgroundQuery="1" createdVersion="7" refreshedVersion="6" minRefreshableVersion="3" recordCount="0" supportSubquery="1" supportAdvancedDrill="1">
  <cacheSource type="external" connectionId="1"/>
  <cacheFields count="4">
    <cacheField name="[Range].[Audience].[Audience]" caption="Audience" numFmtId="0" hierarchy="3" level="1">
      <sharedItems count="2">
        <s v="CDP"/>
        <s v="Interests"/>
      </sharedItems>
    </cacheField>
    <cacheField name="[Measures].[Count of 3-second video plays]" caption="Count of 3-second video plays" numFmtId="0" hierarchy="39"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2"/>
      </fieldsUsage>
    </cacheHierarchy>
    <cacheHierarchy uniqueName="[Range].[Audience]" caption="Audience" attribute="1" defaultMemberUniqueName="[Range].[Audience].[All]" allUniqueName="[Range].[Audience].[All]" dimensionUniqueName="[Range]" displayFolder="" count="2" memberValueDatatype="130" unbalanced="0">
      <fieldsUsage count="2">
        <fieldUsage x="-1"/>
        <fieldUsage x="0"/>
      </fieldsUsage>
    </cacheHierarchy>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3"/>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hidden="1">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540.341338310187" backgroundQuery="1" createdVersion="7" refreshedVersion="6" minRefreshableVersion="3" recordCount="0" supportSubquery="1" supportAdvancedDrill="1">
  <cacheSource type="external" connectionId="1"/>
  <cacheFields count="5">
    <cacheField name="[Range].[Campaign Name].[Campaign Name]" caption="Campaign Name" numFmtId="0" hierarchy="1" level="1">
      <sharedItems count="7">
        <s v="Social_MK~AE_TG"/>
        <s v="Social_MK~BH_TG"/>
        <s v="Social_MK~JED_T"/>
        <s v="Social_MK~KW_TG"/>
        <s v="Social_MK~OM_TG"/>
        <s v="Social_MK~QA_TG"/>
        <s v="Social_MK~RIY_T"/>
      </sharedItems>
    </cacheField>
    <cacheField name="[Measures].[Sum of Impressions]" caption="Sum of Impressions" numFmtId="0" hierarchy="31" level="32767"/>
    <cacheField name="[Measures].[Sum of Link clicks]" caption="Sum of Link clicks" numFmtId="0" hierarchy="30" level="32767"/>
    <cacheField name="[Range].[Target Group].[Target Group]" caption="Target Group" numFmtId="0" hierarchy="2" level="1">
      <sharedItems containsSemiMixedTypes="0" containsNonDate="0" containsString="0"/>
    </cacheField>
    <cacheField name="[Range].[Language].[Language]" caption="Language" numFmtId="0" hierarchy="5"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2" memberValueDatatype="130" unbalanced="0">
      <fieldsUsage count="2">
        <fieldUsage x="-1"/>
        <fieldUsage x="0"/>
      </fieldsUsage>
    </cacheHierarchy>
    <cacheHierarchy uniqueName="[Range].[Target Group]" caption="Target Group" attribute="1" defaultMemberUniqueName="[Range].[Target Group].[All]" allUniqueName="[Range].[Target Group].[All]" dimensionUniqueName="[Range]" displayFolder="" count="2" memberValueDatatype="130" unbalanced="0">
      <fieldsUsage count="2">
        <fieldUsage x="-1"/>
        <fieldUsage x="3"/>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4"/>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540.341339814811" backgroundQuery="1" createdVersion="7" refreshedVersion="6" minRefreshableVersion="3" recordCount="0" supportSubquery="1" supportAdvancedDrill="1">
  <cacheSource type="external" connectionId="1"/>
  <cacheFields count="4">
    <cacheField name="[Range].[Platform].[Platform]" caption="Platform" numFmtId="0" hierarchy="20" level="1">
      <sharedItems count="1">
        <s v="Meta"/>
      </sharedItems>
    </cacheField>
    <cacheField name="[Range].[Language].[Language]" caption="Language" numFmtId="0" hierarchy="5" level="1">
      <sharedItems count="2">
        <s v="AR"/>
        <s v="EN"/>
      </sharedItems>
    </cacheField>
    <cacheField name="[Measures].[Sum of Link clicks]" caption="Sum of Link clicks" numFmtId="0" hierarchy="30" level="32767"/>
    <cacheField name="[Range].[Target Group].[Target Group]" caption="Target Group" numFmtId="0" hierarchy="2" level="1">
      <sharedItems containsSemiMixedTypes="0" containsNonDate="0" containsString="0"/>
    </cacheField>
  </cacheFields>
  <cacheHierarchies count="40">
    <cacheHierarchy uniqueName="[Range].[Market]" caption="Market" attribute="1" defaultMemberUniqueName="[Range].[Market].[All]" allUniqueName="[Range].[Market].[All]" dimensionUniqueName="[Range]" displayFolder="" count="0" memberValueDatatype="130" unbalanced="0"/>
    <cacheHierarchy uniqueName="[Range].[Campaign Name]" caption="Campaign Name" attribute="1" defaultMemberUniqueName="[Range].[Campaign Name].[All]" allUniqueName="[Range].[Campaign Name].[All]" dimensionUniqueName="[Range]" displayFolder="" count="0" memberValueDatatype="130" unbalanced="0"/>
    <cacheHierarchy uniqueName="[Range].[Target Group]" caption="Target Group" attribute="1" defaultMemberUniqueName="[Range].[Target Group].[All]" allUniqueName="[Range].[Target Group].[All]" dimensionUniqueName="[Range]" displayFolder="" count="2" memberValueDatatype="130" unbalanced="0">
      <fieldsUsage count="2">
        <fieldUsage x="-1"/>
        <fieldUsage x="3"/>
      </fieldsUsage>
    </cacheHierarchy>
    <cacheHierarchy uniqueName="[Range].[Audience]" caption="Audience" attribute="1" defaultMemberUniqueName="[Range].[Audience].[All]" allUniqueName="[Range].[Audience].[All]" dimensionUniqueName="[Range]" displayFolder="" count="0" memberValueDatatype="130" unbalanced="0"/>
    <cacheHierarchy uniqueName="[Range].[Ad name]" caption="Ad name" attribute="1" defaultMemberUniqueName="[Range].[Ad name].[All]" allUniqueName="[Range].[Ad name].[All]" dimensionUniqueName="[Range]" displayFolder="" count="0" memberValueDatatype="130" unbalanced="0"/>
    <cacheHierarchy uniqueName="[Range].[Language]" caption="Language" attribute="1" defaultMemberUniqueName="[Range].[Language].[All]" allUniqueName="[Range].[Language].[All]" dimensionUniqueName="[Range]" displayFolder="" count="2" memberValueDatatype="130" unbalanced="0">
      <fieldsUsage count="2">
        <fieldUsage x="-1"/>
        <fieldUsage x="1"/>
      </fieldsUsage>
    </cacheHierarchy>
    <cacheHierarchy uniqueName="[Range].[Format]" caption="Format" attribute="1" defaultMemberUniqueName="[Range].[Format].[All]" allUniqueName="[Range].[Format].[All]" dimensionUniqueName="[Range]" displayFolder="" count="0" memberValueDatatype="130" unbalanced="0"/>
    <cacheHierarchy uniqueName="[Range].[Creative variations]" caption="Creative variations" attribute="1" defaultMemberUniqueName="[Range].[Creative variations].[All]" allUniqueName="[Range].[Creative variations].[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Impressions]" caption="Impressions" attribute="1" defaultMemberUniqueName="[Range].[Impressions].[All]" allUniqueName="[Range].[Impressions].[All]" dimensionUniqueName="[Range]" displayFolder="" count="0" memberValueDatatype="20" unbalanced="0"/>
    <cacheHierarchy uniqueName="[Range].[Amount spent]" caption="Amount spent" attribute="1" defaultMemberUniqueName="[Range].[Amount spent].[All]" allUniqueName="[Range].[Amount spent].[All]" dimensionUniqueName="[Range]" displayFolder="" count="0" memberValueDatatype="5" unbalanced="0"/>
    <cacheHierarchy uniqueName="[Range].[Link clicks]" caption="Link clicks" attribute="1" defaultMemberUniqueName="[Range].[Link clicks].[All]" allUniqueName="[Range].[Link clicks].[All]" dimensionUniqueName="[Range]" displayFolder="" count="0" memberValueDatatype="20" unbalanced="0"/>
    <cacheHierarchy uniqueName="[Range].[3-second video plays]" caption="3-second video plays" attribute="1" defaultMemberUniqueName="[Range].[3-second video plays].[All]" allUniqueName="[Range].[3-second video plays].[All]" dimensionUniqueName="[Range]" displayFolder="" count="0" memberValueDatatype="20" unbalanced="0"/>
    <cacheHierarchy uniqueName="[Range].[Video plays at 100%]" caption="Video plays at 100%" attribute="1" defaultMemberUniqueName="[Range].[Video plays at 100%].[All]" allUniqueName="[Range].[Video plays at 100%].[All]" dimensionUniqueName="[Range]" displayFolder="" count="0" memberValueDatatype="20" unbalanced="0"/>
    <cacheHierarchy uniqueName="[Range].[CTR (all)]" caption="CTR (all)" attribute="1" defaultMemberUniqueName="[Range].[CTR (all)].[All]" allUniqueName="[Range].[CTR (all)].[All]" dimensionUniqueName="[Range]" displayFolder="" count="0" memberValueDatatype="5" unbalanced="0"/>
    <cacheHierarchy uniqueName="[Range].[CTR Comments]" caption="CTR Comments" attribute="1" defaultMemberUniqueName="[Range].[CTR Comments].[All]" allUniqueName="[Range].[CTR Comments].[All]" dimensionUniqueName="[Range]" displayFolder="" count="0" memberValueDatatype="130" unbalanced="0"/>
    <cacheHierarchy uniqueName="[Range].[VTR]" caption="VTR" attribute="1" defaultMemberUniqueName="[Range].[VTR].[All]" allUniqueName="[Range].[VTR].[All]" dimensionUniqueName="[Range]" displayFolder="" count="0" memberValueDatatype="5" unbalanced="0"/>
    <cacheHierarchy uniqueName="[Range].[Post engagement]" caption="Post engagement" attribute="1" defaultMemberUniqueName="[Range].[Post engagement].[All]" allUniqueName="[Range].[Post engagement].[All]" dimensionUniqueName="[Range]" displayFolder="" count="0" memberValueDatatype="20" unbalanced="0"/>
    <cacheHierarchy uniqueName="[Range].[Engagement Rate]" caption="Engagement Rate" attribute="1" defaultMemberUniqueName="[Range].[Engagement Rate].[All]" allUniqueName="[Range].[Engagement Rate].[All]" dimensionUniqueName="[Range]" displayFolder="" count="0" memberValueDatatype="5" unbalanced="0"/>
    <cacheHierarchy uniqueName="[Range].[CPC]" caption="CPC" attribute="1" defaultMemberUniqueName="[Range].[CPC].[All]" allUniqueName="[Range].[CPC].[All]" dimensionUniqueName="[Range]" displayFolder="" count="0" memberValueDatatype="5" unbalanced="0"/>
    <cacheHierarchy uniqueName="[Range].[Platform]" caption="Platform" attribute="1" defaultMemberUniqueName="[Range].[Platform].[All]" allUniqueName="[Range].[Platform].[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onversion Rate]" caption="Conversion Rate" attribute="1" defaultMemberUniqueName="[Range].[Conversion Rate].[All]" allUniqueName="[Range].[Conversion Rat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onversion Rate]" caption="Sum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Average of Conversion Rate]" caption="Average of Conversion Rate" measure="1" displayFolder="" measureGroup="Range" count="0" hidden="1">
      <extLst>
        <ext xmlns:x15="http://schemas.microsoft.com/office/spreadsheetml/2010/11/main" uri="{B97F6D7D-B522-45F9-BDA1-12C45D357490}">
          <x15:cacheHierarchy aggregatedColumn="22"/>
        </ext>
      </extLst>
    </cacheHierarchy>
    <cacheHierarchy uniqueName="[Measures].[Sum of CPC]" caption="Sum of CPC" measure="1" displayFolder="" measureGroup="Range" count="0" hidden="1">
      <extLst>
        <ext xmlns:x15="http://schemas.microsoft.com/office/spreadsheetml/2010/11/main" uri="{B97F6D7D-B522-45F9-BDA1-12C45D357490}">
          <x15:cacheHierarchy aggregatedColumn="19"/>
        </ext>
      </extLst>
    </cacheHierarchy>
    <cacheHierarchy uniqueName="[Measures].[Average of CPC]" caption="Average of CPC" measure="1" displayFolder="" measureGroup="Range" count="0" hidden="1">
      <extLst>
        <ext xmlns:x15="http://schemas.microsoft.com/office/spreadsheetml/2010/11/main" uri="{B97F6D7D-B522-45F9-BDA1-12C45D357490}">
          <x15:cacheHierarchy aggregatedColumn="19"/>
        </ext>
      </extLst>
    </cacheHierarchy>
    <cacheHierarchy uniqueName="[Measures].[Sum of Amount spent]" caption="Sum of Amount spent" measure="1" displayFolder="" measureGroup="Range" count="0" hidden="1">
      <extLst>
        <ext xmlns:x15="http://schemas.microsoft.com/office/spreadsheetml/2010/11/main" uri="{B97F6D7D-B522-45F9-BDA1-12C45D357490}">
          <x15:cacheHierarchy aggregatedColumn="10"/>
        </ext>
      </extLst>
    </cacheHierarchy>
    <cacheHierarchy uniqueName="[Measures].[Sum of Link clicks]" caption="Sum of Link clicks"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Impressions]" caption="Sum of Impressions" measure="1" displayFolder="" measureGroup="Range" count="0" hidden="1">
      <extLst>
        <ext xmlns:x15="http://schemas.microsoft.com/office/spreadsheetml/2010/11/main" uri="{B97F6D7D-B522-45F9-BDA1-12C45D357490}">
          <x15:cacheHierarchy aggregatedColumn="9"/>
        </ext>
      </extLst>
    </cacheHierarchy>
    <cacheHierarchy uniqueName="[Measures].[Sum of Reach]" caption="Sum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Reach]" caption="Average of Reach" measure="1" displayFolder="" measureGroup="Range" count="0" hidden="1">
      <extLst>
        <ext xmlns:x15="http://schemas.microsoft.com/office/spreadsheetml/2010/11/main" uri="{B97F6D7D-B522-45F9-BDA1-12C45D357490}">
          <x15:cacheHierarchy aggregatedColumn="8"/>
        </ext>
      </extLst>
    </cacheHierarchy>
    <cacheHierarchy uniqueName="[Measures].[Average of Impressions]" caption="Average of Impressions" measure="1" displayFolder="" measureGroup="Range" count="0" hidden="1">
      <extLst>
        <ext xmlns:x15="http://schemas.microsoft.com/office/spreadsheetml/2010/11/main" uri="{B97F6D7D-B522-45F9-BDA1-12C45D357490}">
          <x15:cacheHierarchy aggregatedColumn="9"/>
        </ext>
      </extLst>
    </cacheHierarchy>
    <cacheHierarchy uniqueName="[Measures].[Count of CTR (all)]" caption="Count of CTR (all)" measure="1" displayFolder="" measureGroup="Range" count="0" hidden="1">
      <extLst>
        <ext xmlns:x15="http://schemas.microsoft.com/office/spreadsheetml/2010/11/main" uri="{B97F6D7D-B522-45F9-BDA1-12C45D357490}">
          <x15:cacheHierarchy aggregatedColumn="14"/>
        </ext>
      </extLst>
    </cacheHierarchy>
    <cacheHierarchy uniqueName="[Measures].[Sum of CTR (all)]" caption="Sum of CTR (all)" measure="1" displayFolder="" measureGroup="Range" count="0" hidden="1">
      <extLst>
        <ext xmlns:x15="http://schemas.microsoft.com/office/spreadsheetml/2010/11/main" uri="{B97F6D7D-B522-45F9-BDA1-12C45D357490}">
          <x15:cacheHierarchy aggregatedColumn="14"/>
        </ext>
      </extLst>
    </cacheHierarchy>
    <cacheHierarchy uniqueName="[Measures].[Sum of 3-second video plays]" caption="Sum of 3-second video plays" measure="1" displayFolder="" measureGroup="Range" count="0" hidden="1">
      <extLst>
        <ext xmlns:x15="http://schemas.microsoft.com/office/spreadsheetml/2010/11/main" uri="{B97F6D7D-B522-45F9-BDA1-12C45D357490}">
          <x15:cacheHierarchy aggregatedColumn="12"/>
        </ext>
      </extLst>
    </cacheHierarchy>
    <cacheHierarchy uniqueName="[Measures].[Average of CTR (all)]" caption="Average of CTR (all)" measure="1" displayFolder="" measureGroup="Range" count="0" hidden="1">
      <extLst>
        <ext xmlns:x15="http://schemas.microsoft.com/office/spreadsheetml/2010/11/main" uri="{B97F6D7D-B522-45F9-BDA1-12C45D357490}">
          <x15:cacheHierarchy aggregatedColumn="14"/>
        </ext>
      </extLst>
    </cacheHierarchy>
    <cacheHierarchy uniqueName="[Measures].[Count of 3-second video plays]" caption="Count of 3-second video plays"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2">
  <r>
    <s v="AE"/>
    <x v="0"/>
    <x v="0"/>
    <s v="AE_AT~Tiktok~Interests_AG"/>
    <x v="0"/>
    <s v="CT~DarkPost~EN~AE~Video~9x16~45~_CV-W5bZ2-"/>
    <x v="0"/>
    <s v="Video"/>
    <s v="9x16"/>
    <n v="2552.96"/>
    <n v="3534"/>
    <n v="1640434"/>
    <n v="2331205"/>
    <n v="0.15159541953624842"/>
    <n v="1.1000000000000001"/>
    <n v="212666"/>
    <n v="4535"/>
    <n v="9.1225782374351458E-2"/>
    <n v="1.9453458619040367E-3"/>
    <n v="8539"/>
    <n v="3.7000000000000002E-3"/>
    <n v="0.72239954725523492"/>
    <x v="0"/>
  </r>
  <r>
    <s v="AE"/>
    <x v="0"/>
    <x v="0"/>
    <s v="AE_AT~Tiktok~Interests_AG"/>
    <x v="0"/>
    <s v="CT~DarkPost~EN~AE~Video~9x16~30~_CV-v4GMU-"/>
    <x v="0"/>
    <s v="Video"/>
    <s v="9x16"/>
    <n v="2494.69"/>
    <n v="3494"/>
    <n v="1607282"/>
    <n v="2288879"/>
    <n v="0.15265114494912138"/>
    <n v="1.0900000000000001"/>
    <n v="221321"/>
    <n v="6055"/>
    <n v="9.6694058532582977E-2"/>
    <n v="2.6453997786689467E-3"/>
    <n v="8319"/>
    <n v="3.5999999999999999E-3"/>
    <n v="0.71399255867200917"/>
    <x v="0"/>
  </r>
  <r>
    <s v="AE"/>
    <x v="0"/>
    <x v="0"/>
    <s v="AE_AT~Tiktok~Interests_AG"/>
    <x v="0"/>
    <s v="CT~DarkPost~AR~AE~Video~9x16~30~_CV-6SKmj-"/>
    <x v="1"/>
    <s v="Video"/>
    <s v="9x16"/>
    <n v="2461.48"/>
    <n v="2936"/>
    <n v="1594418"/>
    <n v="2264381"/>
    <n v="0.12966015878069989"/>
    <n v="1.0900000000000001"/>
    <n v="251997"/>
    <n v="5863"/>
    <n v="0.11128736727609002"/>
    <n v="2.5892285794660882E-3"/>
    <n v="8219"/>
    <n v="3.5999999999999999E-3"/>
    <n v="0.83837874659400546"/>
    <x v="0"/>
  </r>
  <r>
    <s v="AE"/>
    <x v="0"/>
    <x v="0"/>
    <s v="AE_AT~Tiktok~Interests_AG"/>
    <x v="0"/>
    <s v="CT~DarkPost~AR~AE~Video~9x16~45~_CV-mcgoU-"/>
    <x v="1"/>
    <s v="Video"/>
    <s v="9x16"/>
    <n v="2332.7800000000002"/>
    <n v="2719"/>
    <n v="1548287"/>
    <n v="2168009"/>
    <n v="0.12541460851869157"/>
    <n v="1.08"/>
    <n v="212398"/>
    <n v="4253"/>
    <n v="9.7969150497068974E-2"/>
    <n v="1.9617077235380481E-3"/>
    <n v="7464"/>
    <n v="3.3999999999999998E-3"/>
    <n v="0.857955130562707"/>
    <x v="0"/>
  </r>
  <r>
    <s v="AE"/>
    <x v="0"/>
    <x v="0"/>
    <s v="AE_AT~Tiktok~Interests_AG"/>
    <x v="0"/>
    <s v="CT~DarkPost~AR~AE~Video~9x16~30~_CV"/>
    <x v="1"/>
    <s v="Video"/>
    <s v="9x16"/>
    <n v="458.54"/>
    <n v="0"/>
    <n v="543248"/>
    <n v="615975"/>
    <n v="0"/>
    <n v="0.74"/>
    <n v="66295"/>
    <n v="1350"/>
    <n v="0.10762612118998335"/>
    <n v="2.1916473882868624E-3"/>
    <n v="1099"/>
    <n v="1.8E-3"/>
    <n v="0"/>
    <x v="0"/>
  </r>
  <r>
    <s v="AE"/>
    <x v="0"/>
    <x v="0"/>
    <s v="AE_AT~Tiktok~Interests_AG"/>
    <x v="0"/>
    <s v="CT~DarkPost~EN~AE~Video~9x16~30~_CV"/>
    <x v="0"/>
    <s v="Video"/>
    <s v="9x16"/>
    <n v="419.66"/>
    <n v="0"/>
    <n v="511710"/>
    <n v="578351"/>
    <n v="0"/>
    <n v="0.73"/>
    <n v="52042"/>
    <n v="1188"/>
    <n v="8.9983418373963217E-2"/>
    <n v="2.0541159261417375E-3"/>
    <n v="869"/>
    <n v="1.5E-3"/>
    <n v="0"/>
    <x v="0"/>
  </r>
  <r>
    <s v="AE"/>
    <x v="0"/>
    <x v="0"/>
    <s v="AE_AT~Tiktok~Interests_AG"/>
    <x v="0"/>
    <s v="CT~DarkPost~AR~AE~Video~9x16~45~_CV"/>
    <x v="1"/>
    <s v="Video"/>
    <s v="9x16"/>
    <n v="384.37"/>
    <n v="0"/>
    <n v="486294"/>
    <n v="543093"/>
    <n v="0"/>
    <n v="0.71"/>
    <n v="50004"/>
    <n v="849"/>
    <n v="9.2072628444851992E-2"/>
    <n v="1.5632681695400235E-3"/>
    <n v="937"/>
    <n v="1.6999999999999999E-3"/>
    <n v="0"/>
    <x v="0"/>
  </r>
  <r>
    <s v="AE"/>
    <x v="0"/>
    <x v="0"/>
    <s v="AE_AT~Tiktok~Interests_AG"/>
    <x v="0"/>
    <s v="CT~DarkPost~EN~AE~Video~9x16~45~_CV"/>
    <x v="0"/>
    <s v="Video"/>
    <s v="9x16"/>
    <n v="360.73"/>
    <n v="0"/>
    <n v="467501"/>
    <n v="522000"/>
    <n v="0"/>
    <n v="0.69"/>
    <n v="43072"/>
    <n v="814"/>
    <n v="8.2513409961685824E-2"/>
    <n v="1.5593869731800767E-3"/>
    <n v="821"/>
    <n v="1.6000000000000001E-3"/>
    <n v="0"/>
    <x v="0"/>
  </r>
  <r>
    <s v="AE"/>
    <x v="0"/>
    <x v="0"/>
    <s v="AE_AT~Tiktok~CDP_All Users_AG"/>
    <x v="1"/>
    <s v="CT~DarkPost~AR~AE~Video~9x16~30~_CV-oUs2c-"/>
    <x v="1"/>
    <s v="Video"/>
    <s v="9x16"/>
    <n v="59.88"/>
    <n v="21"/>
    <n v="6047"/>
    <n v="7626"/>
    <n v="0.27537372147915029"/>
    <n v="7.85"/>
    <n v="1650"/>
    <n v="42"/>
    <n v="0.21636506687647522"/>
    <n v="5.5074744295830055E-3"/>
    <n v="60"/>
    <n v="7.9000000000000008E-3"/>
    <n v="2.8514285714285714"/>
    <x v="0"/>
  </r>
  <r>
    <s v="AE"/>
    <x v="0"/>
    <x v="0"/>
    <s v="AE_AT~Tiktok~CDP_All Users_AG"/>
    <x v="1"/>
    <s v="CT~DarkPost~EN~AE~Video~9x16~30~_CV-NPp84-"/>
    <x v="0"/>
    <s v="Video"/>
    <s v="9x16"/>
    <n v="58.99"/>
    <n v="18"/>
    <n v="6013"/>
    <n v="7694"/>
    <n v="0.23394853132310892"/>
    <n v="7.67"/>
    <n v="1483"/>
    <n v="58"/>
    <n v="0.19274759552898363"/>
    <n v="7.5383415648557321E-3"/>
    <n v="54"/>
    <n v="6.9999999999999993E-3"/>
    <n v="3.2772222222222225"/>
    <x v="0"/>
  </r>
  <r>
    <s v="AE"/>
    <x v="0"/>
    <x v="0"/>
    <s v="AE_AT~Tiktok~CDP_All Users_AG"/>
    <x v="1"/>
    <s v="CT~DarkPost~EN~AE~Video~9x16~45~_CV-Lc6gU-"/>
    <x v="0"/>
    <s v="Video"/>
    <s v="9x16"/>
    <n v="58.95"/>
    <n v="27"/>
    <n v="6081"/>
    <n v="7686"/>
    <n v="0.35128805620608899"/>
    <n v="7.67"/>
    <n v="1521"/>
    <n v="37"/>
    <n v="0.19789227166276346"/>
    <n v="4.813947436898257E-3"/>
    <n v="74"/>
    <n v="9.5999999999999992E-3"/>
    <n v="2.1833333333333336"/>
    <x v="0"/>
  </r>
  <r>
    <s v="AE"/>
    <x v="0"/>
    <x v="0"/>
    <s v="AE_AT~Tiktok~CDP_All Users_AG"/>
    <x v="1"/>
    <s v="CT~DarkPost~AR~AE~Video~9x16~45~_CV-7wlSF-"/>
    <x v="1"/>
    <s v="Video"/>
    <s v="9x16"/>
    <n v="57.35"/>
    <n v="20"/>
    <n v="5940"/>
    <n v="7501"/>
    <n v="0.26663111585121985"/>
    <n v="7.65"/>
    <n v="1528"/>
    <n v="29"/>
    <n v="0.20370617251033196"/>
    <n v="3.8661511798426876E-3"/>
    <n v="51"/>
    <n v="6.7999999999999996E-3"/>
    <n v="2.8675000000000002"/>
    <x v="0"/>
  </r>
  <r>
    <s v="AE"/>
    <x v="0"/>
    <x v="0"/>
    <s v="AE_AT~Tiktok~CDP_All Users_AG"/>
    <x v="1"/>
    <s v="CT~DarkPost~AR~AE~Video~9x16~45~_CV"/>
    <x v="1"/>
    <s v="Video"/>
    <s v="9x16"/>
    <n v="23.11"/>
    <n v="0"/>
    <n v="4565"/>
    <n v="5549"/>
    <n v="0"/>
    <n v="4.16"/>
    <n v="1125"/>
    <n v="31"/>
    <n v="0.20273923229410704"/>
    <n v="5.5865921787709499E-3"/>
    <n v="39"/>
    <n v="6.9999999999999993E-3"/>
    <n v="0"/>
    <x v="0"/>
  </r>
  <r>
    <s v="AE"/>
    <x v="0"/>
    <x v="0"/>
    <s v="AE_AT~Tiktok~CDP_All Users_AG"/>
    <x v="1"/>
    <s v="CT~DarkPost~AR~AE~Video~9x16~30~_CV"/>
    <x v="1"/>
    <s v="Video"/>
    <s v="9x16"/>
    <n v="22.17"/>
    <n v="0"/>
    <n v="4476"/>
    <n v="5600"/>
    <n v="0"/>
    <n v="3.96"/>
    <n v="1202"/>
    <n v="29"/>
    <n v="0.21464285714285714"/>
    <n v="5.1785714285714282E-3"/>
    <n v="39"/>
    <n v="6.9999999999999993E-3"/>
    <n v="0"/>
    <x v="0"/>
  </r>
  <r>
    <s v="AE"/>
    <x v="0"/>
    <x v="0"/>
    <s v="AE_AT~Tiktok~CDP_All Users_AG"/>
    <x v="1"/>
    <s v="CT~DarkPost~EN~AE~Video~9x16~45~_CV"/>
    <x v="0"/>
    <s v="Video"/>
    <s v="9x16"/>
    <n v="21.35"/>
    <n v="0"/>
    <n v="3915"/>
    <n v="4782"/>
    <n v="0"/>
    <n v="4.46"/>
    <n v="937"/>
    <n v="30"/>
    <n v="0.19594312003345882"/>
    <n v="6.2735257214554582E-3"/>
    <n v="34"/>
    <n v="7.1000000000000004E-3"/>
    <n v="0"/>
    <x v="0"/>
  </r>
  <r>
    <s v="AE"/>
    <x v="0"/>
    <x v="0"/>
    <s v="AE_AT~Tiktok~CDP_All Users_AG"/>
    <x v="1"/>
    <s v="CT~DarkPost~EN~AE~Video~9x16~30~_CV"/>
    <x v="0"/>
    <s v="Video"/>
    <s v="9x16"/>
    <n v="21.12"/>
    <n v="0"/>
    <n v="4099"/>
    <n v="4996"/>
    <n v="0"/>
    <n v="4.2300000000000004"/>
    <n v="1001"/>
    <n v="32"/>
    <n v="0.20036028823058447"/>
    <n v="6.4051240992794231E-3"/>
    <n v="28"/>
    <n v="5.6000000000000008E-3"/>
    <n v="0"/>
    <x v="0"/>
  </r>
  <r>
    <s v="BAH"/>
    <x v="1"/>
    <x v="1"/>
    <s v="BAH_AT~Tiktok~Interests_AG"/>
    <x v="0"/>
    <s v="CT~DarkPost~AR~BAH~Video~9x16~30~_CV-q93TD-"/>
    <x v="1"/>
    <s v="Video"/>
    <s v="9x16"/>
    <n v="237.91"/>
    <n v="899"/>
    <n v="295305"/>
    <n v="458426"/>
    <n v="0.19610580551713908"/>
    <n v="0.52"/>
    <n v="86823"/>
    <n v="1840"/>
    <n v="0.18939370803575714"/>
    <n v="4.0137339505176405E-3"/>
    <n v="2251"/>
    <n v="4.8999999999999998E-3"/>
    <n v="0.26463848720800892"/>
    <x v="0"/>
  </r>
  <r>
    <s v="BAH"/>
    <x v="1"/>
    <x v="1"/>
    <s v="BAH_AT~Tiktok~Interests_AG"/>
    <x v="0"/>
    <s v="CT~DarkPost~EN~BAH~Video~9x16~30~_CV-1gtb9-"/>
    <x v="0"/>
    <s v="Video"/>
    <s v="9x16"/>
    <n v="236.25"/>
    <n v="956"/>
    <n v="288758"/>
    <n v="450795"/>
    <n v="0.212069787819297"/>
    <n v="0.52"/>
    <n v="72364"/>
    <n v="1718"/>
    <n v="0.16052529420246453"/>
    <n v="3.8110449317317182E-3"/>
    <n v="2193"/>
    <n v="4.8999999999999998E-3"/>
    <n v="0.2471234309623431"/>
    <x v="0"/>
  </r>
  <r>
    <s v="BAH"/>
    <x v="1"/>
    <x v="1"/>
    <s v="BAH_AT~Tiktok~Interests_AG"/>
    <x v="0"/>
    <s v="CT~DarkPost~EN~BAH~Video~9x16~45~_CV-IuSyj-"/>
    <x v="0"/>
    <s v="Video"/>
    <s v="9x16"/>
    <n v="232.76"/>
    <n v="907"/>
    <n v="291261"/>
    <n v="451843"/>
    <n v="0.20073344059772974"/>
    <n v="0.52"/>
    <n v="68165"/>
    <n v="1072"/>
    <n v="0.15085992258372929"/>
    <n v="2.3725054941650088E-3"/>
    <n v="2162"/>
    <n v="4.7999999999999996E-3"/>
    <n v="0.25662624035281145"/>
    <x v="0"/>
  </r>
  <r>
    <s v="BAH"/>
    <x v="1"/>
    <x v="1"/>
    <s v="BAH_AT~Tiktok~Interests_AG"/>
    <x v="0"/>
    <s v="CT~DarkPost~AR~BAH~Video~9x16~45~_CV-a6Bk9-"/>
    <x v="1"/>
    <s v="Video"/>
    <s v="9x16"/>
    <n v="232.33"/>
    <n v="851"/>
    <n v="291322"/>
    <n v="450308"/>
    <n v="0.18898176359291863"/>
    <n v="0.52"/>
    <n v="79762"/>
    <n v="1141"/>
    <n v="0.17712765484956963"/>
    <n v="2.5338212956465354E-3"/>
    <n v="2168"/>
    <n v="4.7999999999999996E-3"/>
    <n v="0.27300822561692129"/>
    <x v="0"/>
  </r>
  <r>
    <s v="BAH"/>
    <x v="1"/>
    <x v="1"/>
    <s v="BAH_AT~Tiktok~Interests_AG"/>
    <x v="0"/>
    <s v="CT~DarkPost~AR~BAH~Video~9x16~30~_CV"/>
    <x v="1"/>
    <s v="Video"/>
    <s v="9x16"/>
    <n v="30.07"/>
    <n v="0"/>
    <n v="71582"/>
    <n v="82290"/>
    <n v="0"/>
    <n v="0.37"/>
    <n v="18070"/>
    <n v="350"/>
    <n v="0.21958925750394945"/>
    <n v="4.2532506987483292E-3"/>
    <n v="297"/>
    <n v="3.5999999999999999E-3"/>
    <n v="0"/>
    <x v="0"/>
  </r>
  <r>
    <s v="BAH"/>
    <x v="1"/>
    <x v="1"/>
    <s v="BAH_AT~Tiktok~Interests_AG"/>
    <x v="0"/>
    <s v="CT~DarkPost~EN~BAH~Video~9x16~30~_CV"/>
    <x v="0"/>
    <s v="Video"/>
    <s v="9x16"/>
    <n v="21.86"/>
    <n v="0"/>
    <n v="62420"/>
    <n v="71598"/>
    <n v="0"/>
    <n v="0.31"/>
    <n v="13068"/>
    <n v="241"/>
    <n v="0.18251906477834576"/>
    <n v="3.3660158104974998E-3"/>
    <n v="215"/>
    <n v="3.0000000000000001E-3"/>
    <n v="0"/>
    <x v="0"/>
  </r>
  <r>
    <s v="BAH"/>
    <x v="1"/>
    <x v="1"/>
    <s v="BAH_AT~Tiktok~Interests_AG"/>
    <x v="0"/>
    <s v="CT~DarkPost~AR~BAH~Video~9x16~45~_CV"/>
    <x v="1"/>
    <s v="Video"/>
    <s v="9x16"/>
    <n v="19.559999999999999"/>
    <n v="0"/>
    <n v="60603"/>
    <n v="69350"/>
    <n v="0"/>
    <n v="0.28000000000000003"/>
    <n v="14302"/>
    <n v="154"/>
    <n v="0.20622927180966114"/>
    <n v="2.2206200432588318E-3"/>
    <n v="256"/>
    <n v="3.7000000000000002E-3"/>
    <n v="0"/>
    <x v="0"/>
  </r>
  <r>
    <s v="BAH"/>
    <x v="1"/>
    <x v="1"/>
    <s v="BAH_AT~Tiktok~Interests_AG"/>
    <x v="0"/>
    <s v="CT~DarkPost~EN~BAH~Video~9x16~45~_CV"/>
    <x v="0"/>
    <s v="Video"/>
    <s v="9x16"/>
    <n v="16.559999999999999"/>
    <n v="0"/>
    <n v="56048"/>
    <n v="64252"/>
    <n v="0"/>
    <n v="0.26"/>
    <n v="11033"/>
    <n v="121"/>
    <n v="0.17171449915955925"/>
    <n v="1.8832098611716367E-3"/>
    <n v="182"/>
    <n v="2.8E-3"/>
    <n v="0"/>
    <x v="0"/>
  </r>
  <r>
    <s v="JED"/>
    <x v="2"/>
    <x v="2"/>
    <s v="JED_AT~Tiktok~Interests_AG"/>
    <x v="0"/>
    <s v="CT~DarkPost~EN~JED~Video~9x16~45~_CV-rIzAL-"/>
    <x v="0"/>
    <s v="Video"/>
    <s v="9x16"/>
    <n v="2162.67"/>
    <n v="5464"/>
    <n v="2272839"/>
    <n v="3316491"/>
    <n v="0.16475244467722058"/>
    <n v="0.65"/>
    <n v="252741"/>
    <n v="4452"/>
    <n v="7.6207352891957195E-2"/>
    <n v="1.3423826568502674E-3"/>
    <n v="8347"/>
    <n v="2.5000000000000001E-3"/>
    <n v="0.39580344070278184"/>
    <x v="0"/>
  </r>
  <r>
    <s v="JED"/>
    <x v="2"/>
    <x v="2"/>
    <s v="JED_AT~Tiktok~Interests_AG"/>
    <x v="0"/>
    <s v="CT~DarkPost~EN~JED~Video~9x16~30~_CV-lVMEf-"/>
    <x v="0"/>
    <s v="Video"/>
    <s v="9x16"/>
    <n v="1932.22"/>
    <n v="4737"/>
    <n v="2041623"/>
    <n v="2936045"/>
    <n v="0.16133948900646961"/>
    <n v="0.66"/>
    <n v="235267"/>
    <n v="5717"/>
    <n v="8.0130583829607513E-2"/>
    <n v="1.9471772401308564E-3"/>
    <n v="7285"/>
    <n v="2.5000000000000001E-3"/>
    <n v="0.40789951446062911"/>
    <x v="0"/>
  </r>
  <r>
    <s v="JED"/>
    <x v="2"/>
    <x v="2"/>
    <s v="JED_AT~Tiktok~Interests_AG"/>
    <x v="0"/>
    <s v="CT~DarkPost~AR~JED~Video~9x16~45~_CV-ySPkG-"/>
    <x v="1"/>
    <s v="Video"/>
    <s v="9x16"/>
    <n v="1769.56"/>
    <n v="3737"/>
    <n v="1932105"/>
    <n v="2754856"/>
    <n v="0.13565137342931899"/>
    <n v="0.64"/>
    <n v="242664"/>
    <n v="3731"/>
    <n v="8.8085910842526802E-2"/>
    <n v="1.3543357620144211E-3"/>
    <n v="5929"/>
    <n v="2.2000000000000001E-3"/>
    <n v="0.4735242172865935"/>
    <x v="0"/>
  </r>
  <r>
    <s v="JED"/>
    <x v="2"/>
    <x v="2"/>
    <s v="JED_AT~Tiktok~Interests_AG"/>
    <x v="0"/>
    <s v="CT~DarkPost~AR~JED~Video~9x16~30~_CV-k9Joh-"/>
    <x v="1"/>
    <s v="Video"/>
    <s v="9x16"/>
    <n v="1735.9"/>
    <n v="3806"/>
    <n v="1854071"/>
    <n v="2688164"/>
    <n v="0.14158362361820187"/>
    <n v="0.65"/>
    <n v="249105"/>
    <n v="5521"/>
    <n v="9.2667337260673083E-2"/>
    <n v="2.0538181450238898E-3"/>
    <n v="6122"/>
    <n v="2.3E-3"/>
    <n v="0.45609563846558071"/>
    <x v="0"/>
  </r>
  <r>
    <s v="JED"/>
    <x v="2"/>
    <x v="2"/>
    <s v="JED_AT~Tiktok~Interests_AG"/>
    <x v="0"/>
    <s v="CT~DarkPost~AR~JED~Video~9x16~30~_CV"/>
    <x v="1"/>
    <s v="Video"/>
    <s v="9x16"/>
    <n v="639.37"/>
    <n v="0"/>
    <n v="902641"/>
    <n v="1054224"/>
    <n v="0"/>
    <n v="0.61"/>
    <n v="114444"/>
    <n v="2093"/>
    <n v="0.10855757410189865"/>
    <n v="1.9853465677123648E-3"/>
    <n v="1005"/>
    <n v="1E-3"/>
    <n v="0"/>
    <x v="0"/>
  </r>
  <r>
    <s v="JED"/>
    <x v="2"/>
    <x v="2"/>
    <s v="JED_AT~Tiktok~Interests_AG"/>
    <x v="0"/>
    <s v="CT~DarkPost~EN~JED~Video~9x16~30~_CV"/>
    <x v="0"/>
    <s v="Video"/>
    <s v="9x16"/>
    <n v="566.09"/>
    <n v="0"/>
    <n v="821458"/>
    <n v="966237"/>
    <n v="0"/>
    <n v="0.59"/>
    <n v="84091"/>
    <n v="1645"/>
    <n v="8.7029372710835953E-2"/>
    <n v="1.7024808613207733E-3"/>
    <n v="858"/>
    <n v="8.9999999999999998E-4"/>
    <n v="0"/>
    <x v="0"/>
  </r>
  <r>
    <s v="JED"/>
    <x v="2"/>
    <x v="2"/>
    <s v="JED_AT~Tiktok~Interests_AG"/>
    <x v="0"/>
    <s v="CT~DarkPost~AR~JED~Video~9x16~45~_CV"/>
    <x v="1"/>
    <s v="Video"/>
    <s v="9x16"/>
    <n v="452.32"/>
    <n v="0"/>
    <n v="695315"/>
    <n v="813410"/>
    <n v="0"/>
    <n v="0.56000000000000005"/>
    <n v="84852"/>
    <n v="1036"/>
    <n v="0.10431639640525688"/>
    <n v="1.2736504345901821E-3"/>
    <n v="762"/>
    <n v="8.9999999999999998E-4"/>
    <n v="0"/>
    <x v="0"/>
  </r>
  <r>
    <s v="JED"/>
    <x v="2"/>
    <x v="2"/>
    <s v="JED_AT~Tiktok~Interests_AG"/>
    <x v="0"/>
    <s v="CT~DarkPost~EN~JED~Video~9x16~45~_CV"/>
    <x v="0"/>
    <s v="Video"/>
    <s v="9x16"/>
    <n v="413.87"/>
    <n v="0"/>
    <n v="668221"/>
    <n v="777584"/>
    <n v="0"/>
    <n v="0.53"/>
    <n v="63508"/>
    <n v="913"/>
    <n v="8.1673491224099268E-2"/>
    <n v="1.1741496738616021E-3"/>
    <n v="710"/>
    <n v="8.9999999999999998E-4"/>
    <n v="0"/>
    <x v="0"/>
  </r>
  <r>
    <s v="KWT"/>
    <x v="3"/>
    <x v="3"/>
    <s v="KWT_AT~Tiktok~Interests_AG"/>
    <x v="0"/>
    <s v="CT~DarkPost~EN~KWT~Video~9x16~45~_CV"/>
    <x v="0"/>
    <s v="Video"/>
    <s v="9x16"/>
    <n v="1026.6500000000001"/>
    <n v="2035"/>
    <n v="748514"/>
    <n v="1060287"/>
    <n v="0.19192916634835663"/>
    <n v="0.97"/>
    <n v="118626"/>
    <n v="2105"/>
    <n v="0.11188102843852656"/>
    <n v="1.9853115241439344E-3"/>
    <n v="3352"/>
    <n v="3.2000000000000002E-3"/>
    <n v="0.50449631449631449"/>
    <x v="0"/>
  </r>
  <r>
    <s v="KWT"/>
    <x v="3"/>
    <x v="3"/>
    <s v="KWT_AT~Tiktok~Interests_AG"/>
    <x v="0"/>
    <s v="CT~DarkPost~EN~KWT~Video~9x16~30~_CV"/>
    <x v="0"/>
    <s v="Video"/>
    <s v="9x16"/>
    <n v="1003.87"/>
    <n v="2069"/>
    <n v="739197"/>
    <n v="1047074"/>
    <n v="0.19759825953084501"/>
    <n v="0.96"/>
    <n v="123987"/>
    <n v="3244"/>
    <n v="0.1184128342409419"/>
    <n v="3.0981573413149405E-3"/>
    <n v="3315"/>
    <n v="3.2000000000000002E-3"/>
    <n v="0.48519574673755439"/>
    <x v="0"/>
  </r>
  <r>
    <s v="KWT"/>
    <x v="3"/>
    <x v="3"/>
    <s v="KWT_AT~Tiktok~Interests_AG"/>
    <x v="0"/>
    <s v="CT~DarkPost~AR~KWT~Video~9x16~30~_CV"/>
    <x v="1"/>
    <s v="Video"/>
    <s v="9x16"/>
    <n v="915.44"/>
    <n v="1446"/>
    <n v="698282"/>
    <n v="976618"/>
    <n v="0.14806198534124909"/>
    <n v="0.94"/>
    <n v="133648"/>
    <n v="3098"/>
    <n v="0.13684777466727011"/>
    <n v="3.1721717191368578E-3"/>
    <n v="2773"/>
    <n v="2.8E-3"/>
    <n v="0.63308437067773171"/>
    <x v="0"/>
  </r>
  <r>
    <s v="KWT"/>
    <x v="3"/>
    <x v="3"/>
    <s v="KWT_AT~Tiktok~Interests_AG"/>
    <x v="0"/>
    <s v="CT~DarkPost~AR~KWT~Video~9x16~45~_CV"/>
    <x v="1"/>
    <s v="Video"/>
    <s v="9x16"/>
    <n v="874.96"/>
    <n v="1375"/>
    <n v="668554"/>
    <n v="935995"/>
    <n v="0.14690249413725501"/>
    <n v="0.93"/>
    <n v="118711"/>
    <n v="1874"/>
    <n v="0.12682866895656494"/>
    <n v="2.0021474473688426E-3"/>
    <n v="2557"/>
    <n v="2.7000000000000001E-3"/>
    <n v="0.63633454545454549"/>
    <x v="0"/>
  </r>
  <r>
    <s v="KWT"/>
    <x v="3"/>
    <x v="3"/>
    <s v="KWT_AT~Tiktok~Interests_AG"/>
    <x v="0"/>
    <s v="CT~DarkPost~EN~KWT~Video~9x16~30~_CV"/>
    <x v="0"/>
    <s v="Video"/>
    <s v="9x16"/>
    <n v="328.29"/>
    <n v="0"/>
    <n v="423244"/>
    <n v="520171"/>
    <n v="0"/>
    <n v="0.63"/>
    <n v="62835"/>
    <n v="1520"/>
    <n v="0.12079681489356385"/>
    <n v="2.9221159964703913E-3"/>
    <n v="658"/>
    <n v="1.2999999999999999E-3"/>
    <n v="0"/>
    <x v="0"/>
  </r>
  <r>
    <s v="KWT"/>
    <x v="3"/>
    <x v="3"/>
    <s v="KWT_AT~Tiktok~Interests_AG"/>
    <x v="0"/>
    <s v="CT~DarkPost~EN~KWT~Video~9x16~45~_CV"/>
    <x v="0"/>
    <s v="Video"/>
    <s v="9x16"/>
    <n v="269.68"/>
    <n v="0"/>
    <n v="378376"/>
    <n v="457824"/>
    <n v="0"/>
    <n v="0.59"/>
    <n v="51275"/>
    <n v="844"/>
    <n v="0.11199718669182918"/>
    <n v="1.8435031802614104E-3"/>
    <n v="514"/>
    <n v="1.1000000000000001E-3"/>
    <n v="0"/>
    <x v="0"/>
  </r>
  <r>
    <s v="KWT"/>
    <x v="3"/>
    <x v="3"/>
    <s v="KWT_AT~Tiktok~Interests_AG"/>
    <x v="0"/>
    <s v="CT~DarkPost~AR~KWT~Video~9x16~30~_CV"/>
    <x v="1"/>
    <s v="Video"/>
    <s v="9x16"/>
    <n v="265.89"/>
    <n v="0"/>
    <n v="375205"/>
    <n v="459632"/>
    <n v="0"/>
    <n v="0.57999999999999996"/>
    <n v="64249"/>
    <n v="1381"/>
    <n v="0.13978356598322136"/>
    <n v="3.0045775751035612E-3"/>
    <n v="600"/>
    <n v="1.2999999999999999E-3"/>
    <n v="0"/>
    <x v="0"/>
  </r>
  <r>
    <s v="KWT"/>
    <x v="3"/>
    <x v="3"/>
    <s v="KWT_AT~Tiktok~Interests_AG"/>
    <x v="0"/>
    <s v="CT~DarkPost~AR~KWT~Video~9x16~45~_CV"/>
    <x v="1"/>
    <s v="Video"/>
    <s v="9x16"/>
    <n v="217.72"/>
    <n v="0"/>
    <n v="337792"/>
    <n v="409480"/>
    <n v="0"/>
    <n v="0.53"/>
    <n v="53202"/>
    <n v="728"/>
    <n v="0.12992575949985347"/>
    <n v="1.7778646087721012E-3"/>
    <n v="482"/>
    <n v="1.1999999999999999E-3"/>
    <n v="0"/>
    <x v="0"/>
  </r>
  <r>
    <s v="KWT"/>
    <x v="3"/>
    <x v="3"/>
    <s v="KWT_AT~Tiktok~Retargeting_AG"/>
    <x v="1"/>
    <s v="CT~DarkPost~AR~KWT~Video~9x16~45~_CV"/>
    <x v="1"/>
    <s v="Video"/>
    <s v="9x16"/>
    <n v="7.58"/>
    <n v="0"/>
    <n v="1962"/>
    <n v="2542"/>
    <n v="0"/>
    <n v="2.98"/>
    <n v="479"/>
    <n v="10"/>
    <n v="0.1884343036978757"/>
    <n v="3.9339103068450039E-3"/>
    <n v="12"/>
    <n v="4.6999999999999993E-3"/>
    <n v="0"/>
    <x v="0"/>
  </r>
  <r>
    <s v="KWT"/>
    <x v="3"/>
    <x v="3"/>
    <s v="KWT_AT~Tiktok~Retargeting_AG"/>
    <x v="1"/>
    <s v="CT~DarkPost~AR~KWT~Video~9x16~30~_CV"/>
    <x v="1"/>
    <s v="Video"/>
    <s v="9x16"/>
    <n v="7.25"/>
    <n v="0"/>
    <n v="1949"/>
    <n v="2560"/>
    <n v="0"/>
    <n v="2.83"/>
    <n v="527"/>
    <n v="18"/>
    <n v="0.20585937500000001"/>
    <n v="7.0312500000000002E-3"/>
    <n v="15"/>
    <n v="5.8999999999999999E-3"/>
    <n v="0"/>
    <x v="0"/>
  </r>
  <r>
    <s v="KWT"/>
    <x v="3"/>
    <x v="3"/>
    <s v="KWT_AT~Tiktok~Retargeting_AG"/>
    <x v="1"/>
    <s v="CT~DarkPost~EN~KWT~Video~9x16~30~_CV"/>
    <x v="0"/>
    <s v="Video"/>
    <s v="9x16"/>
    <n v="7.12"/>
    <n v="0"/>
    <n v="1784"/>
    <n v="2305"/>
    <n v="0"/>
    <n v="3.09"/>
    <n v="472"/>
    <n v="19"/>
    <n v="0.20477223427331886"/>
    <n v="8.2429501084598702E-3"/>
    <n v="9"/>
    <n v="3.8999999999999998E-3"/>
    <n v="0"/>
    <x v="0"/>
  </r>
  <r>
    <s v="KWT"/>
    <x v="3"/>
    <x v="3"/>
    <s v="KWT_AT~Tiktok~Retargeting_AG"/>
    <x v="1"/>
    <s v="CT~DarkPost~EN~KWT~Video~9x16~45~_CV"/>
    <x v="0"/>
    <s v="Video"/>
    <s v="9x16"/>
    <n v="6.97"/>
    <n v="0"/>
    <n v="1740"/>
    <n v="2258"/>
    <n v="0"/>
    <n v="3.09"/>
    <n v="394"/>
    <n v="5"/>
    <n v="0.17449069973427811"/>
    <n v="2.2143489813994687E-3"/>
    <n v="22"/>
    <n v="9.7000000000000003E-3"/>
    <n v="0"/>
    <x v="0"/>
  </r>
  <r>
    <s v="KWT"/>
    <x v="3"/>
    <x v="3"/>
    <s v="KWT_AT~Tiktok~Retargeting_AG"/>
    <x v="1"/>
    <s v="CT~DarkPost~EN~KWT~Video~9x16~45~_CV"/>
    <x v="0"/>
    <s v="Video"/>
    <s v="9x16"/>
    <n v="6.14"/>
    <n v="2"/>
    <n v="1269"/>
    <n v="1538"/>
    <n v="0.13003901170351106"/>
    <n v="3.99"/>
    <n v="274"/>
    <n v="9"/>
    <n v="0.17815344603381014"/>
    <n v="5.8517555266579977E-3"/>
    <n v="7"/>
    <n v="4.5999999999999999E-3"/>
    <n v="3.07"/>
    <x v="0"/>
  </r>
  <r>
    <s v="KWT"/>
    <x v="3"/>
    <x v="3"/>
    <s v="KWT_AT~Tiktok~Retargeting_AG"/>
    <x v="1"/>
    <s v="CT~DarkPost~AR~KWT~Video~9x16~30~_CV"/>
    <x v="1"/>
    <s v="Video"/>
    <s v="9x16"/>
    <n v="5.84"/>
    <n v="0"/>
    <n v="1260"/>
    <n v="1514"/>
    <n v="0"/>
    <n v="3.86"/>
    <n v="305"/>
    <n v="14"/>
    <n v="0.20145310435931307"/>
    <n v="9.247027741083224E-3"/>
    <n v="8"/>
    <n v="5.3E-3"/>
    <n v="0"/>
    <x v="0"/>
  </r>
  <r>
    <s v="KWT"/>
    <x v="3"/>
    <x v="3"/>
    <s v="KWT_AT~Tiktok~Retargeting_AG"/>
    <x v="1"/>
    <s v="CT~DarkPost~EN~KWT~Video~9x16~30~_CV"/>
    <x v="0"/>
    <s v="Video"/>
    <s v="9x16"/>
    <n v="5.84"/>
    <n v="4"/>
    <n v="1219"/>
    <n v="1488"/>
    <n v="0.26881720430107531"/>
    <n v="3.92"/>
    <n v="242"/>
    <n v="8"/>
    <n v="0.16263440860215053"/>
    <n v="5.3763440860215058E-3"/>
    <n v="10"/>
    <n v="6.7000000000000002E-3"/>
    <n v="1.46"/>
    <x v="0"/>
  </r>
  <r>
    <s v="KWT"/>
    <x v="3"/>
    <x v="3"/>
    <s v="KWT_AT~Tiktok~Retargeting_AG"/>
    <x v="1"/>
    <s v="CT~DarkPost~AR~KWT~Video~9x16~45~_CV"/>
    <x v="1"/>
    <s v="Video"/>
    <s v="9x16"/>
    <n v="5.79"/>
    <n v="5"/>
    <n v="1254"/>
    <n v="1503"/>
    <n v="0.33266799733865599"/>
    <n v="3.85"/>
    <n v="294"/>
    <n v="2"/>
    <n v="0.19560878243512975"/>
    <n v="1.3306719893546241E-3"/>
    <n v="10"/>
    <n v="6.7000000000000002E-3"/>
    <n v="1.1579999999999999"/>
    <x v="0"/>
  </r>
  <r>
    <s v="OMA"/>
    <x v="4"/>
    <x v="4"/>
    <s v="OMA_AT~Tiktok~Interests_AG"/>
    <x v="0"/>
    <s v="CT~DarkPost~EN~OMA~Video~9x16~30~_CV"/>
    <x v="0"/>
    <s v="Video"/>
    <s v="9x16"/>
    <n v="273.51"/>
    <n v="0"/>
    <n v="412773"/>
    <n v="658188"/>
    <n v="0"/>
    <n v="0.42"/>
    <n v="106158"/>
    <n v="2373"/>
    <n v="0.16128826414337544"/>
    <n v="3.6053528779011468E-3"/>
    <n v="2389"/>
    <n v="3.5999999999999999E-3"/>
    <n v="0"/>
    <x v="0"/>
  </r>
  <r>
    <s v="OMA"/>
    <x v="4"/>
    <x v="4"/>
    <s v="OMA_AT~Tiktok~Interests_AG"/>
    <x v="0"/>
    <s v="CT~DarkPost~AR~OMA~Video~9x16~30~_CV"/>
    <x v="1"/>
    <s v="Video"/>
    <s v="9x16"/>
    <n v="255.96"/>
    <n v="0"/>
    <n v="403822"/>
    <n v="639027"/>
    <n v="0"/>
    <n v="0.4"/>
    <n v="132148"/>
    <n v="2514"/>
    <n v="0.20679564400252259"/>
    <n v="3.9341060706355128E-3"/>
    <n v="2513"/>
    <n v="3.8999999999999998E-3"/>
    <n v="0"/>
    <x v="0"/>
  </r>
  <r>
    <s v="OMA"/>
    <x v="4"/>
    <x v="4"/>
    <s v="OMA_AT~Tiktok~Interests_AG"/>
    <x v="0"/>
    <s v="CT~DarkPost~EN~OMA~Video~9x16~45~_CV"/>
    <x v="0"/>
    <s v="Video"/>
    <s v="9x16"/>
    <n v="255.51"/>
    <n v="0"/>
    <n v="405289"/>
    <n v="639959"/>
    <n v="0"/>
    <n v="0.4"/>
    <n v="96482"/>
    <n v="1574"/>
    <n v="0.15076278324080136"/>
    <n v="2.4595325638048686E-3"/>
    <n v="2410"/>
    <n v="3.8E-3"/>
    <n v="0"/>
    <x v="0"/>
  </r>
  <r>
    <s v="OMA"/>
    <x v="4"/>
    <x v="4"/>
    <s v="OMA_AT~Tiktok~Interests_AG"/>
    <x v="0"/>
    <s v="CT~DarkPost~AR~OMA~Video~9x16~45~_CV"/>
    <x v="1"/>
    <s v="Video"/>
    <s v="9x16"/>
    <n v="246.34"/>
    <n v="0"/>
    <n v="402112"/>
    <n v="630665"/>
    <n v="0"/>
    <n v="0.39"/>
    <n v="122502"/>
    <n v="1640"/>
    <n v="0.19424258520767762"/>
    <n v="2.6004297051524976E-3"/>
    <n v="2518"/>
    <n v="4.0000000000000001E-3"/>
    <n v="0"/>
    <x v="0"/>
  </r>
  <r>
    <s v="QAT"/>
    <x v="5"/>
    <x v="5"/>
    <s v="QAT_AT~Tiktok~Interests_AG"/>
    <x v="0"/>
    <s v="CT~DarkPost~AR~QAT~Video~9x16~30~_CV"/>
    <x v="1"/>
    <s v="Video"/>
    <s v="9x16"/>
    <n v="753.03"/>
    <n v="1594"/>
    <n v="604532"/>
    <n v="925679"/>
    <n v="0.17219792174177009"/>
    <n v="0.81"/>
    <n v="140422"/>
    <n v="3176"/>
    <n v="0.1516962143464419"/>
    <n v="3.4309949777406638E-3"/>
    <n v="4913"/>
    <n v="5.3E-3"/>
    <n v="0.47241530740276033"/>
    <x v="0"/>
  </r>
  <r>
    <s v="QAT"/>
    <x v="5"/>
    <x v="5"/>
    <s v="QAT_AT~Tiktok~Interests_AG"/>
    <x v="0"/>
    <s v="Copy 1 of CT~DarkPost~EN~QAT~Video~9x16~45~_CV"/>
    <x v="0"/>
    <s v="Video"/>
    <s v="9x16"/>
    <n v="729.56"/>
    <n v="1721"/>
    <n v="593301"/>
    <n v="906138"/>
    <n v="0.18992692062356947"/>
    <n v="0.81"/>
    <n v="114828"/>
    <n v="2174"/>
    <n v="0.12672241976387702"/>
    <n v="2.3991930588938993E-3"/>
    <n v="4803"/>
    <n v="5.3E-3"/>
    <n v="0.42391632771644389"/>
    <x v="0"/>
  </r>
  <r>
    <s v="QAT"/>
    <x v="5"/>
    <x v="5"/>
    <s v="QAT_AT~Tiktok~Interests_AG"/>
    <x v="0"/>
    <s v="Copy 1 of CT~DarkPost~EN~QAT~Video~9x16~30~_CV"/>
    <x v="0"/>
    <s v="Video"/>
    <s v="9x16"/>
    <n v="729.44"/>
    <n v="1724"/>
    <n v="594177"/>
    <n v="903314"/>
    <n v="0.19085279315941081"/>
    <n v="0.81"/>
    <n v="123348"/>
    <n v="3143"/>
    <n v="0.13655052395955339"/>
    <n v="3.4794102604409982E-3"/>
    <n v="4815"/>
    <n v="5.3E-3"/>
    <n v="0.42310904872389793"/>
    <x v="0"/>
  </r>
  <r>
    <s v="QAT"/>
    <x v="5"/>
    <x v="5"/>
    <s v="QAT_AT~Tiktok~Interests_AG"/>
    <x v="0"/>
    <s v="CT~DarkPost~AR~QAT~Video~9x16~45~_CV"/>
    <x v="1"/>
    <s v="Video"/>
    <s v="9x16"/>
    <n v="723.32"/>
    <n v="1390"/>
    <n v="592808"/>
    <n v="899545"/>
    <n v="0.15452256418522697"/>
    <n v="0.8"/>
    <n v="117662"/>
    <n v="2194"/>
    <n v="0.13080168307310919"/>
    <n v="2.43901083325459E-3"/>
    <n v="4470"/>
    <n v="5.0000000000000001E-3"/>
    <n v="0.52037410071942447"/>
    <x v="0"/>
  </r>
  <r>
    <s v="QAT"/>
    <x v="5"/>
    <x v="5"/>
    <s v="QAT_AT~Tiktok~Interests_AG"/>
    <x v="0"/>
    <s v="CT~DarkPost~AR~QAT~Video~9x16~30~_CV"/>
    <x v="1"/>
    <s v="Video"/>
    <s v="9x16"/>
    <n v="59.42"/>
    <n v="0"/>
    <n v="119639"/>
    <n v="136147"/>
    <n v="0"/>
    <n v="0.44"/>
    <n v="19564"/>
    <n v="391"/>
    <n v="0.14369762095382196"/>
    <n v="2.8718958184903083E-3"/>
    <n v="281"/>
    <n v="2.0999999999999999E-3"/>
    <n v="0"/>
    <x v="0"/>
  </r>
  <r>
    <s v="QAT"/>
    <x v="5"/>
    <x v="5"/>
    <s v="QAT_AT~Tiktok~Interests_AG"/>
    <x v="0"/>
    <s v="CT~DarkPost~EN~QAT~Video~9x16~30~_CV"/>
    <x v="0"/>
    <s v="Video"/>
    <s v="9x16"/>
    <n v="47.55"/>
    <n v="0"/>
    <n v="109046"/>
    <n v="122626"/>
    <n v="0"/>
    <n v="0.39"/>
    <n v="15268"/>
    <n v="327"/>
    <n v="0.12450866863471043"/>
    <n v="2.6666449203268474E-3"/>
    <n v="277"/>
    <n v="2.3E-3"/>
    <n v="0"/>
    <x v="0"/>
  </r>
  <r>
    <s v="QAT"/>
    <x v="5"/>
    <x v="5"/>
    <s v="QAT_AT~Tiktok~Interests_AG"/>
    <x v="0"/>
    <s v="CT~DarkPost~EN~QAT~Video~9x16~45~_CV"/>
    <x v="0"/>
    <s v="Video"/>
    <s v="9x16"/>
    <n v="46.13"/>
    <n v="0"/>
    <n v="107007"/>
    <n v="119740"/>
    <n v="0"/>
    <n v="0.39"/>
    <n v="13823"/>
    <n v="228"/>
    <n v="0.11544179054618339"/>
    <n v="1.9041256054785369E-3"/>
    <n v="283"/>
    <n v="2.3999999999999998E-3"/>
    <n v="0"/>
    <x v="0"/>
  </r>
  <r>
    <s v="QAT"/>
    <x v="5"/>
    <x v="5"/>
    <s v="QAT_AT~Tiktok~Interests_AG"/>
    <x v="0"/>
    <s v="CT~DarkPost~AR~QAT~Video~9x16~45~_CV"/>
    <x v="1"/>
    <s v="Video"/>
    <s v="9x16"/>
    <n v="42.06"/>
    <n v="0"/>
    <n v="102452"/>
    <n v="115599"/>
    <n v="0"/>
    <n v="0.36"/>
    <n v="13754"/>
    <n v="235"/>
    <n v="0.11898026799539789"/>
    <n v="2.0328895578681475E-3"/>
    <n v="263"/>
    <n v="2.3E-3"/>
    <n v="0"/>
    <x v="0"/>
  </r>
  <r>
    <s v="RIY"/>
    <x v="6"/>
    <x v="6"/>
    <s v="RIY_AT~FBIG~Interests_AG"/>
    <x v="0"/>
    <s v="CT~DarkPost~AR~RIY~Video~9x16~61~_CV-PKsCG-"/>
    <x v="1"/>
    <s v="Video"/>
    <s v="9x16"/>
    <n v="6640.06"/>
    <n v="11347"/>
    <n v="3064506"/>
    <n v="5201668"/>
    <n v="0.21814156535941934"/>
    <n v="1.28"/>
    <n v="499252"/>
    <n v="5692"/>
    <n v="9.5979212821733342E-2"/>
    <n v="1.0942643782725079E-3"/>
    <n v="30892"/>
    <n v="5.8999999999999999E-3"/>
    <n v="0.5851819864281308"/>
    <x v="0"/>
  </r>
  <r>
    <s v="RIY"/>
    <x v="6"/>
    <x v="6"/>
    <s v="RIY_AT~FBIG~Interests_AG"/>
    <x v="0"/>
    <s v="CT~DarkPost~AR~RIY~Video~9x16~30~_CV-mhUEb-"/>
    <x v="1"/>
    <s v="Video"/>
    <s v="9x16"/>
    <n v="6242.05"/>
    <n v="10319"/>
    <n v="2927170"/>
    <n v="4897606"/>
    <n v="0.21069477618248589"/>
    <n v="1.27"/>
    <n v="670323"/>
    <n v="13332"/>
    <n v="0.13686748178599911"/>
    <n v="2.7221462894320204E-3"/>
    <n v="29129"/>
    <n v="5.8999999999999999E-3"/>
    <n v="0.60490842135865885"/>
    <x v="0"/>
  </r>
  <r>
    <s v="RIY"/>
    <x v="6"/>
    <x v="6"/>
    <s v="RIY_AT~FBIG~Interests_AG"/>
    <x v="0"/>
    <s v="CT~DarkPost~AR~RIY~Video~9x16~45~_CV-QBIq7-"/>
    <x v="1"/>
    <s v="Video"/>
    <s v="9x16"/>
    <n v="6196.59"/>
    <n v="10100"/>
    <n v="2903385"/>
    <n v="4899758"/>
    <n v="0.20613262940741153"/>
    <n v="1.26"/>
    <n v="676057"/>
    <n v="8223"/>
    <n v="0.13797763073196675"/>
    <n v="1.6782461501159854E-3"/>
    <n v="28854"/>
    <n v="5.8999999999999999E-3"/>
    <n v="0.61352376237623762"/>
    <x v="0"/>
  </r>
  <r>
    <s v="RIY"/>
    <x v="6"/>
    <x v="6"/>
    <s v="RIY_AT~FBIG~Interests_AG"/>
    <x v="0"/>
    <s v="CT~DarkPost~AR~RIY~Video~9x16~30~_CV"/>
    <x v="1"/>
    <s v="Video"/>
    <s v="9x16"/>
    <n v="412.15"/>
    <n v="0"/>
    <n v="539004"/>
    <n v="637825"/>
    <n v="0"/>
    <n v="0.65"/>
    <n v="80421"/>
    <n v="1387"/>
    <n v="0.12608630894054013"/>
    <n v="2.174577666287775E-3"/>
    <n v="1879"/>
    <n v="2.8999999999999998E-3"/>
    <n v="0"/>
    <x v="0"/>
  </r>
  <r>
    <s v="RIY"/>
    <x v="6"/>
    <x v="6"/>
    <s v="RIY_AT~FBIG~Interests_AG"/>
    <x v="0"/>
    <s v="CT~DarkPost~AR~RIY~Video~9x16~61~_CV"/>
    <x v="1"/>
    <s v="Video"/>
    <s v="9x16"/>
    <n v="405.21"/>
    <n v="0"/>
    <n v="534674"/>
    <n v="630921"/>
    <n v="0"/>
    <n v="0.64"/>
    <n v="51336"/>
    <n v="497"/>
    <n v="8.1366763826215965E-2"/>
    <n v="7.8773729199059788E-4"/>
    <n v="1891"/>
    <n v="3.0000000000000001E-3"/>
    <n v="0"/>
    <x v="0"/>
  </r>
  <r>
    <s v="RIY"/>
    <x v="6"/>
    <x v="6"/>
    <s v="RIY_AT~FBIG~Interests_AG"/>
    <x v="0"/>
    <s v="CT~DarkPost~AR~RIY~Video~9x16~45~_CV"/>
    <x v="1"/>
    <s v="Video"/>
    <s v="9x16"/>
    <n v="385.44"/>
    <n v="0"/>
    <n v="512892"/>
    <n v="605984"/>
    <n v="0"/>
    <n v="0.64"/>
    <n v="80282"/>
    <n v="761"/>
    <n v="0.13248204573058034"/>
    <n v="1.255808734224006E-3"/>
    <n v="1723"/>
    <n v="2.8E-3"/>
    <n v="0"/>
    <x v="0"/>
  </r>
  <r>
    <s v="RIY"/>
    <x v="7"/>
    <x v="6"/>
    <s v="RIY_AT~FBIG~CDPAuudience_AG"/>
    <x v="1"/>
    <s v="CT~DarkPost~AR~RIY~Video~9x16~30~_CV-ZEv9c-"/>
    <x v="1"/>
    <s v="Video"/>
    <s v="9x16"/>
    <n v="90.85"/>
    <n v="50"/>
    <n v="9481"/>
    <n v="13789"/>
    <n v="0.36260787584306331"/>
    <n v="6.59"/>
    <n v="2629"/>
    <n v="106"/>
    <n v="0.19065922111828268"/>
    <n v="7.6872869678729422E-3"/>
    <n v="151"/>
    <n v="1.0999999999999999E-2"/>
    <n v="1.8169999999999999"/>
    <x v="0"/>
  </r>
  <r>
    <s v="RIY"/>
    <x v="7"/>
    <x v="6"/>
    <s v="RIY_AT~FBIG~CDPAuudience_AG"/>
    <x v="1"/>
    <s v="CT~DarkPost~AR~RIY~Video~9x16~61~_CV-X7sKd-"/>
    <x v="1"/>
    <s v="Video"/>
    <s v="9x16"/>
    <n v="90.28"/>
    <n v="51"/>
    <n v="9441"/>
    <n v="13636"/>
    <n v="0.374009973599296"/>
    <n v="6.62"/>
    <n v="2166"/>
    <n v="48"/>
    <n v="0.15884423584628923"/>
    <n v="3.5200938691698444E-3"/>
    <n v="155"/>
    <n v="1.14E-2"/>
    <n v="1.7701960784313726"/>
    <x v="0"/>
  </r>
  <r>
    <s v="RIY"/>
    <x v="7"/>
    <x v="6"/>
    <s v="RIY_AT~FBIG~CDPAuudience_AG"/>
    <x v="1"/>
    <s v="CT~DarkPost~AR~RIY~Video~9x16~45~_CV-MpCqN-"/>
    <x v="1"/>
    <s v="Video"/>
    <s v="9x16"/>
    <n v="89.05"/>
    <n v="30"/>
    <n v="9503"/>
    <n v="13850"/>
    <n v="0.21660649819494585"/>
    <n v="6.43"/>
    <n v="2583"/>
    <n v="57"/>
    <n v="0.18649819494584838"/>
    <n v="4.1155234657039713E-3"/>
    <n v="112"/>
    <n v="8.1000000000000013E-3"/>
    <n v="2.9683333333333333"/>
    <x v="0"/>
  </r>
  <r>
    <s v="RIY"/>
    <x v="7"/>
    <x v="6"/>
    <s v="RIY_AT~FBIG~CDPAuudience_AG"/>
    <x v="1"/>
    <s v="CT~DarkPost~AR~RIY~Video~9x16~30~_CV"/>
    <x v="1"/>
    <s v="Video"/>
    <s v="9x16"/>
    <n v="12.82"/>
    <n v="0"/>
    <n v="4145"/>
    <n v="5100"/>
    <n v="0"/>
    <n v="2.5099999999999998"/>
    <n v="1098"/>
    <n v="39"/>
    <n v="0.21529411764705883"/>
    <n v="7.6470588235294122E-3"/>
    <n v="34"/>
    <n v="6.7000000000000002E-3"/>
    <n v="0"/>
    <x v="0"/>
  </r>
  <r>
    <s v="RIY"/>
    <x v="7"/>
    <x v="6"/>
    <s v="RIY_AT~FBIG~CDPAuudience_AG"/>
    <x v="1"/>
    <s v="CT~DarkPost~AR~RIY~Video~9x16~61~_CV"/>
    <x v="1"/>
    <s v="Video"/>
    <s v="9x16"/>
    <n v="12.5"/>
    <n v="0"/>
    <n v="4059"/>
    <n v="5075"/>
    <n v="0"/>
    <n v="2.46"/>
    <n v="855"/>
    <n v="18"/>
    <n v="0.16847290640394089"/>
    <n v="3.5467980295566504E-3"/>
    <n v="33"/>
    <n v="6.5000000000000006E-3"/>
    <n v="0"/>
    <x v="0"/>
  </r>
  <r>
    <s v="RIY"/>
    <x v="7"/>
    <x v="6"/>
    <s v="RIY_AT~FBIG~CDPAuudience_AG"/>
    <x v="1"/>
    <s v="CT~DarkPost~AR~RIY~Video~9x16~45~_CV"/>
    <x v="1"/>
    <s v="Video"/>
    <s v="9x16"/>
    <n v="11.28"/>
    <n v="0"/>
    <n v="3857"/>
    <n v="4814"/>
    <n v="0"/>
    <n v="2.34"/>
    <n v="1105"/>
    <n v="21"/>
    <n v="0.22953884503531366"/>
    <n v="4.3622766929788115E-3"/>
    <n v="25"/>
    <n v="5.1999999999999998E-3"/>
    <n v="0"/>
    <x v="0"/>
  </r>
</pivotCacheRecords>
</file>

<file path=xl/pivotCache/pivotCacheRecords2.xml><?xml version="1.0" encoding="utf-8"?>
<pivotCacheRecords xmlns="http://schemas.openxmlformats.org/spreadsheetml/2006/main" xmlns:r="http://schemas.openxmlformats.org/officeDocument/2006/relationships" count="53">
  <r>
    <s v="JED"/>
    <s v="Social_MK~JED_TG"/>
    <x v="0"/>
    <s v="Consideration"/>
    <s v="JED_AT~Snapchat~CDP_AG"/>
    <x v="0"/>
    <s v="CT~DarkPost~AR~JED~Video~9x16~45~_CV"/>
    <x v="0"/>
    <s v="Video"/>
    <s v="9x16"/>
    <n v="422.52"/>
    <n v="5.7000000000000002E-3"/>
    <n v="96300"/>
    <n v="2.0985999999999998"/>
    <n v="2.09"/>
    <n v="76291"/>
    <n v="1184"/>
    <n v="0.37750068037309187"/>
    <n v="202095"/>
    <n v="1160"/>
    <n v="0.57398748113510978"/>
    <s v="High"/>
    <n v="0.36424137931034484"/>
    <x v="0"/>
  </r>
  <r>
    <s v="JED"/>
    <s v="Social_MK~JED_TG"/>
    <x v="0"/>
    <s v="Consideration"/>
    <s v="JED_AT~Snapchat~CDP_AG"/>
    <x v="0"/>
    <s v="CT~DarkPost~AR~JED~Video~9x16~30~_CV"/>
    <x v="0"/>
    <s v="Video"/>
    <s v="9x16"/>
    <n v="110.89"/>
    <n v="6.3E-3"/>
    <n v="30158"/>
    <n v="1.7528999999999999"/>
    <n v="2.1"/>
    <n v="19730"/>
    <n v="509"/>
    <n v="0.37321479239572497"/>
    <n v="52865"/>
    <n v="332"/>
    <n v="0.62801475456351086"/>
    <s v="Low"/>
    <n v="0.33400602409638552"/>
    <x v="0"/>
  </r>
  <r>
    <s v="JED"/>
    <s v="Social_MK~JED_TG"/>
    <x v="0"/>
    <s v="Consideration"/>
    <s v="JED_AT~Snapchat~CDP_AG"/>
    <x v="0"/>
    <s v="CT~DarkPost~EN~JED~Video~9x16~30~_CV"/>
    <x v="1"/>
    <s v="Video"/>
    <s v="9x16"/>
    <n v="74.56"/>
    <n v="4.7999999999999996E-3"/>
    <n v="18293"/>
    <n v="1.8125"/>
    <n v="2.25"/>
    <n v="11929"/>
    <n v="357"/>
    <n v="0.3597840511521293"/>
    <n v="33156"/>
    <n v="160"/>
    <n v="0.48256725781155752"/>
    <s v="Low"/>
    <n v="0.46600000000000003"/>
    <x v="0"/>
  </r>
  <r>
    <s v="JED"/>
    <s v="Social_MK~JED_TG"/>
    <x v="0"/>
    <s v="Awareness"/>
    <s v="JED_AT~Snapchat~Retargeting-CDPAllusers_AG"/>
    <x v="0"/>
    <s v="CT~DarkPost~AR~JED~Video~9x16~30~_CV"/>
    <x v="0"/>
    <s v="Video"/>
    <s v="9x16"/>
    <n v="133.5"/>
    <n v="3.8999999999999998E-3"/>
    <n v="108611"/>
    <n v="1.0966"/>
    <n v="1.1200000000000001"/>
    <n v="6068"/>
    <n v="201"/>
    <n v="5.0949210320825535E-2"/>
    <n v="119099"/>
    <n v="460"/>
    <n v="0.38623330170698328"/>
    <s v="Low"/>
    <n v="0.29021739130434782"/>
    <x v="0"/>
  </r>
  <r>
    <s v="JED"/>
    <s v="Social_MK~JED_TG"/>
    <x v="0"/>
    <s v="Awareness"/>
    <s v="JED_AT~Snapchat~Retargeting-CDPAllusers_AG"/>
    <x v="0"/>
    <s v="CT~DarkPost~EN~JED~Video~9x16~45~_CV"/>
    <x v="1"/>
    <s v="Video"/>
    <s v="9x16"/>
    <n v="149.68"/>
    <n v="4.0000000000000001E-3"/>
    <n v="119886"/>
    <n v="1.1137999999999999"/>
    <n v="1.1200000000000001"/>
    <n v="5792"/>
    <n v="114"/>
    <n v="4.3375045868811454E-2"/>
    <n v="133533"/>
    <n v="532"/>
    <n v="0.39840339092209415"/>
    <s v="Low"/>
    <n v="0.28135338345864663"/>
    <x v="0"/>
  </r>
  <r>
    <s v="JED"/>
    <s v="Social_MK~JED_TG"/>
    <x v="0"/>
    <s v="Consideration"/>
    <s v="JED_AT~Snapchat~Interests_AG"/>
    <x v="1"/>
    <s v="CT~DarkPost~EN~JED~Video~9x16~30~_CV"/>
    <x v="1"/>
    <s v="Video"/>
    <s v="9x16"/>
    <n v="167.73"/>
    <n v="5.8999999999999999E-3"/>
    <n v="60513"/>
    <n v="1.3660000000000001"/>
    <n v="2.0299999999999998"/>
    <n v="20179"/>
    <n v="469"/>
    <n v="0.24412344693257843"/>
    <n v="82659"/>
    <n v="491"/>
    <n v="0.59400670223448149"/>
    <s v="Low"/>
    <n v="0.3416089613034623"/>
    <x v="0"/>
  </r>
  <r>
    <s v="JED"/>
    <s v="Social_MK~JED_TG"/>
    <x v="0"/>
    <s v="Awareness"/>
    <s v="JED_AT~Snapchat~Interests_AG"/>
    <x v="1"/>
    <s v="CT~DarkPost~AR~JED~Video~9x16~45~_CV"/>
    <x v="0"/>
    <s v="Video"/>
    <s v="9x16"/>
    <n v="772.94"/>
    <n v="2.7000000000000001E-3"/>
    <n v="717605"/>
    <n v="1.0889"/>
    <n v="0.99"/>
    <n v="28146"/>
    <n v="554"/>
    <n v="3.6020240749225101E-2"/>
    <n v="781394"/>
    <n v="2083"/>
    <n v="0.26657486492089777"/>
    <s v="High"/>
    <n v="0.37107057129140664"/>
    <x v="0"/>
  </r>
  <r>
    <s v="JED"/>
    <s v="Social_MK~JED_TG"/>
    <x v="0"/>
    <s v="Awareness"/>
    <s v="JED_AT~Snapchat~Interests_AG"/>
    <x v="1"/>
    <s v="CT~DarkPost~AR~JED~Video~9x16~30~_CV"/>
    <x v="0"/>
    <s v="Video"/>
    <s v="9x16"/>
    <n v="788.49"/>
    <n v="2.8999999999999998E-3"/>
    <n v="758066"/>
    <n v="1.0488"/>
    <n v="0.99"/>
    <n v="28784"/>
    <n v="1002"/>
    <n v="3.620287394270981E-2"/>
    <n v="795075"/>
    <n v="2269"/>
    <n v="0.28538188221236993"/>
    <s v="High"/>
    <n v="0.34750550903481708"/>
    <x v="0"/>
  </r>
  <r>
    <s v="JED"/>
    <s v="Social_MK~JED_TG"/>
    <x v="0"/>
    <s v="Consideration"/>
    <s v="JED_AT~Snapchat~Interests_AG"/>
    <x v="1"/>
    <s v="CT~DarkPost~AR~JED~Video~9x16~45~_CV"/>
    <x v="0"/>
    <s v="Video"/>
    <s v="9x16"/>
    <n v="369.19"/>
    <n v="4.3E-3"/>
    <n v="117891"/>
    <n v="1.6573"/>
    <n v="1.89"/>
    <n v="53681"/>
    <n v="953"/>
    <n v="0.27475317203998384"/>
    <n v="195379"/>
    <n v="846"/>
    <n v="0.43300457060380076"/>
    <s v="Low"/>
    <n v="0.43639479905437351"/>
    <x v="0"/>
  </r>
  <r>
    <s v="JED"/>
    <s v="Social_MK~JED_TG"/>
    <x v="0"/>
    <s v="Awareness"/>
    <s v="JED_AT~Snapchat~Retargeting-CDPAllusers_AG"/>
    <x v="0"/>
    <s v="CT~DarkPost~EN~JED~Video~9x16~30~_CV"/>
    <x v="1"/>
    <s v="Video"/>
    <s v="9x16"/>
    <n v="132.74"/>
    <n v="3.7000000000000002E-3"/>
    <n v="106901"/>
    <n v="1.1111"/>
    <n v="1.1200000000000001"/>
    <n v="4876"/>
    <n v="152"/>
    <n v="4.1052410018943379E-2"/>
    <n v="118775"/>
    <n v="437"/>
    <n v="0.36792254262260576"/>
    <s v="Low"/>
    <n v="0.30375286041189936"/>
    <x v="0"/>
  </r>
  <r>
    <s v="JED"/>
    <s v="Social_MK~JED_TG"/>
    <x v="0"/>
    <s v="Awareness"/>
    <s v="JED_AT~Snapchat~Interests_AG"/>
    <x v="1"/>
    <s v="CT~DarkPost~EN~JED~Video~9x16~30~_CV"/>
    <x v="1"/>
    <s v="Video"/>
    <s v="9x16"/>
    <n v="709.33"/>
    <n v="2.8E-3"/>
    <n v="663383"/>
    <n v="1.0871"/>
    <n v="0.98"/>
    <n v="22306"/>
    <n v="791"/>
    <n v="3.0930122272849549E-2"/>
    <n v="721174"/>
    <n v="2005"/>
    <n v="0.27801889696522614"/>
    <s v="High"/>
    <n v="0.35378054862842895"/>
    <x v="0"/>
  </r>
  <r>
    <s v="JED"/>
    <s v="Social_MK~JED_TG"/>
    <x v="0"/>
    <s v="Consideration"/>
    <s v="JED_AT~Snapchat~CDP_AG"/>
    <x v="0"/>
    <s v="CT~DarkPost~EN~JED~Video~9x16~45~_CV"/>
    <x v="1"/>
    <s v="Video"/>
    <s v="9x16"/>
    <n v="52.9"/>
    <n v="5.7999999999999996E-3"/>
    <n v="12747"/>
    <n v="1.7178"/>
    <n v="2.42"/>
    <n v="9049"/>
    <n v="104"/>
    <n v="0.41325295702607662"/>
    <n v="21897"/>
    <n v="126"/>
    <n v="0.57542129058775182"/>
    <s v="Low"/>
    <n v="0.41984126984126985"/>
    <x v="0"/>
  </r>
  <r>
    <s v="JED"/>
    <s v="Social_MK~JED_TG"/>
    <x v="0"/>
    <s v="Awareness"/>
    <s v="JED_AT~Snapchat~Retargeting-CDPAllusers_AG"/>
    <x v="0"/>
    <s v="CT~DarkPost~AR~JED~Video~9x16~45~_CV"/>
    <x v="0"/>
    <s v="Video"/>
    <s v="9x16"/>
    <n v="133.44"/>
    <n v="3.8E-3"/>
    <n v="104998"/>
    <n v="1.1364000000000001"/>
    <n v="1.1200000000000001"/>
    <n v="5920"/>
    <n v="123"/>
    <n v="4.961406625824457E-2"/>
    <n v="119321"/>
    <n v="453"/>
    <n v="0.37964817592879713"/>
    <s v="Low"/>
    <n v="0.29456953642384104"/>
    <x v="0"/>
  </r>
  <r>
    <s v="JED"/>
    <s v="Social_MK~JED_TG"/>
    <x v="0"/>
    <s v="Consideration"/>
    <s v="JED_AT~Snapchat~Interests_AG"/>
    <x v="1"/>
    <s v="CT~DarkPost~AR~JED~Video~9x16~30~_CV"/>
    <x v="0"/>
    <s v="Video"/>
    <s v="9x16"/>
    <n v="1365.04"/>
    <n v="3.5000000000000001E-3"/>
    <n v="413254"/>
    <n v="1.9308000000000001"/>
    <n v="1.71"/>
    <n v="228554"/>
    <n v="7133"/>
    <n v="0.28644585259231781"/>
    <n v="797896"/>
    <n v="2829"/>
    <n v="0.35455748618867622"/>
    <s v="High"/>
    <n v="0.48251679038529516"/>
    <x v="0"/>
  </r>
  <r>
    <s v="JED"/>
    <s v="Social_MK~JED_TG"/>
    <x v="0"/>
    <s v="Awareness"/>
    <s v="JED_AT~Snapchat~Interests_AG"/>
    <x v="1"/>
    <s v="CT~DarkPost~EN~JED~Video~9x16~45~_CV"/>
    <x v="1"/>
    <s v="Video"/>
    <s v="9x16"/>
    <n v="788.9"/>
    <n v="2.8E-3"/>
    <n v="731982"/>
    <n v="1.0883"/>
    <n v="0.99"/>
    <n v="25013"/>
    <n v="495"/>
    <n v="3.1398831566288657E-2"/>
    <n v="796622"/>
    <n v="2207"/>
    <n v="0.2770448217598811"/>
    <s v="High"/>
    <n v="0.35745355686452196"/>
    <x v="0"/>
  </r>
  <r>
    <s v="JED"/>
    <s v="Social_MK~JED_TG"/>
    <x v="0"/>
    <s v="Consideration"/>
    <s v="JED_AT~Snapchat~Interests_AG"/>
    <x v="1"/>
    <s v="CT~DarkPost~EN~JED~Video~9x16~45~_CV"/>
    <x v="1"/>
    <s v="Video"/>
    <s v="9x16"/>
    <n v="181.9"/>
    <n v="4.1000000000000003E-3"/>
    <n v="59957"/>
    <n v="1.7837000000000001"/>
    <n v="1.7"/>
    <n v="30826"/>
    <n v="592"/>
    <n v="0.28823892431694498"/>
    <n v="106946"/>
    <n v="436"/>
    <n v="0.40768238176275873"/>
    <s v="Low"/>
    <n v="0.41720183486238532"/>
    <x v="0"/>
  </r>
  <r>
    <s v="KWT"/>
    <s v="Social_MK~KW_TG"/>
    <x v="1"/>
    <s v="Awareness"/>
    <s v="KW_AT~Snapchat~Interests_AG"/>
    <x v="1"/>
    <s v="CT~DarkPost~AR~KW~Video~9x16~45_CV"/>
    <x v="0"/>
    <s v="Video"/>
    <s v="9x16"/>
    <n v="574.09"/>
    <n v="4.4999999999999997E-3"/>
    <n v="340284"/>
    <n v="1.1143000000000001"/>
    <n v="1.51"/>
    <n v="17485"/>
    <n v="391"/>
    <n v="4.6114731658943517E-2"/>
    <n v="379163"/>
    <n v="1692"/>
    <n v="0.4462460735884039"/>
    <s v="High"/>
    <n v="0.33929669030732862"/>
    <x v="0"/>
  </r>
  <r>
    <s v="KWT"/>
    <s v="Social_MK~KW_TG"/>
    <x v="1"/>
    <s v="Consideration"/>
    <s v="KW_AT~Snapchat~Interests_AG"/>
    <x v="1"/>
    <s v="CT~DarkPost~AR~KW~Video~9x16~45_CV"/>
    <x v="0"/>
    <s v="Video"/>
    <s v="9x16"/>
    <n v="780.32"/>
    <n v="3.5999999999999999E-3"/>
    <n v="139795"/>
    <n v="2.9058000000000002"/>
    <n v="1.92"/>
    <n v="89822"/>
    <n v="3592"/>
    <n v="0.221122079712464"/>
    <n v="406210"/>
    <n v="1462"/>
    <n v="0.35991236060165926"/>
    <s v="High"/>
    <n v="0.53373461012311907"/>
    <x v="0"/>
  </r>
  <r>
    <s v="KWT"/>
    <s v="Social_MK~KW_TG"/>
    <x v="1"/>
    <s v="Awareness"/>
    <s v="KW_AT~Snapchat~Interests_AG"/>
    <x v="1"/>
    <s v="CT~DarkPost~EN~KW~Video~9x16~30_CV"/>
    <x v="1"/>
    <s v="Video"/>
    <s v="9x16"/>
    <n v="629.26"/>
    <n v="4.4999999999999997E-3"/>
    <n v="363534"/>
    <n v="1.1234"/>
    <n v="1.54"/>
    <n v="17642"/>
    <n v="660"/>
    <n v="4.3197951023386444E-2"/>
    <n v="408399"/>
    <n v="1820"/>
    <n v="0.44564261910533576"/>
    <s v="High"/>
    <n v="0.34574725274725276"/>
    <x v="0"/>
  </r>
  <r>
    <s v="KWT"/>
    <s v="Social_MK~KW_TG"/>
    <x v="1"/>
    <s v="Consideration"/>
    <s v="KW_AT~Snapchat~Interests_AG"/>
    <x v="1"/>
    <s v="CT~DarkPost~AR~KW~Video~9x16~30_CV"/>
    <x v="0"/>
    <s v="Video"/>
    <s v="9x16"/>
    <n v="144.6"/>
    <n v="3.3E-3"/>
    <n v="36242"/>
    <n v="1.8541000000000001"/>
    <n v="2.15"/>
    <n v="17386"/>
    <n v="976"/>
    <n v="0.25872793833149799"/>
    <n v="67198"/>
    <n v="219"/>
    <n v="0.32590255662370904"/>
    <s v="Low"/>
    <n v="0.66027397260273968"/>
    <x v="0"/>
  </r>
  <r>
    <s v="KWT"/>
    <s v="Social_MK~KW_TG"/>
    <x v="1"/>
    <s v="Awareness"/>
    <s v="KW_AT~Snapchat~Interests_AG"/>
    <x v="1"/>
    <s v="CT~DarkPost~EN~KW~Video~9x16~45_CV"/>
    <x v="1"/>
    <s v="Video"/>
    <s v="9x16"/>
    <n v="477.23"/>
    <n v="4.3E-3"/>
    <n v="288595"/>
    <n v="1.0956999999999999"/>
    <n v="1.51"/>
    <n v="12955"/>
    <n v="237"/>
    <n v="4.0968313199671112E-2"/>
    <n v="316220"/>
    <n v="1360"/>
    <n v="0.43008032382518502"/>
    <s v="High"/>
    <n v="0.35090441176470588"/>
    <x v="0"/>
  </r>
  <r>
    <s v="KWT"/>
    <s v="Social_MK~KW_TG"/>
    <x v="1"/>
    <s v="Awareness"/>
    <s v="KW_AT~Snapchat~Interests_AG"/>
    <x v="1"/>
    <s v="CT~DarkPost~AR~KW~Video~9x16~30_CV"/>
    <x v="0"/>
    <s v="Video"/>
    <s v="9x16"/>
    <n v="583.54"/>
    <n v="4.7000000000000002E-3"/>
    <n v="335734"/>
    <n v="1.1295999999999999"/>
    <n v="1.54"/>
    <n v="17892"/>
    <n v="707"/>
    <n v="4.717595534473621E-2"/>
    <n v="379261"/>
    <n v="1767"/>
    <n v="0.4659060646889609"/>
    <s v="High"/>
    <n v="0.33024335031126201"/>
    <x v="0"/>
  </r>
  <r>
    <s v="KWT"/>
    <s v="Social_MK~KW_TG"/>
    <x v="1"/>
    <s v="Awareness"/>
    <s v="KW_AT~Snapchat~Interests_AG"/>
    <x v="1"/>
    <s v="CT~DarkPost~AR~KW_Video~9x16~30~_CV"/>
    <x v="0"/>
    <s v="Video"/>
    <s v="9x16"/>
    <n v="3.22"/>
    <n v="0"/>
    <n v="6681"/>
    <n v="1.0091000000000001"/>
    <n v="0.48"/>
    <n v="109"/>
    <n v="9"/>
    <n v="1.6167309403737763E-2"/>
    <n v="6742"/>
    <n v="0"/>
    <n v="0"/>
    <s v="Low"/>
    <n v="0"/>
    <x v="0"/>
  </r>
  <r>
    <s v="KWT"/>
    <s v="Social_MK~KW_TG"/>
    <x v="1"/>
    <s v="Consideration"/>
    <s v="KW_AT~Snapchat~Interests_AG"/>
    <x v="1"/>
    <s v="CT~DarkPost~EN~KW~Video~9x16~30_CV"/>
    <x v="1"/>
    <s v="Video"/>
    <s v="9x16"/>
    <n v="252.25"/>
    <n v="3.5999999999999999E-3"/>
    <n v="54536"/>
    <n v="2.2343999999999999"/>
    <n v="2.0699999999999998"/>
    <n v="30086"/>
    <n v="1616"/>
    <n v="0.24690203029855401"/>
    <n v="121854"/>
    <n v="443"/>
    <n v="0.36354982191803303"/>
    <s v="Low"/>
    <n v="0.56941309255079009"/>
    <x v="0"/>
  </r>
  <r>
    <s v="KWT"/>
    <s v="Social_MK~KW_TG"/>
    <x v="1"/>
    <s v="Consideration"/>
    <s v="KW_AT~Snapchat~Interests_AG"/>
    <x v="1"/>
    <s v="CT~DarkPost~EN~KW~Video~9x16~45_CV"/>
    <x v="1"/>
    <s v="Video"/>
    <s v="9x16"/>
    <n v="295.93"/>
    <n v="3.3E-3"/>
    <n v="72115"/>
    <n v="2.1017000000000001"/>
    <n v="1.95"/>
    <n v="35408"/>
    <n v="1302"/>
    <n v="0.23361439900769301"/>
    <n v="151566"/>
    <n v="507"/>
    <n v="0.33450773920272353"/>
    <s v="Low"/>
    <n v="0.58368836291913218"/>
    <x v="0"/>
  </r>
  <r>
    <s v="QAT"/>
    <s v="Social_MK~QT_TG"/>
    <x v="2"/>
    <s v="Awareness"/>
    <s v="QAT_AT~Snap~Interests_AG"/>
    <x v="1"/>
    <s v="CT~DarkPost~AR~QT~Video~9x16~30sec~_CV"/>
    <x v="0"/>
    <s v="Video"/>
    <s v="9x16"/>
    <n v="197.51"/>
    <n v="3.3E-3"/>
    <n v="95027"/>
    <n v="1.1420999999999999"/>
    <n v="1.82"/>
    <n v="5438"/>
    <n v="254"/>
    <n v="5.0104114839589438E-2"/>
    <n v="108534"/>
    <n v="363"/>
    <n v="0.33445740505279448"/>
    <s v="Low"/>
    <n v="0.54410468319559224"/>
    <x v="0"/>
  </r>
  <r>
    <s v="QAT"/>
    <s v="Social_MK~QT_TG"/>
    <x v="2"/>
    <s v="Awareness"/>
    <s v="QAT_AT~Snap~Interests_AG"/>
    <x v="1"/>
    <s v="CT~DarkPost~EN~QT~Video~9x16~30~_CV"/>
    <x v="1"/>
    <s v="Video"/>
    <s v="9x16"/>
    <n v="206.13"/>
    <n v="3.5999999999999999E-3"/>
    <n v="94142"/>
    <n v="1.1315999999999999"/>
    <n v="1.93"/>
    <n v="4955"/>
    <n v="253"/>
    <n v="4.6512719421759129E-2"/>
    <n v="106530"/>
    <n v="385"/>
    <n v="0.36140054444757347"/>
    <s v="Low"/>
    <n v="0.53540259740259744"/>
    <x v="0"/>
  </r>
  <r>
    <s v="QAT"/>
    <s v="Social_MK~QT_TG"/>
    <x v="2"/>
    <s v="Consideration"/>
    <s v="QAT_AT~Snap~Interests_AG"/>
    <x v="1"/>
    <s v="CT~DarkPost~EN~QT~Video~9x16~45sec~_CV"/>
    <x v="1"/>
    <s v="Video"/>
    <s v="9x16"/>
    <n v="67.92"/>
    <n v="2.8E-3"/>
    <n v="13776"/>
    <n v="2.1637"/>
    <n v="2.2799999999999998"/>
    <n v="7794"/>
    <n v="334"/>
    <n v="0.26148220216727613"/>
    <n v="29807"/>
    <n v="84"/>
    <n v="0.28181299694702588"/>
    <s v="Low"/>
    <n v="0.80857142857142861"/>
    <x v="0"/>
  </r>
  <r>
    <s v="QAT"/>
    <s v="Social_MK~QT_TG"/>
    <x v="2"/>
    <s v="Consideration"/>
    <s v="QAT_AT~Snap~Interests_AG"/>
    <x v="1"/>
    <s v="CT~DarkPost~EN~QT~Video~9x16~30~_CV"/>
    <x v="1"/>
    <s v="Video"/>
    <s v="9x16"/>
    <n v="51.99"/>
    <n v="2.8999999999999998E-3"/>
    <n v="12187"/>
    <n v="1.8379000000000001"/>
    <n v="2.3199999999999998"/>
    <n v="5802"/>
    <n v="357"/>
    <n v="0.25902942095629267"/>
    <n v="22399"/>
    <n v="64"/>
    <n v="0.28572704138577615"/>
    <s v="Low"/>
    <n v="0.81234375000000003"/>
    <x v="0"/>
  </r>
  <r>
    <s v="QAT"/>
    <s v="Social_MK~QT_TG"/>
    <x v="2"/>
    <s v="Consideration"/>
    <s v="QAT_AT~Snap~Interests_AG"/>
    <x v="1"/>
    <s v="CT~DarkPost~AR~QT~Video~9x16~45sec~_CV"/>
    <x v="0"/>
    <s v="Video"/>
    <s v="9x16"/>
    <n v="140.97999999999999"/>
    <n v="2.7000000000000001E-3"/>
    <n v="24831"/>
    <n v="2.6017000000000001"/>
    <n v="2.1800000000000002"/>
    <n v="15882"/>
    <n v="666"/>
    <n v="0.24584378192625617"/>
    <n v="64602"/>
    <n v="174"/>
    <n v="0.26934150645490851"/>
    <s v="Low"/>
    <n v="0.81022988505747118"/>
    <x v="0"/>
  </r>
  <r>
    <s v="QAT"/>
    <s v="Social_MK~QT_TG"/>
    <x v="2"/>
    <s v="Awareness"/>
    <s v="QAT_AT~Snap~Interests_AG"/>
    <x v="1"/>
    <s v="CT~DarkPost~AR~QT~Video~9x16~45sec~_CV"/>
    <x v="0"/>
    <s v="Video"/>
    <s v="9x16"/>
    <n v="229.49"/>
    <n v="3.5999999999999999E-3"/>
    <n v="106581"/>
    <n v="1.1675"/>
    <n v="1.84"/>
    <n v="6075"/>
    <n v="182"/>
    <n v="4.8819492438001252E-2"/>
    <n v="124438"/>
    <n v="454"/>
    <n v="0.36484032208810813"/>
    <s v="Low"/>
    <n v="0.5054845814977974"/>
    <x v="0"/>
  </r>
  <r>
    <s v="QAT"/>
    <s v="Social_MK~QT_TG"/>
    <x v="2"/>
    <s v="Awareness"/>
    <s v="QAT_AT~Snap~Interests_AG"/>
    <x v="1"/>
    <s v="CT~DarkPost~EN~QT~Video~9x16~45sec~_CV"/>
    <x v="1"/>
    <s v="Video"/>
    <s v="9x16"/>
    <n v="216.23"/>
    <n v="3.3999999999999998E-3"/>
    <n v="105669"/>
    <n v="1.1713"/>
    <n v="1.75"/>
    <n v="5259"/>
    <n v="142"/>
    <n v="4.2488386184609171E-2"/>
    <n v="123775"/>
    <n v="420"/>
    <n v="0.33932538881034136"/>
    <s v="Low"/>
    <n v="0.51483333333333325"/>
    <x v="0"/>
  </r>
  <r>
    <s v="QAT"/>
    <s v="Social_MK~QT_TG"/>
    <x v="2"/>
    <s v="Consideration"/>
    <s v="QAT_AT~Snap~Interests_AG"/>
    <x v="1"/>
    <s v="CT~DarkPost~AR~QT~Video~9x16~30sec~_CV"/>
    <x v="0"/>
    <s v="Video"/>
    <s v="9x16"/>
    <n v="352.46"/>
    <n v="2.2000000000000001E-3"/>
    <n v="49783"/>
    <n v="3.4630000000000001"/>
    <n v="2.04"/>
    <n v="39317"/>
    <n v="2648"/>
    <n v="0.22805684454756381"/>
    <n v="172400"/>
    <n v="384"/>
    <n v="0.22273781902552203"/>
    <s v="Low"/>
    <n v="0.91786458333333332"/>
    <x v="0"/>
  </r>
  <r>
    <s v="RIY"/>
    <s v="Social_MK~RIY_TG"/>
    <x v="3"/>
    <s v="Awareness"/>
    <s v="RIY_AT~Snapchat~Retargeting"/>
    <x v="0"/>
    <s v="CT~DarkPost~AR~RIY~Video~9x16~30~_CV"/>
    <x v="0"/>
    <s v="Video"/>
    <s v="9x16"/>
    <n v="254.03"/>
    <n v="3.0999999999999999E-3"/>
    <n v="212576"/>
    <n v="1.0691999999999999"/>
    <n v="1.1200000000000001"/>
    <n v="8387"/>
    <n v="333"/>
    <n v="3.6900157948690872E-2"/>
    <n v="227289"/>
    <n v="703"/>
    <n v="0.30929785427363399"/>
    <s v="Low"/>
    <n v="0.36135135135135138"/>
    <x v="0"/>
  </r>
  <r>
    <s v="RIY"/>
    <s v="Social_MK~RIY_TG"/>
    <x v="3"/>
    <s v="Consideration"/>
    <s v="RIY_AT~Snapchat~Retargeting"/>
    <x v="0"/>
    <s v="CT~DarkPost~AR~RIY~Video~9x16~30~_CV"/>
    <x v="0"/>
    <s v="Video"/>
    <s v="9x16"/>
    <n v="184.27"/>
    <n v="2.5999999999999999E-3"/>
    <n v="46969"/>
    <n v="2.0697000000000001"/>
    <n v="1.9"/>
    <n v="29205"/>
    <n v="1241"/>
    <n v="0.30042587334896925"/>
    <n v="97212"/>
    <n v="256"/>
    <n v="0.26334197424186312"/>
    <s v="Low"/>
    <n v="0.71980468750000004"/>
    <x v="0"/>
  </r>
  <r>
    <s v="RIY"/>
    <s v="Social_MK~RIY_TG"/>
    <x v="3"/>
    <s v="Awareness"/>
    <s v="RIY_AT~Snapchat~Interests_AG"/>
    <x v="1"/>
    <s v="CT~DarkPost~AR~RIY~Video~9x16~30~_CV"/>
    <x v="0"/>
    <s v="Video"/>
    <s v="9x16"/>
    <n v="2892.86"/>
    <n v="2.8E-3"/>
    <n v="2161313"/>
    <n v="1.2064999999999999"/>
    <n v="1.1100000000000001"/>
    <n v="96804"/>
    <n v="3470"/>
    <n v="3.7123336421703679E-2"/>
    <n v="2607632"/>
    <n v="7275"/>
    <n v="0.27898875301422899"/>
    <s v="High"/>
    <n v="0.39764398625429553"/>
    <x v="0"/>
  </r>
  <r>
    <s v="RIY"/>
    <s v="Social_MK~RIY_TG"/>
    <x v="3"/>
    <s v="Consideration"/>
    <s v="RIY_AT~Snapchat~Retargeting"/>
    <x v="0"/>
    <s v="CT~DarkPost~AR~RIY~Video~9x16~45~_CV"/>
    <x v="0"/>
    <s v="Video"/>
    <s v="9x16"/>
    <n v="72.2"/>
    <n v="6.0000000000000001E-3"/>
    <n v="16469"/>
    <n v="1.9164000000000001"/>
    <n v="2.29"/>
    <n v="11761"/>
    <n v="189"/>
    <n v="0.37264345236209245"/>
    <n v="31561"/>
    <n v="188"/>
    <n v="0.5956718735147809"/>
    <s v="Low"/>
    <n v="0.38404255319148939"/>
    <x v="0"/>
  </r>
  <r>
    <s v="RIY"/>
    <s v="Social_MK~RIY_TG"/>
    <x v="3"/>
    <s v="Awareness"/>
    <s v="RIY_AT~Snapchat~Retargeting"/>
    <x v="0"/>
    <s v="CT~DarkPost~AR~RIY~Video~9x16~45~_CV"/>
    <x v="0"/>
    <s v="Video"/>
    <s v="9x16"/>
    <n v="288.45"/>
    <n v="3.3999999999999998E-3"/>
    <n v="225115"/>
    <n v="1.139"/>
    <n v="1.1200000000000001"/>
    <n v="10872"/>
    <n v="211"/>
    <n v="4.2399684888287437E-2"/>
    <n v="256417"/>
    <n v="873"/>
    <n v="0.3404610458744935"/>
    <s v="Low"/>
    <n v="0.33041237113402061"/>
    <x v="0"/>
  </r>
  <r>
    <s v="RIY"/>
    <s v="Social_MK~RIY_TG"/>
    <x v="3"/>
    <s v="Consideration"/>
    <s v="RIY_AT~Snapchat~Retargeting"/>
    <x v="0"/>
    <s v="CT~DarkPost~AR~RIY~Video~9x16~30~_CV"/>
    <x v="0"/>
    <s v="Video"/>
    <s v="9x16"/>
    <n v="205.76"/>
    <n v="5.7000000000000002E-3"/>
    <n v="36816"/>
    <n v="2.4243999999999999"/>
    <n v="2.31"/>
    <n v="32894"/>
    <n v="1058"/>
    <n v="0.36853957761469947"/>
    <n v="89255"/>
    <n v="505"/>
    <n v="0.5657946333538737"/>
    <s v="Low"/>
    <n v="0.40744554455445542"/>
    <x v="0"/>
  </r>
  <r>
    <s v="RIY"/>
    <s v="Social_MK~RIY_TG"/>
    <x v="3"/>
    <s v="Consideration"/>
    <s v="RIY_AT~Snapchat~Retargeting"/>
    <x v="0"/>
    <s v="CT~DarkPost~AR~RIY~Video~9x16~45~_CV"/>
    <x v="0"/>
    <s v="Video"/>
    <s v="9x16"/>
    <n v="93.69"/>
    <n v="4.5999999999999999E-3"/>
    <n v="27076"/>
    <n v="1.7363"/>
    <n v="1.99"/>
    <n v="13381"/>
    <n v="338"/>
    <n v="0.28462945630902747"/>
    <n v="47012"/>
    <n v="217"/>
    <n v="0.46158427635497323"/>
    <s v="Low"/>
    <n v="0.43175115207373271"/>
    <x v="0"/>
  </r>
  <r>
    <s v="RIY"/>
    <s v="Social_MK~RIY_TG"/>
    <x v="3"/>
    <s v="Awareness"/>
    <s v="RIY_AT~Snapchat~Interests_AG"/>
    <x v="1"/>
    <s v="CT~DarkPost~AR~RIY~Video~9x16~45~_CV"/>
    <x v="0"/>
    <s v="Video"/>
    <s v="9x16"/>
    <n v="2910.22"/>
    <n v="2.8E-3"/>
    <n v="2119755"/>
    <n v="1.2354000000000001"/>
    <n v="1.1100000000000001"/>
    <n v="97157"/>
    <n v="1902"/>
    <n v="3.7101035088215058E-2"/>
    <n v="2618714"/>
    <n v="7449"/>
    <n v="0.28445259772544845"/>
    <s v="High"/>
    <n v="0.39068599812055305"/>
    <x v="0"/>
  </r>
  <r>
    <s v="RIY"/>
    <s v="Social_MK~RIY_TG"/>
    <x v="3"/>
    <s v="Awareness"/>
    <s v="RIY_AT~Snapchat~Retargeting"/>
    <x v="0"/>
    <s v="CT~DarkPost~AR~RIY~Video~9x16~45~_CV"/>
    <x v="0"/>
    <s v="Video"/>
    <s v="9x16"/>
    <n v="279.56"/>
    <n v="3.0000000000000001E-3"/>
    <n v="222573"/>
    <n v="1.1198999999999999"/>
    <n v="1.1200000000000001"/>
    <n v="9169"/>
    <n v="233"/>
    <n v="3.6785621151030068E-2"/>
    <n v="249255"/>
    <n v="745"/>
    <n v="0.2988906942689214"/>
    <s v="Low"/>
    <n v="0.37524832214765103"/>
    <x v="0"/>
  </r>
  <r>
    <s v="RIY"/>
    <s v="Social_MK~RIY_TG"/>
    <x v="3"/>
    <s v="Consideration"/>
    <s v="RIY_AT~Snapchat~Interests_AG"/>
    <x v="1"/>
    <s v="CT~DarkPost~AR~RIY~Video~9x16~45~_CV"/>
    <x v="0"/>
    <s v="Video"/>
    <s v="9x16"/>
    <n v="850.44"/>
    <n v="4.0000000000000001E-3"/>
    <n v="161331"/>
    <n v="2.5714999999999999"/>
    <n v="2.0499999999999998"/>
    <n v="134928"/>
    <n v="3003"/>
    <n v="0.3252397814186575"/>
    <n v="414857"/>
    <n v="1666"/>
    <n v="0.40158416032512406"/>
    <s v="High"/>
    <n v="0.51046818727490995"/>
    <x v="0"/>
  </r>
  <r>
    <s v="RIY"/>
    <s v="Social_MK~RIY_TG"/>
    <x v="3"/>
    <s v="Consideration"/>
    <s v="RIY_AT~Snapchat~Interests_AG"/>
    <x v="1"/>
    <s v="CT~DarkPost~AR~RIY~Video~9x16~30~_CV"/>
    <x v="0"/>
    <s v="Video"/>
    <s v="9x16"/>
    <n v="2657.12"/>
    <n v="3.3999999999999998E-3"/>
    <n v="572900"/>
    <n v="2.3797999999999999"/>
    <n v="1.95"/>
    <n v="402299"/>
    <n v="13870"/>
    <n v="0.29507647215873584"/>
    <n v="1363372"/>
    <n v="4656"/>
    <n v="0.34150620666993309"/>
    <s v="High"/>
    <n v="0.57068728522336765"/>
    <x v="0"/>
  </r>
  <r>
    <s v="RIY"/>
    <s v="Social_MK~RIY_TG"/>
    <x v="3"/>
    <s v="Awareness"/>
    <s v="RIY_AT~Snapchat~Retargeting"/>
    <x v="0"/>
    <s v="CT~DarkPost~AR~RIY~Video~9x16~30~_CV"/>
    <x v="0"/>
    <s v="Video"/>
    <s v="9x16"/>
    <n v="265.06"/>
    <n v="3.5000000000000001E-3"/>
    <n v="209081"/>
    <n v="1.1295999999999999"/>
    <n v="1.1200000000000001"/>
    <n v="10162"/>
    <n v="403"/>
    <n v="4.3028144861138748E-2"/>
    <n v="236171"/>
    <n v="818"/>
    <n v="0.34635920582967428"/>
    <s v="Low"/>
    <n v="0.32403422982885088"/>
    <x v="0"/>
  </r>
  <r>
    <s v="UAE"/>
    <s v="Snapchat_MK~UAE_TG"/>
    <x v="4"/>
    <s v="Awareness"/>
    <s v="AE_AT~Snapchat~Interests_AG"/>
    <x v="1"/>
    <s v="CT~DarkPost~EN~AE~Video~9x16~45~_CV"/>
    <x v="1"/>
    <s v="Video"/>
    <s v="9x16"/>
    <n v="76.81"/>
    <n v="2.2000000000000001E-3"/>
    <n v="79988"/>
    <n v="1.0123"/>
    <n v="0.95"/>
    <n v="1779"/>
    <n v="31"/>
    <n v="2.1970557723657559E-2"/>
    <n v="80972"/>
    <n v="179"/>
    <n v="0.22106407153089958"/>
    <s v="Low"/>
    <n v="0.42910614525139668"/>
    <x v="0"/>
  </r>
  <r>
    <s v="UAE"/>
    <s v="Snapchat_MK~UAE_TG"/>
    <x v="4"/>
    <s v="Consideration"/>
    <s v="AE_AT~Snapchat~Interests_AG"/>
    <x v="1"/>
    <s v="CT~DarkPost~EN~AE~Video~9x16~30~_CV"/>
    <x v="1"/>
    <s v="Video"/>
    <s v="9x16"/>
    <n v="21.55"/>
    <n v="2.5000000000000001E-3"/>
    <n v="8544"/>
    <n v="1.3543000000000001"/>
    <n v="1.86"/>
    <n v="2125"/>
    <n v="66"/>
    <n v="0.18364877711520181"/>
    <n v="11571"/>
    <n v="29"/>
    <n v="0.25062656641604009"/>
    <s v="Low"/>
    <n v="0.74310344827586206"/>
    <x v="0"/>
  </r>
  <r>
    <s v="UAE"/>
    <s v="Snapchat_MK~UAE_TG"/>
    <x v="4"/>
    <s v="Awareness"/>
    <s v="AE_AT~Snapchat~Interests_AG"/>
    <x v="1"/>
    <s v="CT~DarkPost~EN~AE~Video~9x16~30~_CV"/>
    <x v="1"/>
    <s v="Video"/>
    <s v="9x16"/>
    <n v="73.180000000000007"/>
    <n v="2.3E-3"/>
    <n v="74948"/>
    <n v="1.0351999999999999"/>
    <n v="0.94"/>
    <n v="1704"/>
    <n v="66"/>
    <n v="2.1963008313462654E-2"/>
    <n v="77585"/>
    <n v="178"/>
    <n v="0.22942579106786107"/>
    <s v="Low"/>
    <n v="0.411123595505618"/>
    <x v="0"/>
  </r>
  <r>
    <s v="UAE"/>
    <s v="Snapchat_MK~UAE_TG"/>
    <x v="4"/>
    <s v="Awareness"/>
    <s v="AE_AT~Snapchat~Interests_AG"/>
    <x v="1"/>
    <s v=" CT~DarkPost~AR~AE~Video~9x16~30~_CV"/>
    <x v="0"/>
    <s v="Video"/>
    <s v="9x16"/>
    <n v="75.13"/>
    <n v="2.3E-3"/>
    <n v="73748"/>
    <n v="1.0785"/>
    <n v="0.94"/>
    <n v="1963"/>
    <n v="64"/>
    <n v="2.4679716868454469E-2"/>
    <n v="79539"/>
    <n v="181"/>
    <n v="0.22756132211870905"/>
    <s v="Low"/>
    <n v="0.41508287292817675"/>
    <x v="0"/>
  </r>
  <r>
    <s v="UAE"/>
    <s v="Snapchat_MK~UAE_TG"/>
    <x v="4"/>
    <s v="Consideration"/>
    <s v="AE_AT~Snapchat~Interests_AG"/>
    <x v="1"/>
    <s v="CT~DarkPost~AR~AE~Video~9x16~30~_CV"/>
    <x v="0"/>
    <s v="Video"/>
    <s v="9x16"/>
    <n v="36.24"/>
    <n v="3.5999999999999999E-3"/>
    <n v="12121"/>
    <n v="1.5053000000000001"/>
    <n v="1.99"/>
    <n v="3617"/>
    <n v="96"/>
    <n v="0.19823522963937301"/>
    <n v="18246"/>
    <n v="66"/>
    <n v="0.36172311739559354"/>
    <s v="Low"/>
    <n v="0.54909090909090907"/>
    <x v="0"/>
  </r>
  <r>
    <s v="UAE"/>
    <s v="Snapchat_MK~UAE_TG"/>
    <x v="4"/>
    <s v="Consideration"/>
    <s v="AE_AT~Snapchat~Interests_AG"/>
    <x v="1"/>
    <s v="CT~DarkPost~AR~AE~Video~9x16~45~_CV"/>
    <x v="0"/>
    <s v="Video"/>
    <s v="9x16"/>
    <n v="110.04"/>
    <n v="1.6999999999999999E-3"/>
    <n v="30601"/>
    <n v="1.8928"/>
    <n v="1.9"/>
    <n v="12453"/>
    <n v="230"/>
    <n v="0.2149960291426401"/>
    <n v="57922"/>
    <n v="100"/>
    <n v="0.17264597216946928"/>
    <s v="Low"/>
    <n v="1.1004"/>
    <x v="0"/>
  </r>
  <r>
    <s v="UAE"/>
    <s v="Snapchat_MK~UAE_TG"/>
    <x v="4"/>
    <s v="Awareness"/>
    <s v="AE_AT~Snapchat~Interests_AG"/>
    <x v="1"/>
    <s v="CT~DarkPost~AR~AE~Video~9x16~45~_CV"/>
    <x v="0"/>
    <s v="Video"/>
    <s v="9x16"/>
    <n v="82.73"/>
    <n v="2.3E-3"/>
    <n v="84751"/>
    <n v="1.0396000000000001"/>
    <n v="0.94"/>
    <n v="2080"/>
    <n v="51"/>
    <n v="2.3606855067529225E-2"/>
    <n v="88110"/>
    <n v="202"/>
    <n v="0.22925888094427418"/>
    <s v="Low"/>
    <n v="0.40955445544554459"/>
    <x v="0"/>
  </r>
  <r>
    <s v="UAE"/>
    <s v="Snapchat_MK~UAE_TG"/>
    <x v="4"/>
    <s v="Consideration"/>
    <s v="AE_AT~Snapchat~Interests_AG"/>
    <x v="1"/>
    <s v="CT~DarkPost~EN~AE~Video~9x16~45~_CV"/>
    <x v="1"/>
    <s v="Video"/>
    <s v="9x16"/>
    <n v="62.96"/>
    <n v="2.5000000000000001E-3"/>
    <n v="17927"/>
    <n v="1.8926000000000001"/>
    <n v="1.86"/>
    <n v="6655"/>
    <n v="145"/>
    <n v="0.19614489080137934"/>
    <n v="33929"/>
    <n v="84"/>
    <n v="0.24757582009490406"/>
    <s v="Low"/>
    <n v="0.7495238095238094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name="PivotTable18"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12" rowHeaderCaption="Audience">
  <location ref="A66:B68" firstHeaderRow="1" firstDataRow="1" firstDataCol="1"/>
  <pivotFields count="23">
    <pivotField showAll="0"/>
    <pivotField showAll="0"/>
    <pivotField showAll="0">
      <items count="8">
        <item x="1"/>
        <item x="2"/>
        <item x="3"/>
        <item x="4"/>
        <item x="5"/>
        <item x="6"/>
        <item x="0"/>
        <item t="default"/>
      </items>
    </pivotField>
    <pivotField showAll="0"/>
    <pivotField axis="axisRow" showAll="0">
      <items count="5">
        <item m="1" x="3"/>
        <item m="1" x="2"/>
        <item x="0"/>
        <item x="1"/>
        <item t="default"/>
      </items>
    </pivotField>
    <pivotField showAll="0"/>
    <pivotField showAll="0">
      <items count="3">
        <item x="1"/>
        <item x="0"/>
        <item t="default"/>
      </items>
    </pivotField>
    <pivotField showAll="0"/>
    <pivotField showAll="0"/>
    <pivotField numFmtId="43" showAll="0"/>
    <pivotField numFmtId="1" showAll="0"/>
    <pivotField numFmtId="165" showAll="0"/>
    <pivotField numFmtId="165" showAll="0"/>
    <pivotField numFmtId="10" showAll="0"/>
    <pivotField showAll="0"/>
    <pivotField dataField="1" numFmtId="165" showAll="0"/>
    <pivotField numFmtId="165" showAll="0"/>
    <pivotField numFmtId="164" showAll="0"/>
    <pivotField numFmtId="10" showAll="0"/>
    <pivotField showAll="0"/>
    <pivotField numFmtId="10" showAll="0"/>
    <pivotField numFmtId="2" showAll="0"/>
    <pivotField showAll="0"/>
  </pivotFields>
  <rowFields count="1">
    <field x="4"/>
  </rowFields>
  <rowItems count="2">
    <i>
      <x v="2"/>
    </i>
    <i>
      <x v="3"/>
    </i>
  </rowItems>
  <colItems count="1">
    <i/>
  </colItems>
  <dataFields count="1">
    <dataField name="Count of 2 Second Video Views" fld="15" subtotal="count" baseField="4" baseItem="2" numFmtId="1"/>
  </dataFields>
  <formats count="4">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2" cacheId="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chartFormat="12" rowHeaderCaption="Platforms">
  <location ref="A70:C77"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7">
    <i>
      <x/>
    </i>
    <i>
      <x v="1"/>
    </i>
    <i>
      <x v="2"/>
    </i>
    <i>
      <x v="3"/>
    </i>
    <i>
      <x v="4"/>
    </i>
    <i>
      <x v="5"/>
    </i>
    <i>
      <x v="6"/>
    </i>
  </rowItems>
  <colFields count="1">
    <field x="-2"/>
  </colFields>
  <colItems count="2">
    <i>
      <x/>
    </i>
    <i i="1">
      <x v="1"/>
    </i>
  </colItems>
  <dataFields count="2">
    <dataField name="Sum of Impressions" fld="1" baseField="0" baseItem="0"/>
    <dataField name="Sum of Link clicks" fld="2" baseField="0" baseItem="0"/>
  </dataFields>
  <formats count="5">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s>
  <chartFormats count="4">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caption="Count of 3-second video plays"/>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Lst>
</pivotTableDefinition>
</file>

<file path=xl/pivotTables/pivotTable11.xml><?xml version="1.0" encoding="utf-8"?>
<pivotTableDefinition xmlns="http://schemas.openxmlformats.org/spreadsheetml/2006/main" name="mata_cpc" cacheId="9"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16:B17"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howAll="0" dataSourceSort="1" defaultAttributeDrillState="1"/>
    <pivotField allDrilled="1" showAll="0" dataSourceSort="1" defaultAttributeDrillState="1"/>
  </pivotFields>
  <rowFields count="1">
    <field x="0"/>
  </rowFields>
  <rowItems count="1">
    <i>
      <x/>
    </i>
  </rowItems>
  <colItems count="1">
    <i/>
  </colItems>
  <dataFields count="1">
    <dataField name="Average of CPC" fld="1" subtotal="average" baseField="0" baseItem="0"/>
  </dataFields>
  <formats count="1">
    <format dxfId="47">
      <pivotArea outline="0" collapsedLevelsAreSubtotals="1"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35:B36" firstHeaderRow="1" firstDataRow="1" firstDataCol="1"/>
  <pivotFields count="4">
    <pivotField axis="axisRow" allDrilled="1" subtotalTop="0" showAll="0" dataSourceSort="1" defaultSubtotal="0" defaultAttributeDrillState="1">
      <items count="1">
        <item x="0"/>
      </items>
    </pivotField>
    <pivotField dataField="1" showAll="0"/>
    <pivotField allDrilled="1" showAll="0" dataSourceSort="1" defaultAttributeDrillState="1"/>
    <pivotField allDrilled="1" showAll="0" dataSourceSort="1" defaultAttributeDrillState="1"/>
  </pivotFields>
  <rowFields count="1">
    <field x="0"/>
  </rowFields>
  <rowItems count="1">
    <i>
      <x/>
    </i>
  </rowItems>
  <colItems count="1">
    <i/>
  </colItems>
  <dataFields count="1">
    <dataField name="Sum of Reach" fld="1" baseField="0" baseItem="0" numFmtId="1"/>
  </dataFields>
  <formats count="5">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Lst>
</pivotTableDefinition>
</file>

<file path=xl/pivotTables/pivotTable13.xml><?xml version="1.0" encoding="utf-8"?>
<pivotTableDefinition xmlns="http://schemas.openxmlformats.org/spreadsheetml/2006/main" name="PivotTable20" cacheId="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chartFormat="8" rowHeaderCaption="Platforms">
  <location ref="A56:B58" firstHeaderRow="1"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0"/>
  </rowFields>
  <rowItems count="2">
    <i>
      <x/>
    </i>
    <i>
      <x v="1"/>
    </i>
  </rowItems>
  <colItems count="1">
    <i/>
  </colItems>
  <dataFields count="1">
    <dataField name="Count of 3-second video plays" fld="1" subtotal="count" baseField="0" baseItem="0" numFmtId="1"/>
  </dataFields>
  <formats count="5">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caption="Count of 3-second video play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Lst>
</pivotTableDefinition>
</file>

<file path=xl/pivotTables/pivotTable14.xml><?xml version="1.0" encoding="utf-8"?>
<pivotTableDefinition xmlns="http://schemas.openxmlformats.org/spreadsheetml/2006/main" name="Performance" cacheId="0" applyNumberFormats="0" applyBorderFormats="0" applyFontFormats="0" applyPatternFormats="0" applyAlignmentFormats="0" applyWidthHeightFormats="1" dataCaption="Values" updatedVersion="6" minRefreshableVersion="3" useAutoFormatting="1" subtotalHiddenItems="1" itemPrintTitles="1" createdVersion="7" indent="0" outline="1" outlineData="1" multipleFieldFilters="0" chartFormat="13" rowHeaderCaption="Age Group">
  <location ref="A6:B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Average of Conversion Rate" fld="1" subtotal="average" baseField="0" baseItem="0" numFmtId="166"/>
  </dataFields>
  <formats count="1">
    <format dxfId="58">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chartFormat="5" rowHeaderCaption="Platforms">
  <location ref="A44:B5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howAll="0" dataSourceSort="1" defaultAttributeDrillState="1"/>
  </pivotFields>
  <rowFields count="1">
    <field x="0"/>
  </rowFields>
  <rowItems count="7">
    <i>
      <x/>
    </i>
    <i>
      <x v="1"/>
    </i>
    <i>
      <x v="2"/>
    </i>
    <i>
      <x v="3"/>
    </i>
    <i>
      <x v="4"/>
    </i>
    <i>
      <x v="5"/>
    </i>
    <i>
      <x v="6"/>
    </i>
  </rowItems>
  <colItems count="1">
    <i/>
  </colItems>
  <dataFields count="1">
    <dataField name="Sum of Amount spent" fld="1" baseField="0" baseItem="0"/>
  </dataFields>
  <formats count="1">
    <format dxfId="59">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0" count="1" selected="0">
            <x v="0"/>
          </reference>
        </references>
      </pivotArea>
    </chartFormat>
    <chartFormat chart="4" format="27">
      <pivotArea type="data" outline="0" fieldPosition="0">
        <references count="2">
          <reference field="4294967294" count="1" selected="0">
            <x v="0"/>
          </reference>
          <reference field="0" count="1" selected="0">
            <x v="1"/>
          </reference>
        </references>
      </pivotArea>
    </chartFormat>
    <chartFormat chart="4" format="28">
      <pivotArea type="data" outline="0" fieldPosition="0">
        <references count="2">
          <reference field="4294967294" count="1" selected="0">
            <x v="0"/>
          </reference>
          <reference field="0" count="1" selected="0">
            <x v="2"/>
          </reference>
        </references>
      </pivotArea>
    </chartFormat>
    <chartFormat chart="4" format="29">
      <pivotArea type="data" outline="0" fieldPosition="0">
        <references count="2">
          <reference field="4294967294" count="1" selected="0">
            <x v="0"/>
          </reference>
          <reference field="0" count="1" selected="0">
            <x v="3"/>
          </reference>
        </references>
      </pivotArea>
    </chartFormat>
    <chartFormat chart="4" format="30">
      <pivotArea type="data" outline="0" fieldPosition="0">
        <references count="2">
          <reference field="4294967294" count="1" selected="0">
            <x v="0"/>
          </reference>
          <reference field="0" count="1" selected="0">
            <x v="4"/>
          </reference>
        </references>
      </pivotArea>
    </chartFormat>
    <chartFormat chart="4" format="31">
      <pivotArea type="data" outline="0" fieldPosition="0">
        <references count="2">
          <reference field="4294967294" count="1" selected="0">
            <x v="0"/>
          </reference>
          <reference field="0" count="1" selected="0">
            <x v="5"/>
          </reference>
        </references>
      </pivotArea>
    </chartFormat>
    <chartFormat chart="4" format="32">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name="PivotTable16"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39:B40" firstHeaderRow="1" firstDataRow="1" firstDataCol="1"/>
  <pivotFields count="4">
    <pivotField axis="axisRow" allDrilled="1" subtotalTop="0" showAll="0" dataSourceSort="1" defaultSubtotal="0" defaultAttributeDrillState="1">
      <items count="1">
        <item x="0"/>
      </items>
    </pivotField>
    <pivotField dataField="1" showAll="0"/>
    <pivotField allDrilled="1" showAll="0" dataSourceSort="1" defaultAttributeDrillState="1"/>
    <pivotField allDrilled="1" showAll="0" dataSourceSort="1" defaultAttributeDrillState="1"/>
  </pivotFields>
  <rowFields count="1">
    <field x="0"/>
  </rowFields>
  <rowItems count="1">
    <i>
      <x/>
    </i>
  </rowItems>
  <colItems count="1">
    <i/>
  </colItems>
  <dataFields count="1">
    <dataField name="Average of CTR (all)" fld="1" subtotal="average" baseField="0" baseItem="0" numFmtId="2"/>
  </dataFields>
  <formats count="11">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outline="0" axis="axisValues" fieldPosition="0"/>
    </format>
    <format dxfId="61">
      <pivotArea dataOnly="0" labelOnly="1" fieldPosition="0">
        <references count="1">
          <reference field="0" count="0"/>
        </references>
      </pivotArea>
    </format>
    <format dxfId="60">
      <pivotArea dataOnly="0" labelOnly="1" outline="0" axis="axisValues"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caption="Average of CTR (all)"/>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Lst>
</pivotTableDefinition>
</file>

<file path=xl/pivotTables/pivotTable17.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29:B32" firstHeaderRow="1" firstDataRow="1" firstDataCol="1"/>
  <pivotFields count="4">
    <pivotField axis="axisRow" allDrilled="1" subtotalTop="0" showAll="0" dataSourceSort="1" defaultSubtotal="0" defaultAttributeDrillState="1">
      <items count="1">
        <item x="0"/>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2">
    <field x="0"/>
    <field x="1"/>
  </rowFields>
  <rowItems count="3">
    <i>
      <x/>
    </i>
    <i r="1">
      <x/>
    </i>
    <i r="1">
      <x v="1"/>
    </i>
  </rowItems>
  <colItems count="1">
    <i/>
  </colItems>
  <dataFields count="1">
    <dataField name="Sum of Link clicks" fld="2" baseField="0" baseItem="0"/>
  </dataFields>
  <formats count="11">
    <format dxfId="81">
      <pivotArea outline="0" collapsedLevelsAreSubtotals="1" fieldPosition="0"/>
    </format>
    <format dxfId="80">
      <pivotArea collapsedLevelsAreSubtotals="1" fieldPosition="0">
        <references count="2">
          <reference field="0" count="0" selected="0"/>
          <reference field="1" count="0"/>
        </references>
      </pivotArea>
    </format>
    <format dxfId="79">
      <pivotArea collapsedLevelsAreSubtotals="1" fieldPosition="0">
        <references count="2">
          <reference field="0" count="0" selected="0"/>
          <reference field="1" count="0"/>
        </references>
      </pivotArea>
    </format>
    <format dxfId="78">
      <pivotArea collapsedLevelsAreSubtotals="1" fieldPosition="0">
        <references count="2">
          <reference field="0" count="0" selected="0"/>
          <reference field="1" count="0"/>
        </references>
      </pivotArea>
    </format>
    <format dxfId="77">
      <pivotArea collapsedLevelsAreSubtotals="1" fieldPosition="0">
        <references count="2">
          <reference field="0" count="0" selected="0"/>
          <reference field="1" count="0"/>
        </references>
      </pivotArea>
    </format>
    <format dxfId="76">
      <pivotArea collapsedLevelsAreSubtotals="1" fieldPosition="0">
        <references count="2">
          <reference field="0" count="0" selected="0"/>
          <reference field="1" count="0"/>
        </references>
      </pivotArea>
    </format>
    <format dxfId="75">
      <pivotArea collapsedLevelsAreSubtotals="1" fieldPosition="0">
        <references count="2">
          <reference field="0" count="0" selected="0"/>
          <reference field="1" count="0"/>
        </references>
      </pivotArea>
    </format>
    <format dxfId="74">
      <pivotArea collapsedLevelsAreSubtotals="1" fieldPosition="0">
        <references count="2">
          <reference field="0" count="0" selected="0"/>
          <reference field="1" count="0"/>
        </references>
      </pivotArea>
    </format>
    <format dxfId="73">
      <pivotArea collapsedLevelsAreSubtotals="1" fieldPosition="0">
        <references count="2">
          <reference field="0" count="0" selected="0"/>
          <reference field="1" count="0"/>
        </references>
      </pivotArea>
    </format>
    <format dxfId="72">
      <pivotArea collapsedLevelsAreSubtotals="1" fieldPosition="0">
        <references count="2">
          <reference field="0" count="0" selected="0"/>
          <reference field="1" count="0"/>
        </references>
      </pivotArea>
    </format>
    <format dxfId="71">
      <pivotArea collapsedLevelsAreSubtotals="1" fieldPosition="0">
        <references count="2">
          <reference field="0" count="0" selected="0"/>
          <reference field="1" count="0"/>
        </references>
      </pivotArea>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Lst>
</pivotTableDefinition>
</file>

<file path=xl/pivotTables/pivotTable18.xml><?xml version="1.0" encoding="utf-8"?>
<pivotTableDefinition xmlns="http://schemas.openxmlformats.org/spreadsheetml/2006/main" name="meta_total_amount"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20:D2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 allDrilled="1" showAll="0" dataSourceSort="1" defaultAttributeDrillState="1"/>
  </pivotFields>
  <rowItems count="1">
    <i/>
  </rowItems>
  <colFields count="1">
    <field x="-2"/>
  </colFields>
  <colItems count="4">
    <i>
      <x/>
    </i>
    <i i="1">
      <x v="1"/>
    </i>
    <i i="2">
      <x v="2"/>
    </i>
    <i i="3">
      <x v="3"/>
    </i>
  </colItems>
  <dataFields count="4">
    <dataField name="Sum of Amount spent" fld="0" baseField="0" baseItem="0"/>
    <dataField name="Sum of Link clicks" fld="1" baseField="0" baseItem="0"/>
    <dataField name="Average of Impressions" fld="3" subtotal="average" baseField="0" baseItem="3"/>
    <dataField name="Sum of Reach" fld="2" baseField="0" baseItem="3"/>
  </dataFields>
  <formats count="1">
    <format dxfId="82">
      <pivotArea outline="0" collapsedLevelsAreSubtotals="1"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7" indent="0" outline="1" outlineData="1" multipleFieldFilters="0" rowHeaderCaption="Platforms">
  <location ref="A25:B26"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howAll="0" dataSourceSort="1" defaultAttributeDrillState="1"/>
    <pivotField allDrilled="1" showAll="0" dataSourceSort="1" defaultAttributeDrillState="1"/>
  </pivotFields>
  <rowFields count="1">
    <field x="1"/>
  </rowFields>
  <rowItems count="1">
    <i>
      <x/>
    </i>
  </rowItems>
  <colItems count="1">
    <i/>
  </colItems>
  <dataFields count="1">
    <dataField name="Sum of 3-second video plays" fld="0" baseField="0" baseItem="0"/>
  </dataFields>
  <formats count="1">
    <format dxfId="83">
      <pivotArea outline="0" collapsedLevelsAreSubtotals="1"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Conversion Rate"/>
    <pivotHierarchy dragToData="1"/>
    <pivotHierarchy dragToData="1" caption="Average of CPC"/>
    <pivotHierarchy dragToData="1"/>
    <pivotHierarchy dragToData="1"/>
    <pivotHierarchy dragToData="1"/>
    <pivotHierarchy dragToData="1" caption="Sum of Reach"/>
    <pivotHierarchy dragToData="1" caption="Average of Reach"/>
    <pivotHierarchy dragToData="1" caption="Average of Impress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ta - Raw Data!$A$1:$W$4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26:B27" firstHeaderRow="1" firstDataRow="1" firstDataCol="1"/>
  <pivotFields count="23">
    <pivotField showAll="0"/>
    <pivotField showAll="0"/>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numFmtId="43" showAll="0"/>
    <pivotField numFmtId="1" showAll="0"/>
    <pivotField numFmtId="165" showAll="0"/>
    <pivotField numFmtId="165" showAll="0"/>
    <pivotField numFmtId="10" showAll="0"/>
    <pivotField showAll="0"/>
    <pivotField dataField="1" numFmtId="165" showAll="0"/>
    <pivotField numFmtId="165" showAll="0"/>
    <pivotField numFmtId="164" showAll="0"/>
    <pivotField numFmtId="10" showAll="0"/>
    <pivotField showAll="0"/>
    <pivotField numFmtId="10" showAll="0"/>
    <pivotField numFmtId="2" showAll="0"/>
    <pivotField axis="axisRow" showAll="0">
      <items count="2">
        <item x="0"/>
        <item t="default"/>
      </items>
    </pivotField>
  </pivotFields>
  <rowFields count="1">
    <field x="22"/>
  </rowFields>
  <rowItems count="1">
    <i>
      <x/>
    </i>
  </rowItems>
  <colItems count="1">
    <i/>
  </colItems>
  <dataFields count="1">
    <dataField name="Sum of 2 Second Video Views" fld="15" baseField="0" baseItem="0"/>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13" rowHeaderCaption="Platform">
  <location ref="A56:B58" firstHeaderRow="1" firstDataRow="1" firstDataCol="1"/>
  <pivotFields count="24">
    <pivotField showAll="0"/>
    <pivotField showAll="0"/>
    <pivotField showAll="0">
      <items count="6">
        <item x="0"/>
        <item x="1"/>
        <item x="2"/>
        <item x="3"/>
        <item x="4"/>
        <item t="default"/>
      </items>
    </pivotField>
    <pivotField showAll="0"/>
    <pivotField showAll="0"/>
    <pivotField axis="axisRow" showAll="0">
      <items count="3">
        <item x="0"/>
        <item x="1"/>
        <item t="default"/>
      </items>
    </pivotField>
    <pivotField showAll="0"/>
    <pivotField showAll="0">
      <items count="3">
        <item x="0"/>
        <item x="1"/>
        <item t="default"/>
      </items>
    </pivotField>
    <pivotField showAll="0"/>
    <pivotField showAll="0"/>
    <pivotField numFmtId="43" showAll="0"/>
    <pivotField showAll="0"/>
    <pivotField numFmtId="165" showAll="0"/>
    <pivotField showAll="0"/>
    <pivotField showAll="0"/>
    <pivotField dataField="1" numFmtId="165" showAll="0"/>
    <pivotField numFmtId="165" showAll="0"/>
    <pivotField numFmtId="10" showAll="0"/>
    <pivotField numFmtId="165" showAll="0"/>
    <pivotField numFmtId="1" showAll="0"/>
    <pivotField numFmtId="2" showAll="0"/>
    <pivotField showAll="0"/>
    <pivotField numFmtId="2" showAll="0"/>
    <pivotField showAll="0"/>
  </pivotFields>
  <rowFields count="1">
    <field x="5"/>
  </rowFields>
  <rowItems count="2">
    <i>
      <x/>
    </i>
    <i>
      <x v="1"/>
    </i>
  </rowItems>
  <colItems count="1">
    <i/>
  </colItems>
  <dataFields count="1">
    <dataField name="Count of 2 Second Video Views" fld="15" subtotal="count" baseField="5" baseItem="0"/>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2">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3:B4" firstHeaderRow="1" firstDataRow="1" firstDataCol="1"/>
  <pivotFields count="24">
    <pivotField showAll="0"/>
    <pivotField showAll="0"/>
    <pivotField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numFmtId="43" showAll="0"/>
    <pivotField showAll="0"/>
    <pivotField numFmtId="165" showAll="0"/>
    <pivotField showAll="0"/>
    <pivotField showAll="0"/>
    <pivotField numFmtId="165" showAll="0"/>
    <pivotField numFmtId="165" showAll="0"/>
    <pivotField numFmtId="10" showAll="0"/>
    <pivotField numFmtId="165" showAll="0"/>
    <pivotField numFmtId="1" showAll="0"/>
    <pivotField numFmtId="2" showAll="0"/>
    <pivotField showAll="0"/>
    <pivotField dataField="1" numFmtId="2" showAll="0"/>
    <pivotField axis="axisRow" showAll="0">
      <items count="2">
        <item x="0"/>
        <item t="default"/>
      </items>
    </pivotField>
  </pivotFields>
  <rowFields count="1">
    <field x="23"/>
  </rowFields>
  <rowItems count="1">
    <i>
      <x/>
    </i>
  </rowItems>
  <colItems count="1">
    <i/>
  </colItems>
  <dataFields count="1">
    <dataField name="Average of CPC" fld="22" subtotal="average" baseField="23" baseItem="0" numFmtId="167"/>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name="PivotTable17"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26:B27" firstHeaderRow="1" firstDataRow="1" firstDataCol="1"/>
  <pivotFields count="24">
    <pivotField showAll="0"/>
    <pivotField showAll="0"/>
    <pivotField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numFmtId="43" showAll="0"/>
    <pivotField showAll="0"/>
    <pivotField numFmtId="165" showAll="0"/>
    <pivotField showAll="0"/>
    <pivotField showAll="0"/>
    <pivotField numFmtId="165" showAll="0"/>
    <pivotField numFmtId="165" showAll="0"/>
    <pivotField numFmtId="10" showAll="0"/>
    <pivotField numFmtId="165" showAll="0"/>
    <pivotField numFmtId="1" showAll="0"/>
    <pivotField dataField="1" numFmtId="2" showAll="0"/>
    <pivotField showAll="0"/>
    <pivotField numFmtId="2" showAll="0"/>
    <pivotField axis="axisRow" showAll="0">
      <items count="2">
        <item x="0"/>
        <item t="default"/>
      </items>
    </pivotField>
  </pivotFields>
  <rowFields count="1">
    <field x="23"/>
  </rowFields>
  <rowItems count="1">
    <i>
      <x/>
    </i>
  </rowItems>
  <colItems count="1">
    <i/>
  </colItems>
  <dataFields count="1">
    <dataField name="Average of CTR" fld="20" subtotal="average" baseField="23" baseItem="0" numFmtId="2"/>
  </dataFields>
  <formats count="10">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23" type="button" dataOnly="0" labelOnly="1" outline="0" axis="axisRow" fieldPosition="0"/>
    </format>
    <format dxfId="19">
      <pivotArea dataOnly="0" labelOnly="1" outline="0" axis="axisValues" fieldPosition="0"/>
    </format>
    <format dxfId="18">
      <pivotArea dataOnly="0" labelOnly="1" fieldPosition="0">
        <references count="1">
          <reference field="23" count="0"/>
        </references>
      </pivotArea>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16:B19" firstHeaderRow="1" firstDataRow="1" firstDataCol="1"/>
  <pivotFields count="24">
    <pivotField showAll="0"/>
    <pivotField showAll="0"/>
    <pivotField showAll="0">
      <items count="6">
        <item x="0"/>
        <item x="1"/>
        <item x="2"/>
        <item x="3"/>
        <item x="4"/>
        <item t="default"/>
      </items>
    </pivotField>
    <pivotField showAll="0"/>
    <pivotField showAll="0"/>
    <pivotField showAll="0"/>
    <pivotField showAll="0"/>
    <pivotField axis="axisRow" showAll="0">
      <items count="3">
        <item x="0"/>
        <item x="1"/>
        <item t="default"/>
      </items>
    </pivotField>
    <pivotField showAll="0"/>
    <pivotField showAll="0"/>
    <pivotField numFmtId="43" showAll="0"/>
    <pivotField showAll="0"/>
    <pivotField numFmtId="165" showAll="0"/>
    <pivotField showAll="0"/>
    <pivotField showAll="0"/>
    <pivotField numFmtId="165" showAll="0"/>
    <pivotField numFmtId="165" showAll="0"/>
    <pivotField numFmtId="10" showAll="0"/>
    <pivotField numFmtId="165" showAll="0"/>
    <pivotField dataField="1" numFmtId="1" showAll="0"/>
    <pivotField numFmtId="2" showAll="0"/>
    <pivotField showAll="0"/>
    <pivotField numFmtId="2" showAll="0"/>
    <pivotField axis="axisRow" showAll="0">
      <items count="2">
        <item x="0"/>
        <item t="default"/>
      </items>
    </pivotField>
  </pivotFields>
  <rowFields count="2">
    <field x="23"/>
    <field x="7"/>
  </rowFields>
  <rowItems count="3">
    <i>
      <x/>
    </i>
    <i r="1">
      <x/>
    </i>
    <i r="1">
      <x v="1"/>
    </i>
  </rowItems>
  <colItems count="1">
    <i/>
  </colItems>
  <dataFields count="1">
    <dataField name="Sum of Swipe Ups" fld="19" baseField="0" baseItem="0"/>
  </dataFields>
  <formats count="4">
    <format dxfId="30">
      <pivotArea outline="0" collapsedLevelsAreSubtotals="1" fieldPosition="0"/>
    </format>
    <format dxfId="29">
      <pivotArea collapsedLevelsAreSubtotals="1" fieldPosition="0">
        <references count="2">
          <reference field="7" count="0"/>
          <reference field="23" count="0" selected="0"/>
        </references>
      </pivotArea>
    </format>
    <format dxfId="28">
      <pivotArea collapsedLevelsAreSubtotals="1" fieldPosition="0">
        <references count="2">
          <reference field="7" count="0"/>
          <reference field="23" count="0" selected="0"/>
        </references>
      </pivotArea>
    </format>
    <format dxfId="27">
      <pivotArea collapsedLevelsAreSubtotals="1" fieldPosition="0">
        <references count="2">
          <reference field="7" count="0"/>
          <reference field="2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snap_total"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7:D8" firstHeaderRow="0" firstDataRow="1" firstDataCol="0"/>
  <pivotFields count="24">
    <pivotField showAll="0"/>
    <pivotField showAll="0"/>
    <pivotField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dataField="1" numFmtId="43" showAll="0"/>
    <pivotField showAll="0"/>
    <pivotField dataField="1" numFmtId="165" showAll="0"/>
    <pivotField showAll="0"/>
    <pivotField showAll="0"/>
    <pivotField numFmtId="165" showAll="0"/>
    <pivotField numFmtId="165" showAll="0"/>
    <pivotField numFmtId="10" showAll="0"/>
    <pivotField dataField="1" numFmtId="165" showAll="0"/>
    <pivotField dataField="1" numFmtId="1" showAll="0"/>
    <pivotField numFmtId="2" showAll="0"/>
    <pivotField showAll="0"/>
    <pivotField numFmtId="2" showAll="0"/>
    <pivotField showAll="0"/>
  </pivotFields>
  <rowItems count="1">
    <i/>
  </rowItems>
  <colFields count="1">
    <field x="-2"/>
  </colFields>
  <colItems count="4">
    <i>
      <x/>
    </i>
    <i i="1">
      <x v="1"/>
    </i>
    <i i="2">
      <x v="2"/>
    </i>
    <i i="3">
      <x v="3"/>
    </i>
  </colItems>
  <dataFields count="4">
    <dataField name="Sum of Amount Spent" fld="10" baseField="0" baseItem="0"/>
    <dataField name="Sum of Swipe Ups" fld="19" baseField="0" baseItem="0"/>
    <dataField name="Sum of Paid Reach" fld="12" baseField="0" baseItem="1"/>
    <dataField name="Average of Total Impressions" fld="18" subtotal="average" baseField="0" baseItem="1"/>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name="PivotTable14"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22:B23" firstHeaderRow="1" firstDataRow="1" firstDataCol="1"/>
  <pivotFields count="24">
    <pivotField showAll="0"/>
    <pivotField showAll="0"/>
    <pivotField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numFmtId="43" showAll="0"/>
    <pivotField showAll="0"/>
    <pivotField dataField="1" numFmtId="165" showAll="0"/>
    <pivotField showAll="0"/>
    <pivotField showAll="0"/>
    <pivotField numFmtId="165" showAll="0"/>
    <pivotField numFmtId="165" showAll="0"/>
    <pivotField numFmtId="10" showAll="0"/>
    <pivotField numFmtId="165" showAll="0"/>
    <pivotField numFmtId="1" showAll="0"/>
    <pivotField numFmtId="2" showAll="0"/>
    <pivotField showAll="0"/>
    <pivotField numFmtId="2" showAll="0"/>
    <pivotField axis="axisRow" showAll="0">
      <items count="2">
        <item x="0"/>
        <item t="default"/>
      </items>
    </pivotField>
  </pivotFields>
  <rowFields count="1">
    <field x="23"/>
  </rowFields>
  <rowItems count="1">
    <i>
      <x/>
    </i>
  </rowItems>
  <colItems count="1">
    <i/>
  </colItems>
  <dataFields count="1">
    <dataField name="Sum of Paid Reach" fld="12" baseField="0" baseItem="0" numFmtId="1"/>
  </dataFields>
  <formats count="4">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6"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rowHeaderCaption="Platform">
  <location ref="A12:B13" firstHeaderRow="1" firstDataRow="1" firstDataCol="1"/>
  <pivotFields count="24">
    <pivotField showAll="0"/>
    <pivotField showAll="0"/>
    <pivotField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numFmtId="43" showAll="0"/>
    <pivotField showAll="0"/>
    <pivotField numFmtId="165" showAll="0"/>
    <pivotField showAll="0"/>
    <pivotField showAll="0"/>
    <pivotField dataField="1" numFmtId="165" showAll="0"/>
    <pivotField numFmtId="165" showAll="0"/>
    <pivotField numFmtId="10" showAll="0"/>
    <pivotField numFmtId="165" showAll="0"/>
    <pivotField numFmtId="1" showAll="0"/>
    <pivotField numFmtId="2" showAll="0"/>
    <pivotField showAll="0"/>
    <pivotField numFmtId="2" showAll="0"/>
    <pivotField axis="axisRow" showAll="0">
      <items count="2">
        <item x="0"/>
        <item t="default"/>
      </items>
    </pivotField>
  </pivotFields>
  <rowFields count="1">
    <field x="23"/>
  </rowFields>
  <rowItems count="1">
    <i>
      <x/>
    </i>
  </rowItems>
  <colItems count="1">
    <i/>
  </colItems>
  <dataFields count="1">
    <dataField name="Sum of 2 Second Video Views" fld="15" baseField="0" baseItem="0"/>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name="PivotTable13"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6" rowHeaderCaption="Platform">
  <location ref="A30:B35" firstHeaderRow="1" firstDataRow="1" firstDataCol="1"/>
  <pivotFields count="24">
    <pivotField showAll="0"/>
    <pivotField showAll="0"/>
    <pivotField axis="axisRow"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dataField="1" numFmtId="43" showAll="0"/>
    <pivotField showAll="0"/>
    <pivotField numFmtId="165" showAll="0"/>
    <pivotField showAll="0"/>
    <pivotField showAll="0"/>
    <pivotField numFmtId="165" showAll="0"/>
    <pivotField numFmtId="165" showAll="0"/>
    <pivotField numFmtId="10" showAll="0"/>
    <pivotField numFmtId="165" showAll="0"/>
    <pivotField numFmtId="1" showAll="0"/>
    <pivotField numFmtId="2" showAll="0"/>
    <pivotField showAll="0"/>
    <pivotField numFmtId="2" showAll="0"/>
    <pivotField showAll="0"/>
  </pivotFields>
  <rowFields count="1">
    <field x="2"/>
  </rowFields>
  <rowItems count="5">
    <i>
      <x/>
    </i>
    <i>
      <x v="1"/>
    </i>
    <i>
      <x v="2"/>
    </i>
    <i>
      <x v="3"/>
    </i>
    <i>
      <x v="4"/>
    </i>
  </rowItems>
  <colItems count="1">
    <i/>
  </colItems>
  <dataFields count="1">
    <dataField name="Sum of Amount Spent" fld="10" baseField="0" baseItem="0"/>
  </dataFields>
  <formats count="1">
    <format dxfId="3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1"/>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3"/>
          </reference>
        </references>
      </pivotArea>
    </chartFormat>
    <chartFormat chart="5" format="24">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name="PivotTable23" cacheId="1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10" rowHeaderCaption="Platform">
  <location ref="A40:C45" firstHeaderRow="0" firstDataRow="1" firstDataCol="1"/>
  <pivotFields count="24">
    <pivotField showAll="0"/>
    <pivotField showAll="0"/>
    <pivotField axis="axisRow" showAll="0">
      <items count="6">
        <item x="0"/>
        <item x="1"/>
        <item x="2"/>
        <item x="3"/>
        <item x="4"/>
        <item t="default"/>
      </items>
    </pivotField>
    <pivotField showAll="0"/>
    <pivotField showAll="0"/>
    <pivotField showAll="0"/>
    <pivotField showAll="0"/>
    <pivotField showAll="0">
      <items count="3">
        <item x="0"/>
        <item x="1"/>
        <item t="default"/>
      </items>
    </pivotField>
    <pivotField showAll="0"/>
    <pivotField showAll="0"/>
    <pivotField numFmtId="43" showAll="0"/>
    <pivotField showAll="0"/>
    <pivotField numFmtId="165" showAll="0"/>
    <pivotField showAll="0"/>
    <pivotField showAll="0"/>
    <pivotField numFmtId="165" showAll="0"/>
    <pivotField numFmtId="165" showAll="0"/>
    <pivotField numFmtId="10" showAll="0"/>
    <pivotField dataField="1" numFmtId="165" showAll="0"/>
    <pivotField dataField="1" numFmtId="1" showAll="0"/>
    <pivotField numFmtId="2" showAll="0"/>
    <pivotField showAll="0"/>
    <pivotField numFmtId="2" showAll="0"/>
    <pivotField showAll="0"/>
  </pivotFields>
  <rowFields count="1">
    <field x="2"/>
  </rowFields>
  <rowItems count="5">
    <i>
      <x/>
    </i>
    <i>
      <x v="1"/>
    </i>
    <i>
      <x v="2"/>
    </i>
    <i>
      <x v="3"/>
    </i>
    <i>
      <x v="4"/>
    </i>
  </rowItems>
  <colFields count="1">
    <field x="-2"/>
  </colFields>
  <colItems count="2">
    <i>
      <x/>
    </i>
    <i i="1">
      <x v="1"/>
    </i>
  </colItems>
  <dataFields count="2">
    <dataField name="Sum of Swipe Ups" fld="19" baseField="0" baseItem="0"/>
    <dataField name="Sum of Total Impressions" fld="18" baseField="0" baseItem="0"/>
  </dataFields>
  <formats count="4">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s>
  <chartFormats count="6">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43:B44" firstHeaderRow="1" firstDataRow="1" firstDataCol="1"/>
  <pivotFields count="23">
    <pivotField showAll="0"/>
    <pivotField showAll="0"/>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numFmtId="43" showAll="0"/>
    <pivotField numFmtId="1" showAll="0"/>
    <pivotField numFmtId="165" showAll="0"/>
    <pivotField numFmtId="165" showAll="0"/>
    <pivotField dataField="1" numFmtId="10" showAll="0"/>
    <pivotField showAll="0"/>
    <pivotField numFmtId="165" showAll="0"/>
    <pivotField numFmtId="165" showAll="0"/>
    <pivotField numFmtId="164" showAll="0"/>
    <pivotField numFmtId="10" showAll="0"/>
    <pivotField showAll="0"/>
    <pivotField numFmtId="10" showAll="0"/>
    <pivotField numFmtId="2" showAll="0"/>
    <pivotField axis="axisRow" showAll="0">
      <items count="2">
        <item x="0"/>
        <item t="default"/>
      </items>
    </pivotField>
  </pivotFields>
  <rowFields count="1">
    <field x="22"/>
  </rowFields>
  <rowItems count="1">
    <i>
      <x/>
    </i>
  </rowItems>
  <colItems count="1">
    <i/>
  </colItems>
  <dataFields count="1">
    <dataField name="Average of CTR" fld="13" subtotal="average" baseField="22" baseItem="0" numFmtId="2"/>
  </dataFields>
  <formats count="10">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22" type="button" dataOnly="0" labelOnly="1" outline="0" axis="axisRow" fieldPosition="0"/>
    </format>
    <format dxfId="91">
      <pivotArea dataOnly="0" labelOnly="1" outline="0" axis="axisValues" fieldPosition="0"/>
    </format>
    <format dxfId="90">
      <pivotArea dataOnly="0" labelOnly="1" fieldPosition="0">
        <references count="1">
          <reference field="22" count="0"/>
        </references>
      </pivotArea>
    </format>
    <format dxfId="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31:B34" firstHeaderRow="1" firstDataRow="1" firstDataCol="1"/>
  <pivotFields count="23">
    <pivotField showAll="0"/>
    <pivotField showAll="0"/>
    <pivotField showAll="0">
      <items count="8">
        <item x="1"/>
        <item x="2"/>
        <item x="3"/>
        <item x="4"/>
        <item x="5"/>
        <item x="6"/>
        <item x="0"/>
        <item t="default"/>
      </items>
    </pivotField>
    <pivotField showAll="0"/>
    <pivotField showAll="0"/>
    <pivotField showAll="0"/>
    <pivotField axis="axisRow" showAll="0">
      <items count="3">
        <item x="1"/>
        <item x="0"/>
        <item t="default"/>
      </items>
    </pivotField>
    <pivotField showAll="0"/>
    <pivotField showAll="0"/>
    <pivotField numFmtId="43" showAll="0"/>
    <pivotField dataField="1" numFmtId="1" showAll="0"/>
    <pivotField numFmtId="165" showAll="0"/>
    <pivotField numFmtId="165" showAll="0"/>
    <pivotField numFmtId="10" showAll="0"/>
    <pivotField showAll="0"/>
    <pivotField numFmtId="165" showAll="0"/>
    <pivotField numFmtId="165" showAll="0"/>
    <pivotField numFmtId="164" showAll="0"/>
    <pivotField numFmtId="10" showAll="0"/>
    <pivotField showAll="0"/>
    <pivotField numFmtId="10" showAll="0"/>
    <pivotField numFmtId="2" showAll="0"/>
    <pivotField axis="axisRow" showAll="0">
      <items count="2">
        <item x="0"/>
        <item t="default"/>
      </items>
    </pivotField>
  </pivotFields>
  <rowFields count="2">
    <field x="22"/>
    <field x="6"/>
  </rowFields>
  <rowItems count="3">
    <i>
      <x/>
    </i>
    <i r="1">
      <x/>
    </i>
    <i r="1">
      <x v="1"/>
    </i>
  </rowItems>
  <colItems count="1">
    <i/>
  </colItems>
  <dataFields count="1">
    <dataField name="Sum of Clicks" fld="10" baseField="0" baseItem="0"/>
  </dataFields>
  <formats count="4">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9">
  <location ref="A51:B58" firstHeaderRow="1" firstDataRow="1" firstDataCol="1"/>
  <pivotFields count="23">
    <pivotField showAll="0"/>
    <pivotField showAll="0"/>
    <pivotField axis="axisRow"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dataField="1" numFmtId="43" showAll="0"/>
    <pivotField numFmtId="1" showAll="0"/>
    <pivotField numFmtId="165" showAll="0"/>
    <pivotField numFmtId="165" showAll="0"/>
    <pivotField numFmtId="10" showAll="0"/>
    <pivotField showAll="0"/>
    <pivotField numFmtId="165" showAll="0"/>
    <pivotField numFmtId="165" showAll="0"/>
    <pivotField numFmtId="164" showAll="0"/>
    <pivotField numFmtId="10" showAll="0"/>
    <pivotField showAll="0"/>
    <pivotField numFmtId="10" showAll="0"/>
    <pivotField numFmtId="2" showAll="0"/>
    <pivotField showAll="0"/>
  </pivotFields>
  <rowFields count="1">
    <field x="2"/>
  </rowFields>
  <rowItems count="7">
    <i>
      <x/>
    </i>
    <i>
      <x v="1"/>
    </i>
    <i>
      <x v="2"/>
    </i>
    <i>
      <x v="3"/>
    </i>
    <i>
      <x v="4"/>
    </i>
    <i>
      <x v="5"/>
    </i>
    <i>
      <x v="6"/>
    </i>
  </rowItems>
  <colItems count="1">
    <i/>
  </colItems>
  <dataFields count="1">
    <dataField name="Sum of Amount Spent" fld="9" baseField="0" baseItem="0"/>
  </dataFields>
  <formats count="1">
    <format dxfId="103">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1"/>
          </reference>
        </references>
      </pivotArea>
    </chartFormat>
    <chartFormat chart="8" format="19">
      <pivotArea type="data" outline="0" fieldPosition="0">
        <references count="2">
          <reference field="4294967294" count="1" selected="0">
            <x v="0"/>
          </reference>
          <reference field="2" count="1" selected="0">
            <x v="2"/>
          </reference>
        </references>
      </pivotArea>
    </chartFormat>
    <chartFormat chart="8" format="20">
      <pivotArea type="data" outline="0" fieldPosition="0">
        <references count="2">
          <reference field="4294967294" count="1" selected="0">
            <x v="0"/>
          </reference>
          <reference field="2" count="1" selected="0">
            <x v="3"/>
          </reference>
        </references>
      </pivotArea>
    </chartFormat>
    <chartFormat chart="8" format="21">
      <pivotArea type="data" outline="0" fieldPosition="0">
        <references count="2">
          <reference field="4294967294" count="1" selected="0">
            <x v="0"/>
          </reference>
          <reference field="2" count="1" selected="0">
            <x v="4"/>
          </reference>
        </references>
      </pivotArea>
    </chartFormat>
    <chartFormat chart="8" format="22">
      <pivotArea type="data" outline="0" fieldPosition="0">
        <references count="2">
          <reference field="4294967294" count="1" selected="0">
            <x v="0"/>
          </reference>
          <reference field="2" count="1" selected="0">
            <x v="5"/>
          </reference>
        </references>
      </pivotArea>
    </chartFormat>
    <chartFormat chart="8" format="2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iktok_cpc"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17:B18" firstHeaderRow="1" firstDataRow="1" firstDataCol="1"/>
  <pivotFields count="23">
    <pivotField showAll="0"/>
    <pivotField showAll="0"/>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numFmtId="43" showAll="0"/>
    <pivotField numFmtId="1" showAll="0"/>
    <pivotField numFmtId="165" showAll="0"/>
    <pivotField numFmtId="165" showAll="0"/>
    <pivotField numFmtId="10" showAll="0"/>
    <pivotField showAll="0"/>
    <pivotField numFmtId="165" showAll="0"/>
    <pivotField numFmtId="165" showAll="0"/>
    <pivotField numFmtId="164" showAll="0"/>
    <pivotField numFmtId="10" showAll="0"/>
    <pivotField showAll="0"/>
    <pivotField numFmtId="10" showAll="0"/>
    <pivotField dataField="1" numFmtId="2" showAll="0"/>
    <pivotField axis="axisRow" showAll="0">
      <items count="2">
        <item x="0"/>
        <item t="default"/>
      </items>
    </pivotField>
  </pivotFields>
  <rowFields count="1">
    <field x="22"/>
  </rowFields>
  <rowItems count="1">
    <i>
      <x/>
    </i>
  </rowItems>
  <colItems count="1">
    <i/>
  </colItems>
  <dataFields count="1">
    <dataField name="Average of CPC" fld="21" subtotal="average" baseField="22" baseItem="0" numFmtId="167"/>
  </dataFields>
  <formats count="1">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38:B39" firstHeaderRow="1" firstDataRow="1" firstDataCol="1"/>
  <pivotFields count="23">
    <pivotField showAll="0"/>
    <pivotField showAll="0"/>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numFmtId="43" showAll="0"/>
    <pivotField numFmtId="1" showAll="0"/>
    <pivotField dataField="1" numFmtId="165" showAll="0"/>
    <pivotField numFmtId="165" showAll="0"/>
    <pivotField numFmtId="10" showAll="0"/>
    <pivotField showAll="0"/>
    <pivotField numFmtId="165" showAll="0"/>
    <pivotField numFmtId="165" showAll="0"/>
    <pivotField numFmtId="164" showAll="0"/>
    <pivotField numFmtId="10" showAll="0"/>
    <pivotField showAll="0"/>
    <pivotField numFmtId="10" showAll="0"/>
    <pivotField numFmtId="2" showAll="0"/>
    <pivotField axis="axisRow" showAll="0">
      <items count="2">
        <item x="0"/>
        <item t="default"/>
      </items>
    </pivotField>
  </pivotFields>
  <rowFields count="1">
    <field x="22"/>
  </rowFields>
  <rowItems count="1">
    <i>
      <x/>
    </i>
  </rowItems>
  <colItems count="1">
    <i/>
  </colItems>
  <dataFields count="1">
    <dataField name="Sum of Paid Reach" fld="11" baseField="0" baseItem="0"/>
  </dataFields>
  <formats count="4">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Campaign_Ctr" cacheId="1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1">
  <location ref="A5:D14" firstHeaderRow="0" firstDataRow="1" firstDataCol="1"/>
  <pivotFields count="23">
    <pivotField showAll="0"/>
    <pivotField axis="axisRow" showAll="0" sortType="descending">
      <items count="9">
        <item x="6"/>
        <item x="0"/>
        <item x="1"/>
        <item x="2"/>
        <item x="3"/>
        <item x="4"/>
        <item x="5"/>
        <item x="7"/>
        <item t="default"/>
      </items>
      <autoSortScope>
        <pivotArea dataOnly="0" outline="0" fieldPosition="0">
          <references count="1">
            <reference field="4294967294" count="1" selected="0">
              <x v="2"/>
            </reference>
          </references>
        </pivotArea>
      </autoSortScope>
    </pivotField>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numFmtId="43" showAll="0"/>
    <pivotField dataField="1" numFmtId="1" showAll="0"/>
    <pivotField numFmtId="165" showAll="0"/>
    <pivotField dataField="1" numFmtId="165" showAll="0"/>
    <pivotField dataField="1" numFmtId="10" showAll="0"/>
    <pivotField showAll="0"/>
    <pivotField numFmtId="165" showAll="0"/>
    <pivotField numFmtId="165" showAll="0"/>
    <pivotField numFmtId="164" showAll="0"/>
    <pivotField numFmtId="10" showAll="0"/>
    <pivotField showAll="0"/>
    <pivotField numFmtId="10" showAll="0"/>
    <pivotField numFmtId="2" showAll="0"/>
    <pivotField showAll="0"/>
  </pivotFields>
  <rowFields count="1">
    <field x="1"/>
  </rowFields>
  <rowItems count="9">
    <i>
      <x v="1"/>
    </i>
    <i>
      <x v="4"/>
    </i>
    <i>
      <x v="7"/>
    </i>
    <i>
      <x v="2"/>
    </i>
    <i>
      <x v="6"/>
    </i>
    <i>
      <x/>
    </i>
    <i>
      <x v="3"/>
    </i>
    <i>
      <x v="5"/>
    </i>
    <i t="grand">
      <x/>
    </i>
  </rowItems>
  <colFields count="1">
    <field x="-2"/>
  </colFields>
  <colItems count="3">
    <i>
      <x/>
    </i>
    <i i="1">
      <x v="1"/>
    </i>
    <i i="2">
      <x v="2"/>
    </i>
  </colItems>
  <dataFields count="3">
    <dataField name="Sum of Total Impressions" fld="12" baseField="0" baseItem="0"/>
    <dataField name="Sum of Clicks" fld="10" baseField="0" baseItem="0"/>
    <dataField name="Sum of CTR" fld="13" baseField="0" baseItem="0" numFmtId="10"/>
  </dataFields>
  <formats count="1">
    <format dxfId="109">
      <pivotArea outline="0" collapsedLevelsAreSubtotals="1" fieldPosition="0">
        <references count="1">
          <reference field="4294967294" count="1" selected="0">
            <x v="2"/>
          </reference>
        </references>
      </pivotArea>
    </format>
  </formats>
  <chartFormats count="6">
    <chartFormat chart="1" format="3"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tiktok_total_amount" cacheId="1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22:D23" firstHeaderRow="0" firstDataRow="1" firstDataCol="0"/>
  <pivotFields count="23">
    <pivotField showAll="0"/>
    <pivotField showAll="0"/>
    <pivotField showAll="0">
      <items count="8">
        <item x="1"/>
        <item x="2"/>
        <item x="3"/>
        <item x="4"/>
        <item x="5"/>
        <item x="6"/>
        <item x="0"/>
        <item t="default"/>
      </items>
    </pivotField>
    <pivotField showAll="0"/>
    <pivotField showAll="0"/>
    <pivotField showAll="0"/>
    <pivotField showAll="0">
      <items count="3">
        <item x="1"/>
        <item x="0"/>
        <item t="default"/>
      </items>
    </pivotField>
    <pivotField showAll="0"/>
    <pivotField showAll="0"/>
    <pivotField dataField="1" numFmtId="43" showAll="0"/>
    <pivotField dataField="1" numFmtId="1" showAll="0"/>
    <pivotField dataField="1" numFmtId="165" showAll="0"/>
    <pivotField dataField="1" numFmtId="165" showAll="0"/>
    <pivotField numFmtId="10" showAll="0"/>
    <pivotField showAll="0"/>
    <pivotField numFmtId="165" showAll="0"/>
    <pivotField numFmtId="165" showAll="0"/>
    <pivotField numFmtId="164" showAll="0"/>
    <pivotField numFmtId="10" showAll="0"/>
    <pivotField showAll="0"/>
    <pivotField numFmtId="10" showAll="0"/>
    <pivotField numFmtId="2" showAll="0"/>
    <pivotField showAll="0"/>
  </pivotFields>
  <rowItems count="1">
    <i/>
  </rowItems>
  <colFields count="1">
    <field x="-2"/>
  </colFields>
  <colItems count="4">
    <i>
      <x/>
    </i>
    <i i="1">
      <x v="1"/>
    </i>
    <i i="2">
      <x v="2"/>
    </i>
    <i i="3">
      <x v="3"/>
    </i>
  </colItems>
  <dataFields count="4">
    <dataField name="Sum of Amount Spent" fld="9" baseField="0" baseItem="0"/>
    <dataField name="Sum of Clicks" fld="10" baseField="0" baseItem="0"/>
    <dataField name="Average of Total Impressions" fld="12" subtotal="average" baseField="0" baseItem="1"/>
    <dataField name="Sum of Paid Reach" fld="11" baseField="0" baseItem="1"/>
  </dataFields>
  <formats count="1">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rget_Group" sourceName="Target Group">
  <pivotTables>
    <pivotTable tabId="8" name="Campaign_Ctr"/>
    <pivotTable tabId="8" name="PivotTable10"/>
    <pivotTable tabId="8" name="PivotTable11"/>
    <pivotTable tabId="8" name="PivotTable14"/>
    <pivotTable tabId="8" name="PivotTable15"/>
    <pivotTable tabId="8" name="PivotTable18"/>
    <pivotTable tabId="8" name="PivotTable3"/>
    <pivotTable tabId="8" name="Tiktok_cpc"/>
    <pivotTable tabId="8" name="tiktok_total_amount"/>
  </pivotTables>
  <data>
    <tabular pivotCacheId="1">
      <items count="7">
        <i x="1" s="1"/>
        <i x="2" s="1"/>
        <i x="3" s="1"/>
        <i x="4" s="1"/>
        <i x="5"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anguage" sourceName="Language ">
  <pivotTables>
    <pivotTable tabId="8" name="Campaign_Ctr"/>
    <pivotTable tabId="8" name="PivotTable10"/>
    <pivotTable tabId="8" name="PivotTable11"/>
    <pivotTable tabId="8" name="PivotTable14"/>
    <pivotTable tabId="8" name="PivotTable15"/>
    <pivotTable tabId="8" name="PivotTable18"/>
    <pivotTable tabId="8" name="PivotTable3"/>
    <pivotTable tabId="8" name="Tiktok_cpc"/>
    <pivotTable tabId="8" name="tiktok_total_amount"/>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anguage1" sourceName="[Range].[Language]">
  <pivotTables>
    <pivotTable tabId="15" name="Performance"/>
    <pivotTable tabId="15" name="mata_cpc"/>
    <pivotTable tabId="15" name="meta_total_amount"/>
    <pivotTable tabId="15" name="PivotTable11"/>
    <pivotTable tabId="15" name="PivotTable12"/>
    <pivotTable tabId="15" name="PivotTable15"/>
    <pivotTable tabId="15" name="PivotTable16"/>
    <pivotTable tabId="15" name="PivotTable20"/>
    <pivotTable tabId="15" name="PivotTable22"/>
    <pivotTable tabId="15" name="PivotTable4"/>
  </pivotTables>
  <data>
    <olap pivotCacheId="13">
      <levels count="2">
        <level uniqueName="[Range].[Language].[(All)]" sourceCaption="(All)" count="0"/>
        <level uniqueName="[Range].[Language].[Language]" sourceCaption="Language" count="2">
          <ranges>
            <range startItem="0">
              <i n="[Range].[Language].&amp;[AR]" c="AR"/>
              <i n="[Range].[Language].&amp;[EN]" c="EN"/>
            </range>
          </ranges>
        </level>
      </levels>
      <selections count="1">
        <selection n="[Range].[Langua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rget_Group1" sourceName="[Range].[Target Group]">
  <pivotTables>
    <pivotTable tabId="15" name="Performance"/>
    <pivotTable tabId="15" name="mata_cpc"/>
    <pivotTable tabId="15" name="meta_total_amount"/>
    <pivotTable tabId="15" name="PivotTable11"/>
    <pivotTable tabId="15" name="PivotTable12"/>
    <pivotTable tabId="15" name="PivotTable15"/>
    <pivotTable tabId="15" name="PivotTable16"/>
    <pivotTable tabId="15" name="PivotTable20"/>
    <pivotTable tabId="15" name="PivotTable22"/>
    <pivotTable tabId="15" name="PivotTable4"/>
  </pivotTables>
  <data>
    <olap pivotCacheId="13">
      <levels count="2">
        <level uniqueName="[Range].[Target Group].[(All)]" sourceCaption="(All)" count="0"/>
        <level uniqueName="[Range].[Target Group].[Target Group]" sourceCaption="Target Group" count="7">
          <ranges>
            <range startItem="0">
              <i n="[Range].[Target Group].&amp;[Bahrain Target Group]" c="Bahrain Target Group"/>
              <i n="[Range].[Target Group].&amp;[Jeddah Target Group]" c="Jeddah Target Group"/>
              <i n="[Range].[Target Group].&amp;[Kuwait Target Group]" c="Kuwait Target Group"/>
              <i n="[Range].[Target Group].&amp;[Oman Target Group]" c="Oman Target Group"/>
              <i n="[Range].[Target Group].&amp;[Qatar Target Group]" c="Qatar Target Group"/>
              <i n="[Range].[Target Group].&amp;[Riyadh Target Group]" c="Riyadh Target Group"/>
              <i n="[Range].[Target Group].&amp;[United Arab Emirates Target Group]" c="United Arab Emirates Target Group"/>
            </range>
          </ranges>
        </level>
      </levels>
      <selections count="1">
        <selection n="[Range].[Target 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arget_Group2" sourceName="Target Group">
  <pivotTables>
    <pivotTable tabId="16" name="PivotTable1"/>
    <pivotTable tabId="16" name="PivotTable13"/>
    <pivotTable tabId="16" name="PivotTable14"/>
    <pivotTable tabId="16" name="PivotTable16"/>
    <pivotTable tabId="16" name="PivotTable17"/>
    <pivotTable tabId="16" name="PivotTable23"/>
    <pivotTable tabId="16" name="PivotTable5"/>
    <pivotTable tabId="16" name="PivotTable7"/>
    <pivotTable tabId="16" name="snap_total"/>
  </pivotTables>
  <data>
    <tabular pivotCacheId="3">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anguage2" sourceName="Language">
  <pivotTables>
    <pivotTable tabId="16" name="PivotTable1"/>
    <pivotTable tabId="16" name="PivotTable13"/>
    <pivotTable tabId="16" name="PivotTable14"/>
    <pivotTable tabId="16" name="PivotTable16"/>
    <pivotTable tabId="16" name="PivotTable17"/>
    <pivotTable tabId="16" name="PivotTable23"/>
    <pivotTable tabId="16" name="PivotTable5"/>
    <pivotTable tabId="16" name="PivotTable7"/>
    <pivotTable tabId="16" name="snap_total"/>
  </pivotTables>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rget Group" cache="Slicer_Target_Group" caption="Target Group" style="SlicerStyleLight1" rowHeight="241300"/>
  <slicer name="Language " cache="Slicer_Language" caption="Language "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anguage" cache="Slicer_Language1" caption="Language" level="1" style="SlicerStyleLight1" rowHeight="241300"/>
  <slicer name="Target Group 3" cache="Slicer_Target_Group1" caption="Target Group" level="1"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arget Group 5" cache="Slicer_Target_Group2" caption="Target Group" style="SlicerStyleLight1" rowHeight="241300"/>
  <slicer name="Language 2" cache="Slicer_Language2" caption="Language" style="SlicerStyleLight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arget Group 1" cache="Slicer_Target_Group" caption="Target Group" columnCount="2" style="SlicerStyleLight5" rowHeight="241300"/>
  <slicer name="Language  1" cache="Slicer_Language" caption="Language " columnCount="2" style="SlicerStyleLight5" rowHeight="274320"/>
</slicers>
</file>

<file path=xl/slicers/slicer5.xml><?xml version="1.0" encoding="utf-8"?>
<slicers xmlns="http://schemas.microsoft.com/office/spreadsheetml/2009/9/main" xmlns:mc="http://schemas.openxmlformats.org/markup-compatibility/2006" xmlns:x="http://schemas.openxmlformats.org/spreadsheetml/2006/main" mc:Ignorable="x">
  <slicer name="Target Group 2" cache="Slicer_Target_Group" caption="Target Group" columnCount="2" style="SlicerStyleLight2" rowHeight="241300"/>
  <slicer name="Language  2" cache="Slicer_Language" caption="Language " columnCount="2" style="SlicerStyleLight2" rowHeight="274320"/>
</slicers>
</file>

<file path=xl/slicers/slicer6.xml><?xml version="1.0" encoding="utf-8"?>
<slicers xmlns="http://schemas.microsoft.com/office/spreadsheetml/2009/9/main" xmlns:mc="http://schemas.openxmlformats.org/markup-compatibility/2006" xmlns:x="http://schemas.openxmlformats.org/spreadsheetml/2006/main" mc:Ignorable="x">
  <slicer name="Language 1" cache="Slicer_Language1" caption="Language" columnCount="2" level="1" style="SlicerStyleOther2" rowHeight="241300"/>
  <slicer name="Target Group 4" cache="Slicer_Target_Group1" caption="Target Group" columnCount="2" level="1" style="SlicerStyleOther2"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Target Group 6" cache="Slicer_Target_Group2" caption="Target Group" columnCount="2" style="Slicer Style 2" rowHeight="241300"/>
  <slicer name="Language 3" cache="Slicer_Language2" caption="Language" columnCount="2" style="Slicer Style 2" rowHeight="241300"/>
</slicers>
</file>

<file path=xl/tables/table1.xml><?xml version="1.0" encoding="utf-8"?>
<table xmlns="http://schemas.openxmlformats.org/spreadsheetml/2006/main" id="1" name="Table1" displayName="Table1" ref="A1:W73" totalsRowShown="0" headerRowDxfId="188" headerRowBorderDxfId="187" tableBorderDxfId="186" totalsRowBorderDxfId="185">
  <autoFilter ref="A1:W73"/>
  <sortState ref="A2:U73">
    <sortCondition ref="A1:A73"/>
  </sortState>
  <tableColumns count="23">
    <tableColumn id="1" name="Market" dataDxfId="184"/>
    <tableColumn id="2" name="Campaign Name" dataDxfId="183"/>
    <tableColumn id="3" name="Target Group" dataDxfId="182">
      <calculatedColumnFormula>IF(A2 = "AE","United Arab Emirates Target Group",IF(A2 = "BAH","Bahrain Target Group",IF(A2="JED","Jeddah Target Group",IF(A2="KWT","Kuwait Target Group",IF(A2="QAT","Qatar Target Group",IF(A2="RIY","RiyadhTarget Group","Oman Target Group"))))))</calculatedColumnFormula>
    </tableColumn>
    <tableColumn id="4" name="Ad Group Name" dataDxfId="181"/>
    <tableColumn id="5" name="Audience" dataDxfId="180"/>
    <tableColumn id="6" name="Ad Name" dataDxfId="179"/>
    <tableColumn id="7" name="Language " dataDxfId="178"/>
    <tableColumn id="8" name="Format" dataDxfId="177"/>
    <tableColumn id="9" name="Creative Variation" dataDxfId="176"/>
    <tableColumn id="10" name="Amount Spent" dataDxfId="175" dataCellStyle="Comma"/>
    <tableColumn id="11" name="Clicks" dataDxfId="174" dataCellStyle="Comma"/>
    <tableColumn id="12" name="Paid Reach" dataDxfId="173" dataCellStyle="Comma"/>
    <tableColumn id="13" name="Total Impressions" dataDxfId="172" dataCellStyle="Comma"/>
    <tableColumn id="14" name="CTR" dataDxfId="171">
      <calculatedColumnFormula>(Table1[[#This Row],[Clicks]]/Table1[[#This Row],[Total Impressions]])*100</calculatedColumnFormula>
    </tableColumn>
    <tableColumn id="15" name="CPM" dataDxfId="170"/>
    <tableColumn id="16" name="2 Second Video Views" dataDxfId="169" dataCellStyle="Comma"/>
    <tableColumn id="17" name="Video Completions" dataDxfId="168" dataCellStyle="Comma"/>
    <tableColumn id="18" name="VTR (2 Sec)" dataDxfId="167" dataCellStyle="Percent">
      <calculatedColumnFormula>(P2/M2)</calculatedColumnFormula>
    </tableColumn>
    <tableColumn id="19" name="VTR (Complete)" dataDxfId="166" dataCellStyle="Percent">
      <calculatedColumnFormula>(Q2/M2)</calculatedColumnFormula>
    </tableColumn>
    <tableColumn id="20" name="Total Engagement" dataDxfId="165"/>
    <tableColumn id="21" name="Engagement Rate" dataDxfId="164"/>
    <tableColumn id="22" name="CPC" dataDxfId="163">
      <calculatedColumnFormula>IF(Table1[[#This Row],[Clicks]]= 0,0,Table1[[#This Row],[Amount Spent]]/Table1[[#This Row],[Clicks]])</calculatedColumnFormula>
    </tableColumn>
    <tableColumn id="23" name="Platform" dataDxfId="162"/>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U427" totalsRowShown="0" headerRowDxfId="160" dataDxfId="158" headerRowBorderDxfId="159" tableBorderDxfId="157" totalsRowBorderDxfId="156" dataCellStyle="Percent">
  <autoFilter ref="A1:U427"/>
  <sortState ref="A2:U427">
    <sortCondition ref="A1:A427"/>
  </sortState>
  <tableColumns count="21">
    <tableColumn id="1" name="Market" dataDxfId="155"/>
    <tableColumn id="2" name="Campaign Name" dataDxfId="154"/>
    <tableColumn id="3" name="Target Group" dataDxfId="153"/>
    <tableColumn id="4" name="Audience" dataDxfId="152"/>
    <tableColumn id="5" name="Ad name" dataDxfId="151"/>
    <tableColumn id="6" name="Language" dataDxfId="150"/>
    <tableColumn id="7" name="Format" dataDxfId="149"/>
    <tableColumn id="8" name="Creative variations" dataDxfId="148"/>
    <tableColumn id="9" name="Reach" dataDxfId="147"/>
    <tableColumn id="10" name="Impressions" dataDxfId="146"/>
    <tableColumn id="11" name="Amount spent " dataDxfId="145"/>
    <tableColumn id="12" name="Link clicks" dataDxfId="144"/>
    <tableColumn id="13" name="3-second video plays" dataDxfId="143"/>
    <tableColumn id="14" name="Video plays at 100%" dataDxfId="142"/>
    <tableColumn id="15" name="CTR (all)" dataDxfId="141" dataCellStyle="Percent">
      <calculatedColumnFormula>IF(J2=0,0,(L2/J2)*100)</calculatedColumnFormula>
    </tableColumn>
    <tableColumn id="16" name="CTR Comments" dataDxfId="140" dataCellStyle="Percent">
      <calculatedColumnFormula>IF(O2&gt;0.2,"Good","Bad")</calculatedColumnFormula>
    </tableColumn>
    <tableColumn id="17" name="VTR" dataDxfId="139" dataCellStyle="Percent">
      <calculatedColumnFormula>M2/J2</calculatedColumnFormula>
    </tableColumn>
    <tableColumn id="18" name="Post engagement" dataDxfId="138"/>
    <tableColumn id="19" name="Engagement Rate" dataDxfId="137" dataCellStyle="Normal 5"/>
    <tableColumn id="20" name="CPC" dataDxfId="136" dataCellStyle="Percent">
      <calculatedColumnFormula>IF(Table4[[#This Row],[Link clicks]]=0,0,Table4[[#This Row],[Amount spent ]]/Table4[[#This Row],[Link clicks]])</calculatedColumnFormula>
    </tableColumn>
    <tableColumn id="21" name="Platform" dataDxfId="135" dataCellStyle="Percent"/>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X54" totalsRowShown="0" headerRowDxfId="134" tableBorderDxfId="133">
  <autoFilter ref="A1:X54"/>
  <tableColumns count="24">
    <tableColumn id="1" name="Market" dataDxfId="132"/>
    <tableColumn id="2" name="Campaign Name" dataDxfId="131" dataCellStyle="Normal 2"/>
    <tableColumn id="3" name="Target Group" dataDxfId="130">
      <calculatedColumnFormula>IF(A2 = "UAE","United Arab Emirates Target Group",IF(A2 = "BAH","Bahrain Target Group",IF(A2="JED","Jeddah Target Group",IF(A2="KWT","Kuwait Target Group",IF(A2="QAT","Qatar Target Group",IF(A2="RIY","Riyadh Target Group","Oman Target Group"))))))</calculatedColumnFormula>
    </tableColumn>
    <tableColumn id="4" name="Campaign Strategy" dataDxfId="129"/>
    <tableColumn id="5" name="Ad Group Name" dataDxfId="128" dataCellStyle="Normal 2"/>
    <tableColumn id="6" name="Audience" dataDxfId="127"/>
    <tableColumn id="7" name="Ad Name" dataDxfId="126" dataCellStyle="Normal 2"/>
    <tableColumn id="8" name="Language" dataDxfId="125"/>
    <tableColumn id="9" name="Format" dataDxfId="124"/>
    <tableColumn id="10" name="Creative Variation" dataDxfId="123"/>
    <tableColumn id="11" name="Amount Spent" dataDxfId="122" dataCellStyle="Comma"/>
    <tableColumn id="12" name="Swipe Up Rate" dataDxfId="121" dataCellStyle="Normal 2"/>
    <tableColumn id="13" name="Paid Reach" dataDxfId="120" dataCellStyle="Comma"/>
    <tableColumn id="14" name="Paid Frequency" dataDxfId="119" dataCellStyle="Normal 2"/>
    <tableColumn id="15" name="Paid eCPM" dataDxfId="118" dataCellStyle="Normal 2"/>
    <tableColumn id="16" name="2 Second Video Views" dataDxfId="117" dataCellStyle="Comma"/>
    <tableColumn id="17" name="Video Completions" dataDxfId="116" dataCellStyle="Comma"/>
    <tableColumn id="18" name="VTR%" dataDxfId="115" dataCellStyle="Percent">
      <calculatedColumnFormula>P2/S2</calculatedColumnFormula>
    </tableColumn>
    <tableColumn id="19" name="Total Impressions" dataDxfId="114" dataCellStyle="Comma"/>
    <tableColumn id="20" name="Swipe Ups" dataDxfId="113"/>
    <tableColumn id="21" name="CTR" dataDxfId="112" dataCellStyle="Percent">
      <calculatedColumnFormula>(T2/S2)*100</calculatedColumnFormula>
    </tableColumn>
    <tableColumn id="22" name="Engagement">
      <calculatedColumnFormula>IF(T2 &gt;1000,"High","Low")</calculatedColumnFormula>
    </tableColumn>
    <tableColumn id="23" name="CPC" dataDxfId="111">
      <calculatedColumnFormula>IF(Table2[[#This Row],[Swipe Ups]]=0,0,Table2[[#This Row],[Amount Spent]]/Table2[[#This Row],[Swipe Ups]])</calculatedColumnFormula>
    </tableColumn>
    <tableColumn id="24" name="Platform"/>
  </tableColumns>
  <tableStyleInfo name="TableStyleMedium2" showFirstColumn="0" showLastColumn="0" showRowStripes="1" showColumnStripes="0"/>
</table>
</file>

<file path=xl/tables/table4.xml><?xml version="1.0" encoding="utf-8"?>
<table xmlns="http://schemas.openxmlformats.org/spreadsheetml/2006/main" id="5" name="CPC" displayName="CPC" ref="A2:B5" totalsRowShown="0">
  <autoFilter ref="A2:B5"/>
  <tableColumns count="2">
    <tableColumn id="1" name="Platforms"/>
    <tableColumn id="2" name="Average CPC" dataDxfId="11"/>
  </tableColumns>
  <tableStyleInfo name="TableStyleMedium1" showFirstColumn="0" showLastColumn="0" showRowStripes="1" showColumnStripes="0"/>
</table>
</file>

<file path=xl/tables/table5.xml><?xml version="1.0" encoding="utf-8"?>
<table xmlns="http://schemas.openxmlformats.org/spreadsheetml/2006/main" id="6" name="Video_views" displayName="Video_views" ref="A20:B23" totalsRowShown="0">
  <autoFilter ref="A20:B23"/>
  <tableColumns count="2">
    <tableColumn id="1" name="Platforms"/>
    <tableColumn id="2" name="Total Video Views" dataDxfId="10">
      <calculatedColumnFormula>GETPIVOTDATA("2 Second Video Views",Tiktok_pivot_table!$A$26,"Platform","TikTok")</calculatedColumnFormula>
    </tableColumn>
  </tableColumns>
  <tableStyleInfo name="TableStyleMedium1" showFirstColumn="0" showLastColumn="0" showRowStripes="1" showColumnStripes="0"/>
</table>
</file>

<file path=xl/tables/table6.xml><?xml version="1.0" encoding="utf-8"?>
<table xmlns="http://schemas.openxmlformats.org/spreadsheetml/2006/main" id="3" name="Table3" displayName="Table3" ref="A12:E16" totalsRowShown="0" headerRowDxfId="9" headerRowBorderDxfId="8" tableBorderDxfId="7">
  <autoFilter ref="A12:E16"/>
  <tableColumns count="5">
    <tableColumn id="1" name="Platforms"/>
    <tableColumn id="2" name="Amount Spend"/>
    <tableColumn id="3" name="Total Clicks" dataDxfId="6" dataCellStyle="Currency"/>
    <tableColumn id="4" name="Avg Impression" dataDxfId="5" dataCellStyle="Currency"/>
    <tableColumn id="5" name="Total Reach" dataDxfId="4"/>
  </tableColumns>
  <tableStyleInfo name="TableStyleMedium2" showFirstColumn="0" showLastColumn="0" showRowStripes="1" showColumnStripes="0"/>
</table>
</file>

<file path=xl/tables/table7.xml><?xml version="1.0" encoding="utf-8"?>
<table xmlns="http://schemas.openxmlformats.org/spreadsheetml/2006/main" id="8" name="Video_views9" displayName="Video_views9" ref="A30:C33" totalsRowShown="0">
  <autoFilter ref="A30:C33"/>
  <tableColumns count="3">
    <tableColumn id="1" name="Platforms"/>
    <tableColumn id="2" name="AR Language " dataDxfId="3">
      <calculatedColumnFormula>GETPIVOTDATA("2 Second Video Views",Tiktok_pivot_table!$A$26,"Platform","TikTok")</calculatedColumnFormula>
    </tableColumn>
    <tableColumn id="3" name="EN Language " dataDxfId="2">
      <calculatedColumnFormula>GETPIVOTDATA("Clicks",Tiktok_pivot_table!$A$31,"Language ","EN","Platform","TikTok")</calculatedColumnFormula>
    </tableColumn>
  </tableColumns>
  <tableStyleInfo name="TableStyleMedium1" showFirstColumn="0" showLastColumn="0" showRowStripes="1" showColumnStripes="0"/>
</table>
</file>

<file path=xl/tables/table8.xml><?xml version="1.0" encoding="utf-8"?>
<table xmlns="http://schemas.openxmlformats.org/spreadsheetml/2006/main" id="9" name="Video_views910" displayName="Video_views910" ref="A40:B43" totalsRowShown="0">
  <autoFilter ref="A40:B43"/>
  <tableColumns count="2">
    <tableColumn id="1" name="Platforms"/>
    <tableColumn id="2" name="Paid Reach" dataDxfId="1">
      <calculatedColumnFormula>GETPIVOTDATA("2 Second Video Views",Tiktok_pivot_table!$A$26,"Platform","TikTok")</calculatedColumnFormula>
    </tableColumn>
  </tableColumns>
  <tableStyleInfo name="TableStyleMedium1" showFirstColumn="0" showLastColumn="0" showRowStripes="1" showColumnStripes="0"/>
</table>
</file>

<file path=xl/tables/table9.xml><?xml version="1.0" encoding="utf-8"?>
<table xmlns="http://schemas.openxmlformats.org/spreadsheetml/2006/main" id="10" name="Video_views91011" displayName="Video_views91011" ref="A49:B52" totalsRowShown="0">
  <autoFilter ref="A49:B52"/>
  <tableColumns count="2">
    <tableColumn id="1" name="Platforms"/>
    <tableColumn id="2" name="Average CTR" dataDxfId="0">
      <calculatedColumnFormula>GETPIVOTDATA("2 Second Video Views",Tiktok_pivot_table!$A$26,"Platform","TikTok")</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microsoft.com/office/2007/relationships/slicer" Target="../slicers/slicer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drawing" Target="../drawings/drawing2.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7.xml"/><Relationship Id="rId3" Type="http://schemas.openxmlformats.org/officeDocument/2006/relationships/pivotTable" Target="../pivotTables/pivotTable22.xml"/><Relationship Id="rId7" Type="http://schemas.openxmlformats.org/officeDocument/2006/relationships/pivotTable" Target="../pivotTables/pivotTable26.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11" Type="http://schemas.microsoft.com/office/2007/relationships/slicer" Target="../slicers/slicer3.xml"/><Relationship Id="rId5" Type="http://schemas.openxmlformats.org/officeDocument/2006/relationships/pivotTable" Target="../pivotTables/pivotTable24.xml"/><Relationship Id="rId10" Type="http://schemas.openxmlformats.org/officeDocument/2006/relationships/drawing" Target="../drawings/drawing3.xml"/><Relationship Id="rId4" Type="http://schemas.openxmlformats.org/officeDocument/2006/relationships/pivotTable" Target="../pivotTables/pivotTable23.xml"/><Relationship Id="rId9" Type="http://schemas.openxmlformats.org/officeDocument/2006/relationships/pivotTable" Target="../pivotTables/pivotTable28.xml"/></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tabSelected="1" topLeftCell="L1" zoomScaleNormal="100" workbookViewId="0">
      <pane ySplit="1" topLeftCell="A2" activePane="bottomLeft" state="frozen"/>
      <selection pane="bottomLeft" activeCell="A74" sqref="A74:XFD77"/>
    </sheetView>
  </sheetViews>
  <sheetFormatPr defaultColWidth="10.140625" defaultRowHeight="15" x14ac:dyDescent="0.25"/>
  <cols>
    <col min="1" max="1" width="13.7109375" style="18" customWidth="1"/>
    <col min="2" max="2" width="26.28515625" style="18" customWidth="1"/>
    <col min="3" max="3" width="25.28515625" style="18" customWidth="1"/>
    <col min="4" max="4" width="23" style="18" customWidth="1"/>
    <col min="5" max="5" width="13.28515625" style="18" bestFit="1" customWidth="1"/>
    <col min="6" max="6" width="13.28515625" style="18" customWidth="1"/>
    <col min="7" max="7" width="12.28515625" style="18" customWidth="1"/>
    <col min="8" max="8" width="10.140625" style="18"/>
    <col min="9" max="9" width="18.7109375" style="18" customWidth="1"/>
    <col min="10" max="10" width="16.140625" style="18" customWidth="1"/>
    <col min="11" max="11" width="8.85546875" style="18" customWidth="1"/>
    <col min="12" max="12" width="13.28515625" style="18" customWidth="1"/>
    <col min="13" max="13" width="17.5703125" style="18" customWidth="1"/>
    <col min="14" max="15" width="10.140625" style="18"/>
    <col min="16" max="16" width="24.5703125" style="18" customWidth="1"/>
    <col min="17" max="17" width="20.85546875" style="18" customWidth="1"/>
    <col min="18" max="18" width="12.28515625" style="18" customWidth="1"/>
    <col min="19" max="19" width="16.140625" style="18" customWidth="1"/>
    <col min="20" max="20" width="18.140625" style="18" customWidth="1"/>
    <col min="21" max="21" width="17.7109375" style="18" customWidth="1"/>
    <col min="22" max="16384" width="10.140625" style="18"/>
  </cols>
  <sheetData>
    <row r="1" spans="1:23" x14ac:dyDescent="0.25">
      <c r="A1" s="30" t="s">
        <v>0</v>
      </c>
      <c r="B1" s="31" t="s">
        <v>1</v>
      </c>
      <c r="C1" s="31" t="s">
        <v>394</v>
      </c>
      <c r="D1" s="32" t="s">
        <v>12</v>
      </c>
      <c r="E1" s="31" t="s">
        <v>2</v>
      </c>
      <c r="F1" s="31" t="s">
        <v>3</v>
      </c>
      <c r="G1" s="31" t="s">
        <v>76</v>
      </c>
      <c r="H1" s="31" t="s">
        <v>4</v>
      </c>
      <c r="I1" s="31" t="s">
        <v>5</v>
      </c>
      <c r="J1" s="31" t="s">
        <v>6</v>
      </c>
      <c r="K1" s="31" t="s">
        <v>7</v>
      </c>
      <c r="L1" s="31" t="s">
        <v>8</v>
      </c>
      <c r="M1" s="31" t="s">
        <v>9</v>
      </c>
      <c r="N1" s="32" t="s">
        <v>13</v>
      </c>
      <c r="O1" s="32" t="s">
        <v>14</v>
      </c>
      <c r="P1" s="31" t="s">
        <v>10</v>
      </c>
      <c r="Q1" s="31" t="s">
        <v>11</v>
      </c>
      <c r="R1" s="31" t="s">
        <v>79</v>
      </c>
      <c r="S1" s="31" t="s">
        <v>80</v>
      </c>
      <c r="T1" s="31" t="s">
        <v>346</v>
      </c>
      <c r="U1" s="33" t="s">
        <v>347</v>
      </c>
      <c r="V1" s="31" t="s">
        <v>404</v>
      </c>
      <c r="W1" s="31" t="s">
        <v>410</v>
      </c>
    </row>
    <row r="2" spans="1:23" x14ac:dyDescent="0.25">
      <c r="A2" s="28" t="s">
        <v>72</v>
      </c>
      <c r="B2" s="19" t="s">
        <v>366</v>
      </c>
      <c r="C2" s="19" t="str">
        <f>IF(A2 = "AE","United Arab Emirates Target Group",IF(A2 = "BAH","Bahrain Target Group",IF(A2="JED","Jeddah Target Group",IF(A2="KWT","Kuwait Target Group",IF(A2="QAT","Qatar Target Group",IF(A2="RIY","RiyadhTarget Group","Oman Target Group"))))))</f>
        <v>United Arab Emirates Target Group</v>
      </c>
      <c r="D2" s="19" t="s">
        <v>374</v>
      </c>
      <c r="E2" s="19" t="s">
        <v>73</v>
      </c>
      <c r="F2" s="19" t="s">
        <v>54</v>
      </c>
      <c r="G2" s="19" t="s">
        <v>78</v>
      </c>
      <c r="H2" s="19" t="s">
        <v>74</v>
      </c>
      <c r="I2" s="19" t="s">
        <v>75</v>
      </c>
      <c r="J2" s="20">
        <v>2552.96</v>
      </c>
      <c r="K2" s="21">
        <v>3534</v>
      </c>
      <c r="L2" s="22">
        <v>1640434</v>
      </c>
      <c r="M2" s="22">
        <v>2331205</v>
      </c>
      <c r="N2" s="81">
        <f>(Table1[[#This Row],[Clicks]]/Table1[[#This Row],[Total Impressions]])*100</f>
        <v>0.15159541953624842</v>
      </c>
      <c r="O2" s="19">
        <v>1.1000000000000001</v>
      </c>
      <c r="P2" s="22">
        <v>212666</v>
      </c>
      <c r="Q2" s="22">
        <v>4535</v>
      </c>
      <c r="R2" s="23">
        <f t="shared" ref="R2:R33" si="0">(P2/M2)</f>
        <v>9.1225782374351458E-2</v>
      </c>
      <c r="S2" s="24">
        <f t="shared" ref="S2:S33" si="1">(Q2/M2)</f>
        <v>1.9453458619040367E-3</v>
      </c>
      <c r="T2" s="22">
        <v>8539</v>
      </c>
      <c r="U2" s="29">
        <v>3.7000000000000002E-3</v>
      </c>
      <c r="V2" s="60">
        <f>IF(Table1[[#This Row],[Clicks]]= 0,0,Table1[[#This Row],[Amount Spent]]/Table1[[#This Row],[Clicks]])</f>
        <v>0.72239954725523492</v>
      </c>
      <c r="W2" s="18" t="s">
        <v>354</v>
      </c>
    </row>
    <row r="3" spans="1:23" x14ac:dyDescent="0.25">
      <c r="A3" s="28" t="s">
        <v>72</v>
      </c>
      <c r="B3" s="19" t="s">
        <v>366</v>
      </c>
      <c r="C3" s="19" t="str">
        <f t="shared" ref="C3:C66" si="2">IF(A3 = "AE","United Arab Emirates Target Group",IF(A3 = "BAH","Bahrain Target Group",IF(A3="JED","Jeddah Target Group",IF(A3="KWT","Kuwait Target Group",IF(A3="QAT","Qatar Target Group",IF(A3="RIY","RiyadhTarget Group","Oman Target Group"))))))</f>
        <v>United Arab Emirates Target Group</v>
      </c>
      <c r="D3" s="19" t="s">
        <v>374</v>
      </c>
      <c r="E3" s="19" t="s">
        <v>73</v>
      </c>
      <c r="F3" s="19" t="s">
        <v>55</v>
      </c>
      <c r="G3" s="19" t="s">
        <v>78</v>
      </c>
      <c r="H3" s="19" t="s">
        <v>74</v>
      </c>
      <c r="I3" s="19" t="s">
        <v>75</v>
      </c>
      <c r="J3" s="20">
        <v>2494.69</v>
      </c>
      <c r="K3" s="21">
        <v>3494</v>
      </c>
      <c r="L3" s="22">
        <v>1607282</v>
      </c>
      <c r="M3" s="22">
        <v>2288879</v>
      </c>
      <c r="N3" s="81">
        <f>(Table1[[#This Row],[Clicks]]/Table1[[#This Row],[Total Impressions]])*100</f>
        <v>0.15265114494912138</v>
      </c>
      <c r="O3" s="19">
        <v>1.0900000000000001</v>
      </c>
      <c r="P3" s="22">
        <v>221321</v>
      </c>
      <c r="Q3" s="22">
        <v>6055</v>
      </c>
      <c r="R3" s="23">
        <f t="shared" si="0"/>
        <v>9.6694058532582977E-2</v>
      </c>
      <c r="S3" s="24">
        <f t="shared" si="1"/>
        <v>2.6453997786689467E-3</v>
      </c>
      <c r="T3" s="22">
        <v>8319</v>
      </c>
      <c r="U3" s="29">
        <v>3.5999999999999999E-3</v>
      </c>
      <c r="V3" s="60">
        <f>IF(Table1[[#This Row],[Clicks]]= 0,0,Table1[[#This Row],[Amount Spent]]/Table1[[#This Row],[Clicks]])</f>
        <v>0.71399255867200917</v>
      </c>
      <c r="W3" s="18" t="s">
        <v>354</v>
      </c>
    </row>
    <row r="4" spans="1:23" x14ac:dyDescent="0.25">
      <c r="A4" s="28" t="s">
        <v>72</v>
      </c>
      <c r="B4" s="19" t="s">
        <v>366</v>
      </c>
      <c r="C4" s="19" t="str">
        <f t="shared" si="2"/>
        <v>United Arab Emirates Target Group</v>
      </c>
      <c r="D4" s="19" t="s">
        <v>374</v>
      </c>
      <c r="E4" s="19" t="s">
        <v>73</v>
      </c>
      <c r="F4" s="19" t="s">
        <v>56</v>
      </c>
      <c r="G4" s="19" t="s">
        <v>77</v>
      </c>
      <c r="H4" s="19" t="s">
        <v>74</v>
      </c>
      <c r="I4" s="19" t="s">
        <v>75</v>
      </c>
      <c r="J4" s="20">
        <v>2461.48</v>
      </c>
      <c r="K4" s="21">
        <v>2936</v>
      </c>
      <c r="L4" s="22">
        <v>1594418</v>
      </c>
      <c r="M4" s="22">
        <v>2264381</v>
      </c>
      <c r="N4" s="81">
        <f>(Table1[[#This Row],[Clicks]]/Table1[[#This Row],[Total Impressions]])*100</f>
        <v>0.12966015878069989</v>
      </c>
      <c r="O4" s="19">
        <v>1.0900000000000001</v>
      </c>
      <c r="P4" s="22">
        <v>251997</v>
      </c>
      <c r="Q4" s="22">
        <v>5863</v>
      </c>
      <c r="R4" s="23">
        <f t="shared" si="0"/>
        <v>0.11128736727609002</v>
      </c>
      <c r="S4" s="24">
        <f t="shared" si="1"/>
        <v>2.5892285794660882E-3</v>
      </c>
      <c r="T4" s="22">
        <v>8219</v>
      </c>
      <c r="U4" s="29">
        <v>3.5999999999999999E-3</v>
      </c>
      <c r="V4" s="60">
        <f>IF(Table1[[#This Row],[Clicks]]= 0,0,Table1[[#This Row],[Amount Spent]]/Table1[[#This Row],[Clicks]])</f>
        <v>0.83837874659400546</v>
      </c>
      <c r="W4" s="18" t="s">
        <v>354</v>
      </c>
    </row>
    <row r="5" spans="1:23" x14ac:dyDescent="0.25">
      <c r="A5" s="28" t="s">
        <v>72</v>
      </c>
      <c r="B5" s="19" t="s">
        <v>366</v>
      </c>
      <c r="C5" s="19" t="str">
        <f t="shared" si="2"/>
        <v>United Arab Emirates Target Group</v>
      </c>
      <c r="D5" s="19" t="s">
        <v>374</v>
      </c>
      <c r="E5" s="19" t="s">
        <v>73</v>
      </c>
      <c r="F5" s="19" t="s">
        <v>57</v>
      </c>
      <c r="G5" s="19" t="s">
        <v>77</v>
      </c>
      <c r="H5" s="19" t="s">
        <v>74</v>
      </c>
      <c r="I5" s="19" t="s">
        <v>75</v>
      </c>
      <c r="J5" s="20">
        <v>2332.7800000000002</v>
      </c>
      <c r="K5" s="21">
        <v>2719</v>
      </c>
      <c r="L5" s="22">
        <v>1548287</v>
      </c>
      <c r="M5" s="22">
        <v>2168009</v>
      </c>
      <c r="N5" s="81">
        <f>(Table1[[#This Row],[Clicks]]/Table1[[#This Row],[Total Impressions]])*100</f>
        <v>0.12541460851869157</v>
      </c>
      <c r="O5" s="19">
        <v>1.08</v>
      </c>
      <c r="P5" s="22">
        <v>212398</v>
      </c>
      <c r="Q5" s="22">
        <v>4253</v>
      </c>
      <c r="R5" s="23">
        <f t="shared" si="0"/>
        <v>9.7969150497068974E-2</v>
      </c>
      <c r="S5" s="24">
        <f t="shared" si="1"/>
        <v>1.9617077235380481E-3</v>
      </c>
      <c r="T5" s="22">
        <v>7464</v>
      </c>
      <c r="U5" s="29">
        <v>3.3999999999999998E-3</v>
      </c>
      <c r="V5" s="60">
        <f>IF(Table1[[#This Row],[Clicks]]= 0,0,Table1[[#This Row],[Amount Spent]]/Table1[[#This Row],[Clicks]])</f>
        <v>0.857955130562707</v>
      </c>
      <c r="W5" s="18" t="s">
        <v>354</v>
      </c>
    </row>
    <row r="6" spans="1:23" x14ac:dyDescent="0.25">
      <c r="A6" s="28" t="s">
        <v>72</v>
      </c>
      <c r="B6" s="19" t="s">
        <v>366</v>
      </c>
      <c r="C6" s="19" t="str">
        <f t="shared" si="2"/>
        <v>United Arab Emirates Target Group</v>
      </c>
      <c r="D6" s="19" t="s">
        <v>374</v>
      </c>
      <c r="E6" s="19" t="s">
        <v>73</v>
      </c>
      <c r="F6" s="19" t="s">
        <v>58</v>
      </c>
      <c r="G6" s="19" t="s">
        <v>77</v>
      </c>
      <c r="H6" s="19" t="s">
        <v>74</v>
      </c>
      <c r="I6" s="19" t="s">
        <v>75</v>
      </c>
      <c r="J6" s="20">
        <v>458.54</v>
      </c>
      <c r="K6" s="21">
        <v>0</v>
      </c>
      <c r="L6" s="22">
        <v>543248</v>
      </c>
      <c r="M6" s="22">
        <v>615975</v>
      </c>
      <c r="N6" s="81">
        <f>(Table1[[#This Row],[Clicks]]/Table1[[#This Row],[Total Impressions]])*100</f>
        <v>0</v>
      </c>
      <c r="O6" s="19">
        <v>0.74</v>
      </c>
      <c r="P6" s="22">
        <v>66295</v>
      </c>
      <c r="Q6" s="22">
        <v>1350</v>
      </c>
      <c r="R6" s="23">
        <f t="shared" si="0"/>
        <v>0.10762612118998335</v>
      </c>
      <c r="S6" s="24">
        <f t="shared" si="1"/>
        <v>2.1916473882868624E-3</v>
      </c>
      <c r="T6" s="22">
        <v>1099</v>
      </c>
      <c r="U6" s="29">
        <v>1.8E-3</v>
      </c>
      <c r="V6" s="60">
        <f>IF(Table1[[#This Row],[Clicks]]= 0,0,Table1[[#This Row],[Amount Spent]]/Table1[[#This Row],[Clicks]])</f>
        <v>0</v>
      </c>
      <c r="W6" s="18" t="s">
        <v>354</v>
      </c>
    </row>
    <row r="7" spans="1:23" x14ac:dyDescent="0.25">
      <c r="A7" s="28" t="s">
        <v>72</v>
      </c>
      <c r="B7" s="19" t="s">
        <v>366</v>
      </c>
      <c r="C7" s="19" t="str">
        <f t="shared" si="2"/>
        <v>United Arab Emirates Target Group</v>
      </c>
      <c r="D7" s="19" t="s">
        <v>374</v>
      </c>
      <c r="E7" s="19" t="s">
        <v>73</v>
      </c>
      <c r="F7" s="19" t="s">
        <v>59</v>
      </c>
      <c r="G7" s="19" t="s">
        <v>78</v>
      </c>
      <c r="H7" s="19" t="s">
        <v>74</v>
      </c>
      <c r="I7" s="19" t="s">
        <v>75</v>
      </c>
      <c r="J7" s="20">
        <v>419.66</v>
      </c>
      <c r="K7" s="21">
        <v>0</v>
      </c>
      <c r="L7" s="22">
        <v>511710</v>
      </c>
      <c r="M7" s="22">
        <v>578351</v>
      </c>
      <c r="N7" s="81">
        <f>(Table1[[#This Row],[Clicks]]/Table1[[#This Row],[Total Impressions]])*100</f>
        <v>0</v>
      </c>
      <c r="O7" s="19">
        <v>0.73</v>
      </c>
      <c r="P7" s="22">
        <v>52042</v>
      </c>
      <c r="Q7" s="22">
        <v>1188</v>
      </c>
      <c r="R7" s="23">
        <f t="shared" si="0"/>
        <v>8.9983418373963217E-2</v>
      </c>
      <c r="S7" s="24">
        <f t="shared" si="1"/>
        <v>2.0541159261417375E-3</v>
      </c>
      <c r="T7" s="22">
        <v>869</v>
      </c>
      <c r="U7" s="29">
        <v>1.5E-3</v>
      </c>
      <c r="V7" s="60">
        <f>IF(Table1[[#This Row],[Clicks]]= 0,0,Table1[[#This Row],[Amount Spent]]/Table1[[#This Row],[Clicks]])</f>
        <v>0</v>
      </c>
      <c r="W7" s="18" t="s">
        <v>354</v>
      </c>
    </row>
    <row r="8" spans="1:23" x14ac:dyDescent="0.25">
      <c r="A8" s="28" t="s">
        <v>72</v>
      </c>
      <c r="B8" s="19" t="s">
        <v>366</v>
      </c>
      <c r="C8" s="19" t="str">
        <f t="shared" si="2"/>
        <v>United Arab Emirates Target Group</v>
      </c>
      <c r="D8" s="19" t="s">
        <v>374</v>
      </c>
      <c r="E8" s="19" t="s">
        <v>73</v>
      </c>
      <c r="F8" s="19" t="s">
        <v>60</v>
      </c>
      <c r="G8" s="19" t="s">
        <v>77</v>
      </c>
      <c r="H8" s="19" t="s">
        <v>74</v>
      </c>
      <c r="I8" s="19" t="s">
        <v>75</v>
      </c>
      <c r="J8" s="20">
        <v>384.37</v>
      </c>
      <c r="K8" s="21">
        <v>0</v>
      </c>
      <c r="L8" s="22">
        <v>486294</v>
      </c>
      <c r="M8" s="22">
        <v>543093</v>
      </c>
      <c r="N8" s="81">
        <f>(Table1[[#This Row],[Clicks]]/Table1[[#This Row],[Total Impressions]])*100</f>
        <v>0</v>
      </c>
      <c r="O8" s="19">
        <v>0.71</v>
      </c>
      <c r="P8" s="22">
        <v>50004</v>
      </c>
      <c r="Q8" s="22">
        <v>849</v>
      </c>
      <c r="R8" s="23">
        <f t="shared" si="0"/>
        <v>9.2072628444851992E-2</v>
      </c>
      <c r="S8" s="24">
        <f t="shared" si="1"/>
        <v>1.5632681695400235E-3</v>
      </c>
      <c r="T8" s="22">
        <v>937</v>
      </c>
      <c r="U8" s="29">
        <v>1.6999999999999999E-3</v>
      </c>
      <c r="V8" s="60">
        <f>IF(Table1[[#This Row],[Clicks]]= 0,0,Table1[[#This Row],[Amount Spent]]/Table1[[#This Row],[Clicks]])</f>
        <v>0</v>
      </c>
      <c r="W8" s="18" t="s">
        <v>354</v>
      </c>
    </row>
    <row r="9" spans="1:23" x14ac:dyDescent="0.25">
      <c r="A9" s="28" t="s">
        <v>72</v>
      </c>
      <c r="B9" s="19" t="s">
        <v>366</v>
      </c>
      <c r="C9" s="19" t="str">
        <f t="shared" si="2"/>
        <v>United Arab Emirates Target Group</v>
      </c>
      <c r="D9" s="19" t="s">
        <v>374</v>
      </c>
      <c r="E9" s="19" t="s">
        <v>73</v>
      </c>
      <c r="F9" s="19" t="s">
        <v>61</v>
      </c>
      <c r="G9" s="19" t="s">
        <v>78</v>
      </c>
      <c r="H9" s="19" t="s">
        <v>74</v>
      </c>
      <c r="I9" s="19" t="s">
        <v>75</v>
      </c>
      <c r="J9" s="20">
        <v>360.73</v>
      </c>
      <c r="K9" s="21">
        <v>0</v>
      </c>
      <c r="L9" s="22">
        <v>467501</v>
      </c>
      <c r="M9" s="22">
        <v>522000</v>
      </c>
      <c r="N9" s="81">
        <f>(Table1[[#This Row],[Clicks]]/Table1[[#This Row],[Total Impressions]])*100</f>
        <v>0</v>
      </c>
      <c r="O9" s="19">
        <v>0.69</v>
      </c>
      <c r="P9" s="22">
        <v>43072</v>
      </c>
      <c r="Q9" s="22">
        <v>814</v>
      </c>
      <c r="R9" s="23">
        <f t="shared" si="0"/>
        <v>8.2513409961685824E-2</v>
      </c>
      <c r="S9" s="24">
        <f t="shared" si="1"/>
        <v>1.5593869731800767E-3</v>
      </c>
      <c r="T9" s="22">
        <v>821</v>
      </c>
      <c r="U9" s="29">
        <v>1.6000000000000001E-3</v>
      </c>
      <c r="V9" s="60">
        <f>IF(Table1[[#This Row],[Clicks]]= 0,0,Table1[[#This Row],[Amount Spent]]/Table1[[#This Row],[Clicks]])</f>
        <v>0</v>
      </c>
      <c r="W9" s="18" t="s">
        <v>354</v>
      </c>
    </row>
    <row r="10" spans="1:23" x14ac:dyDescent="0.25">
      <c r="A10" s="28" t="s">
        <v>72</v>
      </c>
      <c r="B10" s="19" t="s">
        <v>366</v>
      </c>
      <c r="C10" s="19" t="str">
        <f t="shared" si="2"/>
        <v>United Arab Emirates Target Group</v>
      </c>
      <c r="D10" s="19" t="s">
        <v>375</v>
      </c>
      <c r="E10" s="19" t="s">
        <v>130</v>
      </c>
      <c r="F10" s="19" t="s">
        <v>62</v>
      </c>
      <c r="G10" s="19" t="s">
        <v>77</v>
      </c>
      <c r="H10" s="19" t="s">
        <v>74</v>
      </c>
      <c r="I10" s="19" t="s">
        <v>75</v>
      </c>
      <c r="J10" s="20">
        <v>59.88</v>
      </c>
      <c r="K10" s="21">
        <v>21</v>
      </c>
      <c r="L10" s="22">
        <v>6047</v>
      </c>
      <c r="M10" s="22">
        <v>7626</v>
      </c>
      <c r="N10" s="81">
        <f>(Table1[[#This Row],[Clicks]]/Table1[[#This Row],[Total Impressions]])*100</f>
        <v>0.27537372147915029</v>
      </c>
      <c r="O10" s="19">
        <v>7.85</v>
      </c>
      <c r="P10" s="22">
        <v>1650</v>
      </c>
      <c r="Q10" s="22">
        <v>42</v>
      </c>
      <c r="R10" s="23">
        <f t="shared" si="0"/>
        <v>0.21636506687647522</v>
      </c>
      <c r="S10" s="24">
        <f t="shared" si="1"/>
        <v>5.5074744295830055E-3</v>
      </c>
      <c r="T10" s="22">
        <v>60</v>
      </c>
      <c r="U10" s="29">
        <v>7.9000000000000008E-3</v>
      </c>
      <c r="V10" s="60">
        <f>IF(Table1[[#This Row],[Clicks]]= 0,0,Table1[[#This Row],[Amount Spent]]/Table1[[#This Row],[Clicks]])</f>
        <v>2.8514285714285714</v>
      </c>
      <c r="W10" s="18" t="s">
        <v>354</v>
      </c>
    </row>
    <row r="11" spans="1:23" x14ac:dyDescent="0.25">
      <c r="A11" s="28" t="s">
        <v>72</v>
      </c>
      <c r="B11" s="19" t="s">
        <v>366</v>
      </c>
      <c r="C11" s="19" t="str">
        <f t="shared" si="2"/>
        <v>United Arab Emirates Target Group</v>
      </c>
      <c r="D11" s="19" t="s">
        <v>375</v>
      </c>
      <c r="E11" s="19" t="s">
        <v>130</v>
      </c>
      <c r="F11" s="19" t="s">
        <v>63</v>
      </c>
      <c r="G11" s="19" t="s">
        <v>78</v>
      </c>
      <c r="H11" s="19" t="s">
        <v>74</v>
      </c>
      <c r="I11" s="19" t="s">
        <v>75</v>
      </c>
      <c r="J11" s="20">
        <v>58.99</v>
      </c>
      <c r="K11" s="21">
        <v>18</v>
      </c>
      <c r="L11" s="22">
        <v>6013</v>
      </c>
      <c r="M11" s="22">
        <v>7694</v>
      </c>
      <c r="N11" s="81">
        <f>(Table1[[#This Row],[Clicks]]/Table1[[#This Row],[Total Impressions]])*100</f>
        <v>0.23394853132310892</v>
      </c>
      <c r="O11" s="19">
        <v>7.67</v>
      </c>
      <c r="P11" s="22">
        <v>1483</v>
      </c>
      <c r="Q11" s="22">
        <v>58</v>
      </c>
      <c r="R11" s="23">
        <f t="shared" si="0"/>
        <v>0.19274759552898363</v>
      </c>
      <c r="S11" s="24">
        <f t="shared" si="1"/>
        <v>7.5383415648557321E-3</v>
      </c>
      <c r="T11" s="22">
        <v>54</v>
      </c>
      <c r="U11" s="29">
        <v>6.9999999999999993E-3</v>
      </c>
      <c r="V11" s="60">
        <f>IF(Table1[[#This Row],[Clicks]]= 0,0,Table1[[#This Row],[Amount Spent]]/Table1[[#This Row],[Clicks]])</f>
        <v>3.2772222222222225</v>
      </c>
      <c r="W11" s="18" t="s">
        <v>354</v>
      </c>
    </row>
    <row r="12" spans="1:23" x14ac:dyDescent="0.25">
      <c r="A12" s="28" t="s">
        <v>72</v>
      </c>
      <c r="B12" s="19" t="s">
        <v>366</v>
      </c>
      <c r="C12" s="19" t="str">
        <f t="shared" si="2"/>
        <v>United Arab Emirates Target Group</v>
      </c>
      <c r="D12" s="19" t="s">
        <v>375</v>
      </c>
      <c r="E12" s="19" t="s">
        <v>130</v>
      </c>
      <c r="F12" s="19" t="s">
        <v>64</v>
      </c>
      <c r="G12" s="19" t="s">
        <v>78</v>
      </c>
      <c r="H12" s="19" t="s">
        <v>74</v>
      </c>
      <c r="I12" s="19" t="s">
        <v>75</v>
      </c>
      <c r="J12" s="20">
        <v>58.95</v>
      </c>
      <c r="K12" s="21">
        <v>27</v>
      </c>
      <c r="L12" s="22">
        <v>6081</v>
      </c>
      <c r="M12" s="22">
        <v>7686</v>
      </c>
      <c r="N12" s="81">
        <f>(Table1[[#This Row],[Clicks]]/Table1[[#This Row],[Total Impressions]])*100</f>
        <v>0.35128805620608899</v>
      </c>
      <c r="O12" s="19">
        <v>7.67</v>
      </c>
      <c r="P12" s="22">
        <v>1521</v>
      </c>
      <c r="Q12" s="22">
        <v>37</v>
      </c>
      <c r="R12" s="23">
        <f t="shared" si="0"/>
        <v>0.19789227166276346</v>
      </c>
      <c r="S12" s="24">
        <f t="shared" si="1"/>
        <v>4.813947436898257E-3</v>
      </c>
      <c r="T12" s="22">
        <v>74</v>
      </c>
      <c r="U12" s="29">
        <v>9.5999999999999992E-3</v>
      </c>
      <c r="V12" s="60">
        <f>IF(Table1[[#This Row],[Clicks]]= 0,0,Table1[[#This Row],[Amount Spent]]/Table1[[#This Row],[Clicks]])</f>
        <v>2.1833333333333336</v>
      </c>
      <c r="W12" s="18" t="s">
        <v>354</v>
      </c>
    </row>
    <row r="13" spans="1:23" x14ac:dyDescent="0.25">
      <c r="A13" s="28" t="s">
        <v>72</v>
      </c>
      <c r="B13" s="19" t="s">
        <v>366</v>
      </c>
      <c r="C13" s="19" t="str">
        <f t="shared" si="2"/>
        <v>United Arab Emirates Target Group</v>
      </c>
      <c r="D13" s="19" t="s">
        <v>375</v>
      </c>
      <c r="E13" s="19" t="s">
        <v>130</v>
      </c>
      <c r="F13" s="19" t="s">
        <v>65</v>
      </c>
      <c r="G13" s="19" t="s">
        <v>77</v>
      </c>
      <c r="H13" s="19" t="s">
        <v>74</v>
      </c>
      <c r="I13" s="19" t="s">
        <v>75</v>
      </c>
      <c r="J13" s="20">
        <v>57.35</v>
      </c>
      <c r="K13" s="21">
        <v>20</v>
      </c>
      <c r="L13" s="22">
        <v>5940</v>
      </c>
      <c r="M13" s="22">
        <v>7501</v>
      </c>
      <c r="N13" s="81">
        <f>(Table1[[#This Row],[Clicks]]/Table1[[#This Row],[Total Impressions]])*100</f>
        <v>0.26663111585121985</v>
      </c>
      <c r="O13" s="19">
        <v>7.65</v>
      </c>
      <c r="P13" s="22">
        <v>1528</v>
      </c>
      <c r="Q13" s="22">
        <v>29</v>
      </c>
      <c r="R13" s="23">
        <f t="shared" si="0"/>
        <v>0.20370617251033196</v>
      </c>
      <c r="S13" s="24">
        <f t="shared" si="1"/>
        <v>3.8661511798426876E-3</v>
      </c>
      <c r="T13" s="22">
        <v>51</v>
      </c>
      <c r="U13" s="29">
        <v>6.7999999999999996E-3</v>
      </c>
      <c r="V13" s="60">
        <f>IF(Table1[[#This Row],[Clicks]]= 0,0,Table1[[#This Row],[Amount Spent]]/Table1[[#This Row],[Clicks]])</f>
        <v>2.8675000000000002</v>
      </c>
      <c r="W13" s="18" t="s">
        <v>354</v>
      </c>
    </row>
    <row r="14" spans="1:23" x14ac:dyDescent="0.25">
      <c r="A14" s="28" t="s">
        <v>72</v>
      </c>
      <c r="B14" s="19" t="s">
        <v>366</v>
      </c>
      <c r="C14" s="19" t="str">
        <f t="shared" si="2"/>
        <v>United Arab Emirates Target Group</v>
      </c>
      <c r="D14" s="19" t="s">
        <v>375</v>
      </c>
      <c r="E14" s="19" t="s">
        <v>130</v>
      </c>
      <c r="F14" s="19" t="s">
        <v>60</v>
      </c>
      <c r="G14" s="19" t="s">
        <v>77</v>
      </c>
      <c r="H14" s="19" t="s">
        <v>74</v>
      </c>
      <c r="I14" s="19" t="s">
        <v>75</v>
      </c>
      <c r="J14" s="20">
        <v>23.11</v>
      </c>
      <c r="K14" s="21">
        <v>0</v>
      </c>
      <c r="L14" s="22">
        <v>4565</v>
      </c>
      <c r="M14" s="22">
        <v>5549</v>
      </c>
      <c r="N14" s="81">
        <f>(Table1[[#This Row],[Clicks]]/Table1[[#This Row],[Total Impressions]])*100</f>
        <v>0</v>
      </c>
      <c r="O14" s="19">
        <v>4.16</v>
      </c>
      <c r="P14" s="22">
        <v>1125</v>
      </c>
      <c r="Q14" s="22">
        <v>31</v>
      </c>
      <c r="R14" s="23">
        <f t="shared" si="0"/>
        <v>0.20273923229410704</v>
      </c>
      <c r="S14" s="24">
        <f t="shared" si="1"/>
        <v>5.5865921787709499E-3</v>
      </c>
      <c r="T14" s="22">
        <v>39</v>
      </c>
      <c r="U14" s="29">
        <v>6.9999999999999993E-3</v>
      </c>
      <c r="V14" s="60">
        <f>IF(Table1[[#This Row],[Clicks]]= 0,0,Table1[[#This Row],[Amount Spent]]/Table1[[#This Row],[Clicks]])</f>
        <v>0</v>
      </c>
      <c r="W14" s="18" t="s">
        <v>354</v>
      </c>
    </row>
    <row r="15" spans="1:23" x14ac:dyDescent="0.25">
      <c r="A15" s="28" t="s">
        <v>72</v>
      </c>
      <c r="B15" s="19" t="s">
        <v>366</v>
      </c>
      <c r="C15" s="19" t="str">
        <f t="shared" si="2"/>
        <v>United Arab Emirates Target Group</v>
      </c>
      <c r="D15" s="19" t="s">
        <v>375</v>
      </c>
      <c r="E15" s="19" t="s">
        <v>130</v>
      </c>
      <c r="F15" s="19" t="s">
        <v>58</v>
      </c>
      <c r="G15" s="19" t="s">
        <v>77</v>
      </c>
      <c r="H15" s="19" t="s">
        <v>74</v>
      </c>
      <c r="I15" s="19" t="s">
        <v>75</v>
      </c>
      <c r="J15" s="20">
        <v>22.17</v>
      </c>
      <c r="K15" s="21">
        <v>0</v>
      </c>
      <c r="L15" s="22">
        <v>4476</v>
      </c>
      <c r="M15" s="22">
        <v>5600</v>
      </c>
      <c r="N15" s="81">
        <f>(Table1[[#This Row],[Clicks]]/Table1[[#This Row],[Total Impressions]])*100</f>
        <v>0</v>
      </c>
      <c r="O15" s="19">
        <v>3.96</v>
      </c>
      <c r="P15" s="22">
        <v>1202</v>
      </c>
      <c r="Q15" s="22">
        <v>29</v>
      </c>
      <c r="R15" s="23">
        <f t="shared" si="0"/>
        <v>0.21464285714285714</v>
      </c>
      <c r="S15" s="24">
        <f t="shared" si="1"/>
        <v>5.1785714285714282E-3</v>
      </c>
      <c r="T15" s="22">
        <v>39</v>
      </c>
      <c r="U15" s="29">
        <v>6.9999999999999993E-3</v>
      </c>
      <c r="V15" s="60">
        <f>IF(Table1[[#This Row],[Clicks]]= 0,0,Table1[[#This Row],[Amount Spent]]/Table1[[#This Row],[Clicks]])</f>
        <v>0</v>
      </c>
      <c r="W15" s="18" t="s">
        <v>354</v>
      </c>
    </row>
    <row r="16" spans="1:23" x14ac:dyDescent="0.25">
      <c r="A16" s="28" t="s">
        <v>72</v>
      </c>
      <c r="B16" s="19" t="s">
        <v>366</v>
      </c>
      <c r="C16" s="19" t="str">
        <f t="shared" si="2"/>
        <v>United Arab Emirates Target Group</v>
      </c>
      <c r="D16" s="19" t="s">
        <v>375</v>
      </c>
      <c r="E16" s="19" t="s">
        <v>130</v>
      </c>
      <c r="F16" s="19" t="s">
        <v>61</v>
      </c>
      <c r="G16" s="19" t="s">
        <v>78</v>
      </c>
      <c r="H16" s="19" t="s">
        <v>74</v>
      </c>
      <c r="I16" s="19" t="s">
        <v>75</v>
      </c>
      <c r="J16" s="20">
        <v>21.35</v>
      </c>
      <c r="K16" s="21">
        <v>0</v>
      </c>
      <c r="L16" s="22">
        <v>3915</v>
      </c>
      <c r="M16" s="22">
        <v>4782</v>
      </c>
      <c r="N16" s="81">
        <f>(Table1[[#This Row],[Clicks]]/Table1[[#This Row],[Total Impressions]])*100</f>
        <v>0</v>
      </c>
      <c r="O16" s="19">
        <v>4.46</v>
      </c>
      <c r="P16" s="22">
        <v>937</v>
      </c>
      <c r="Q16" s="22">
        <v>30</v>
      </c>
      <c r="R16" s="23">
        <f t="shared" si="0"/>
        <v>0.19594312003345882</v>
      </c>
      <c r="S16" s="24">
        <f t="shared" si="1"/>
        <v>6.2735257214554582E-3</v>
      </c>
      <c r="T16" s="22">
        <v>34</v>
      </c>
      <c r="U16" s="29">
        <v>7.1000000000000004E-3</v>
      </c>
      <c r="V16" s="60">
        <f>IF(Table1[[#This Row],[Clicks]]= 0,0,Table1[[#This Row],[Amount Spent]]/Table1[[#This Row],[Clicks]])</f>
        <v>0</v>
      </c>
      <c r="W16" s="18" t="s">
        <v>354</v>
      </c>
    </row>
    <row r="17" spans="1:23" x14ac:dyDescent="0.25">
      <c r="A17" s="28" t="s">
        <v>72</v>
      </c>
      <c r="B17" s="19" t="s">
        <v>366</v>
      </c>
      <c r="C17" s="19" t="str">
        <f t="shared" si="2"/>
        <v>United Arab Emirates Target Group</v>
      </c>
      <c r="D17" s="19" t="s">
        <v>375</v>
      </c>
      <c r="E17" s="19" t="s">
        <v>130</v>
      </c>
      <c r="F17" s="19" t="s">
        <v>59</v>
      </c>
      <c r="G17" s="19" t="s">
        <v>78</v>
      </c>
      <c r="H17" s="19" t="s">
        <v>74</v>
      </c>
      <c r="I17" s="19" t="s">
        <v>75</v>
      </c>
      <c r="J17" s="20">
        <v>21.12</v>
      </c>
      <c r="K17" s="21">
        <v>0</v>
      </c>
      <c r="L17" s="22">
        <v>4099</v>
      </c>
      <c r="M17" s="22">
        <v>4996</v>
      </c>
      <c r="N17" s="81">
        <f>(Table1[[#This Row],[Clicks]]/Table1[[#This Row],[Total Impressions]])*100</f>
        <v>0</v>
      </c>
      <c r="O17" s="19">
        <v>4.2300000000000004</v>
      </c>
      <c r="P17" s="22">
        <v>1001</v>
      </c>
      <c r="Q17" s="22">
        <v>32</v>
      </c>
      <c r="R17" s="23">
        <f t="shared" si="0"/>
        <v>0.20036028823058447</v>
      </c>
      <c r="S17" s="24">
        <f t="shared" si="1"/>
        <v>6.4051240992794231E-3</v>
      </c>
      <c r="T17" s="22">
        <v>28</v>
      </c>
      <c r="U17" s="29">
        <v>5.6000000000000008E-3</v>
      </c>
      <c r="V17" s="60">
        <f>IF(Table1[[#This Row],[Clicks]]= 0,0,Table1[[#This Row],[Amount Spent]]/Table1[[#This Row],[Clicks]])</f>
        <v>0</v>
      </c>
      <c r="W17" s="18" t="s">
        <v>354</v>
      </c>
    </row>
    <row r="18" spans="1:23" x14ac:dyDescent="0.25">
      <c r="A18" s="28" t="s">
        <v>71</v>
      </c>
      <c r="B18" s="19" t="s">
        <v>367</v>
      </c>
      <c r="C18" s="19" t="str">
        <f t="shared" si="2"/>
        <v>Bahrain Target Group</v>
      </c>
      <c r="D18" s="19" t="s">
        <v>376</v>
      </c>
      <c r="E18" s="19" t="s">
        <v>73</v>
      </c>
      <c r="F18" s="19" t="s">
        <v>46</v>
      </c>
      <c r="G18" s="19" t="s">
        <v>77</v>
      </c>
      <c r="H18" s="19" t="s">
        <v>74</v>
      </c>
      <c r="I18" s="19" t="s">
        <v>75</v>
      </c>
      <c r="J18" s="20">
        <v>237.91</v>
      </c>
      <c r="K18" s="21">
        <v>899</v>
      </c>
      <c r="L18" s="22">
        <v>295305</v>
      </c>
      <c r="M18" s="22">
        <v>458426</v>
      </c>
      <c r="N18" s="81">
        <f>(Table1[[#This Row],[Clicks]]/Table1[[#This Row],[Total Impressions]])*100</f>
        <v>0.19610580551713908</v>
      </c>
      <c r="O18" s="19">
        <v>0.52</v>
      </c>
      <c r="P18" s="22">
        <v>86823</v>
      </c>
      <c r="Q18" s="22">
        <v>1840</v>
      </c>
      <c r="R18" s="23">
        <f t="shared" si="0"/>
        <v>0.18939370803575714</v>
      </c>
      <c r="S18" s="24">
        <f t="shared" si="1"/>
        <v>4.0137339505176405E-3</v>
      </c>
      <c r="T18" s="22">
        <v>2251</v>
      </c>
      <c r="U18" s="29">
        <v>4.8999999999999998E-3</v>
      </c>
      <c r="V18" s="60">
        <f>IF(Table1[[#This Row],[Clicks]]= 0,0,Table1[[#This Row],[Amount Spent]]/Table1[[#This Row],[Clicks]])</f>
        <v>0.26463848720800892</v>
      </c>
      <c r="W18" s="18" t="s">
        <v>354</v>
      </c>
    </row>
    <row r="19" spans="1:23" x14ac:dyDescent="0.25">
      <c r="A19" s="28" t="s">
        <v>71</v>
      </c>
      <c r="B19" s="19" t="s">
        <v>367</v>
      </c>
      <c r="C19" s="19" t="str">
        <f t="shared" si="2"/>
        <v>Bahrain Target Group</v>
      </c>
      <c r="D19" s="19" t="s">
        <v>376</v>
      </c>
      <c r="E19" s="19" t="s">
        <v>73</v>
      </c>
      <c r="F19" s="19" t="s">
        <v>47</v>
      </c>
      <c r="G19" s="19" t="s">
        <v>78</v>
      </c>
      <c r="H19" s="19" t="s">
        <v>74</v>
      </c>
      <c r="I19" s="19" t="s">
        <v>75</v>
      </c>
      <c r="J19" s="20">
        <v>236.25</v>
      </c>
      <c r="K19" s="21">
        <v>956</v>
      </c>
      <c r="L19" s="22">
        <v>288758</v>
      </c>
      <c r="M19" s="22">
        <v>450795</v>
      </c>
      <c r="N19" s="81">
        <f>(Table1[[#This Row],[Clicks]]/Table1[[#This Row],[Total Impressions]])*100</f>
        <v>0.212069787819297</v>
      </c>
      <c r="O19" s="19">
        <v>0.52</v>
      </c>
      <c r="P19" s="22">
        <v>72364</v>
      </c>
      <c r="Q19" s="22">
        <v>1718</v>
      </c>
      <c r="R19" s="23">
        <f t="shared" si="0"/>
        <v>0.16052529420246453</v>
      </c>
      <c r="S19" s="24">
        <f t="shared" si="1"/>
        <v>3.8110449317317182E-3</v>
      </c>
      <c r="T19" s="22">
        <v>2193</v>
      </c>
      <c r="U19" s="29">
        <v>4.8999999999999998E-3</v>
      </c>
      <c r="V19" s="60">
        <f>IF(Table1[[#This Row],[Clicks]]= 0,0,Table1[[#This Row],[Amount Spent]]/Table1[[#This Row],[Clicks]])</f>
        <v>0.2471234309623431</v>
      </c>
      <c r="W19" s="18" t="s">
        <v>354</v>
      </c>
    </row>
    <row r="20" spans="1:23" x14ac:dyDescent="0.25">
      <c r="A20" s="28" t="s">
        <v>71</v>
      </c>
      <c r="B20" s="19" t="s">
        <v>367</v>
      </c>
      <c r="C20" s="19" t="str">
        <f t="shared" si="2"/>
        <v>Bahrain Target Group</v>
      </c>
      <c r="D20" s="19" t="s">
        <v>376</v>
      </c>
      <c r="E20" s="19" t="s">
        <v>73</v>
      </c>
      <c r="F20" s="19" t="s">
        <v>48</v>
      </c>
      <c r="G20" s="19" t="s">
        <v>78</v>
      </c>
      <c r="H20" s="19" t="s">
        <v>74</v>
      </c>
      <c r="I20" s="19" t="s">
        <v>75</v>
      </c>
      <c r="J20" s="20">
        <v>232.76</v>
      </c>
      <c r="K20" s="21">
        <v>907</v>
      </c>
      <c r="L20" s="22">
        <v>291261</v>
      </c>
      <c r="M20" s="22">
        <v>451843</v>
      </c>
      <c r="N20" s="81">
        <f>(Table1[[#This Row],[Clicks]]/Table1[[#This Row],[Total Impressions]])*100</f>
        <v>0.20073344059772974</v>
      </c>
      <c r="O20" s="19">
        <v>0.52</v>
      </c>
      <c r="P20" s="22">
        <v>68165</v>
      </c>
      <c r="Q20" s="22">
        <v>1072</v>
      </c>
      <c r="R20" s="23">
        <f t="shared" si="0"/>
        <v>0.15085992258372929</v>
      </c>
      <c r="S20" s="24">
        <f t="shared" si="1"/>
        <v>2.3725054941650088E-3</v>
      </c>
      <c r="T20" s="22">
        <v>2162</v>
      </c>
      <c r="U20" s="29">
        <v>4.7999999999999996E-3</v>
      </c>
      <c r="V20" s="60">
        <f>IF(Table1[[#This Row],[Clicks]]= 0,0,Table1[[#This Row],[Amount Spent]]/Table1[[#This Row],[Clicks]])</f>
        <v>0.25662624035281145</v>
      </c>
      <c r="W20" s="18" t="s">
        <v>354</v>
      </c>
    </row>
    <row r="21" spans="1:23" x14ac:dyDescent="0.25">
      <c r="A21" s="28" t="s">
        <v>71</v>
      </c>
      <c r="B21" s="19" t="s">
        <v>367</v>
      </c>
      <c r="C21" s="19" t="str">
        <f t="shared" si="2"/>
        <v>Bahrain Target Group</v>
      </c>
      <c r="D21" s="19" t="s">
        <v>376</v>
      </c>
      <c r="E21" s="19" t="s">
        <v>73</v>
      </c>
      <c r="F21" s="19" t="s">
        <v>49</v>
      </c>
      <c r="G21" s="19" t="s">
        <v>77</v>
      </c>
      <c r="H21" s="19" t="s">
        <v>74</v>
      </c>
      <c r="I21" s="19" t="s">
        <v>75</v>
      </c>
      <c r="J21" s="20">
        <v>232.33</v>
      </c>
      <c r="K21" s="21">
        <v>851</v>
      </c>
      <c r="L21" s="22">
        <v>291322</v>
      </c>
      <c r="M21" s="22">
        <v>450308</v>
      </c>
      <c r="N21" s="81">
        <f>(Table1[[#This Row],[Clicks]]/Table1[[#This Row],[Total Impressions]])*100</f>
        <v>0.18898176359291863</v>
      </c>
      <c r="O21" s="19">
        <v>0.52</v>
      </c>
      <c r="P21" s="22">
        <v>79762</v>
      </c>
      <c r="Q21" s="22">
        <v>1141</v>
      </c>
      <c r="R21" s="23">
        <f t="shared" si="0"/>
        <v>0.17712765484956963</v>
      </c>
      <c r="S21" s="24">
        <f t="shared" si="1"/>
        <v>2.5338212956465354E-3</v>
      </c>
      <c r="T21" s="22">
        <v>2168</v>
      </c>
      <c r="U21" s="29">
        <v>4.7999999999999996E-3</v>
      </c>
      <c r="V21" s="60">
        <f>IF(Table1[[#This Row],[Clicks]]= 0,0,Table1[[#This Row],[Amount Spent]]/Table1[[#This Row],[Clicks]])</f>
        <v>0.27300822561692129</v>
      </c>
      <c r="W21" s="18" t="s">
        <v>354</v>
      </c>
    </row>
    <row r="22" spans="1:23" x14ac:dyDescent="0.25">
      <c r="A22" s="28" t="s">
        <v>71</v>
      </c>
      <c r="B22" s="19" t="s">
        <v>367</v>
      </c>
      <c r="C22" s="19" t="str">
        <f t="shared" si="2"/>
        <v>Bahrain Target Group</v>
      </c>
      <c r="D22" s="19" t="s">
        <v>376</v>
      </c>
      <c r="E22" s="19" t="s">
        <v>73</v>
      </c>
      <c r="F22" s="19" t="s">
        <v>50</v>
      </c>
      <c r="G22" s="19" t="s">
        <v>77</v>
      </c>
      <c r="H22" s="19" t="s">
        <v>74</v>
      </c>
      <c r="I22" s="19" t="s">
        <v>75</v>
      </c>
      <c r="J22" s="20">
        <v>30.07</v>
      </c>
      <c r="K22" s="21">
        <v>0</v>
      </c>
      <c r="L22" s="22">
        <v>71582</v>
      </c>
      <c r="M22" s="22">
        <v>82290</v>
      </c>
      <c r="N22" s="81">
        <f>(Table1[[#This Row],[Clicks]]/Table1[[#This Row],[Total Impressions]])*100</f>
        <v>0</v>
      </c>
      <c r="O22" s="19">
        <v>0.37</v>
      </c>
      <c r="P22" s="22">
        <v>18070</v>
      </c>
      <c r="Q22" s="22">
        <v>350</v>
      </c>
      <c r="R22" s="23">
        <f t="shared" si="0"/>
        <v>0.21958925750394945</v>
      </c>
      <c r="S22" s="24">
        <f t="shared" si="1"/>
        <v>4.2532506987483292E-3</v>
      </c>
      <c r="T22" s="22">
        <v>297</v>
      </c>
      <c r="U22" s="29">
        <v>3.5999999999999999E-3</v>
      </c>
      <c r="V22" s="60">
        <f>IF(Table1[[#This Row],[Clicks]]= 0,0,Table1[[#This Row],[Amount Spent]]/Table1[[#This Row],[Clicks]])</f>
        <v>0</v>
      </c>
      <c r="W22" s="18" t="s">
        <v>354</v>
      </c>
    </row>
    <row r="23" spans="1:23" x14ac:dyDescent="0.25">
      <c r="A23" s="28" t="s">
        <v>71</v>
      </c>
      <c r="B23" s="19" t="s">
        <v>367</v>
      </c>
      <c r="C23" s="19" t="str">
        <f t="shared" si="2"/>
        <v>Bahrain Target Group</v>
      </c>
      <c r="D23" s="19" t="s">
        <v>376</v>
      </c>
      <c r="E23" s="19" t="s">
        <v>73</v>
      </c>
      <c r="F23" s="19" t="s">
        <v>51</v>
      </c>
      <c r="G23" s="19" t="s">
        <v>78</v>
      </c>
      <c r="H23" s="19" t="s">
        <v>74</v>
      </c>
      <c r="I23" s="19" t="s">
        <v>75</v>
      </c>
      <c r="J23" s="20">
        <v>21.86</v>
      </c>
      <c r="K23" s="21">
        <v>0</v>
      </c>
      <c r="L23" s="22">
        <v>62420</v>
      </c>
      <c r="M23" s="22">
        <v>71598</v>
      </c>
      <c r="N23" s="81">
        <f>(Table1[[#This Row],[Clicks]]/Table1[[#This Row],[Total Impressions]])*100</f>
        <v>0</v>
      </c>
      <c r="O23" s="19">
        <v>0.31</v>
      </c>
      <c r="P23" s="22">
        <v>13068</v>
      </c>
      <c r="Q23" s="22">
        <v>241</v>
      </c>
      <c r="R23" s="23">
        <f t="shared" si="0"/>
        <v>0.18251906477834576</v>
      </c>
      <c r="S23" s="24">
        <f t="shared" si="1"/>
        <v>3.3660158104974998E-3</v>
      </c>
      <c r="T23" s="22">
        <v>215</v>
      </c>
      <c r="U23" s="29">
        <v>3.0000000000000001E-3</v>
      </c>
      <c r="V23" s="60">
        <f>IF(Table1[[#This Row],[Clicks]]= 0,0,Table1[[#This Row],[Amount Spent]]/Table1[[#This Row],[Clicks]])</f>
        <v>0</v>
      </c>
      <c r="W23" s="18" t="s">
        <v>354</v>
      </c>
    </row>
    <row r="24" spans="1:23" x14ac:dyDescent="0.25">
      <c r="A24" s="28" t="s">
        <v>71</v>
      </c>
      <c r="B24" s="19" t="s">
        <v>367</v>
      </c>
      <c r="C24" s="19" t="str">
        <f t="shared" si="2"/>
        <v>Bahrain Target Group</v>
      </c>
      <c r="D24" s="19" t="s">
        <v>376</v>
      </c>
      <c r="E24" s="19" t="s">
        <v>73</v>
      </c>
      <c r="F24" s="19" t="s">
        <v>52</v>
      </c>
      <c r="G24" s="19" t="s">
        <v>77</v>
      </c>
      <c r="H24" s="19" t="s">
        <v>74</v>
      </c>
      <c r="I24" s="19" t="s">
        <v>75</v>
      </c>
      <c r="J24" s="20">
        <v>19.559999999999999</v>
      </c>
      <c r="K24" s="21">
        <v>0</v>
      </c>
      <c r="L24" s="22">
        <v>60603</v>
      </c>
      <c r="M24" s="22">
        <v>69350</v>
      </c>
      <c r="N24" s="81">
        <f>(Table1[[#This Row],[Clicks]]/Table1[[#This Row],[Total Impressions]])*100</f>
        <v>0</v>
      </c>
      <c r="O24" s="19">
        <v>0.28000000000000003</v>
      </c>
      <c r="P24" s="22">
        <v>14302</v>
      </c>
      <c r="Q24" s="22">
        <v>154</v>
      </c>
      <c r="R24" s="23">
        <f t="shared" si="0"/>
        <v>0.20622927180966114</v>
      </c>
      <c r="S24" s="24">
        <f t="shared" si="1"/>
        <v>2.2206200432588318E-3</v>
      </c>
      <c r="T24" s="22">
        <v>256</v>
      </c>
      <c r="U24" s="29">
        <v>3.7000000000000002E-3</v>
      </c>
      <c r="V24" s="60">
        <f>IF(Table1[[#This Row],[Clicks]]= 0,0,Table1[[#This Row],[Amount Spent]]/Table1[[#This Row],[Clicks]])</f>
        <v>0</v>
      </c>
      <c r="W24" s="18" t="s">
        <v>354</v>
      </c>
    </row>
    <row r="25" spans="1:23" x14ac:dyDescent="0.25">
      <c r="A25" s="28" t="s">
        <v>71</v>
      </c>
      <c r="B25" s="19" t="s">
        <v>367</v>
      </c>
      <c r="C25" s="19" t="str">
        <f t="shared" si="2"/>
        <v>Bahrain Target Group</v>
      </c>
      <c r="D25" s="19" t="s">
        <v>376</v>
      </c>
      <c r="E25" s="19" t="s">
        <v>73</v>
      </c>
      <c r="F25" s="19" t="s">
        <v>53</v>
      </c>
      <c r="G25" s="19" t="s">
        <v>78</v>
      </c>
      <c r="H25" s="19" t="s">
        <v>74</v>
      </c>
      <c r="I25" s="19" t="s">
        <v>75</v>
      </c>
      <c r="J25" s="20">
        <v>16.559999999999999</v>
      </c>
      <c r="K25" s="21">
        <v>0</v>
      </c>
      <c r="L25" s="22">
        <v>56048</v>
      </c>
      <c r="M25" s="22">
        <v>64252</v>
      </c>
      <c r="N25" s="81">
        <f>(Table1[[#This Row],[Clicks]]/Table1[[#This Row],[Total Impressions]])*100</f>
        <v>0</v>
      </c>
      <c r="O25" s="19">
        <v>0.26</v>
      </c>
      <c r="P25" s="22">
        <v>11033</v>
      </c>
      <c r="Q25" s="22">
        <v>121</v>
      </c>
      <c r="R25" s="23">
        <f t="shared" si="0"/>
        <v>0.17171449915955925</v>
      </c>
      <c r="S25" s="24">
        <f t="shared" si="1"/>
        <v>1.8832098611716367E-3</v>
      </c>
      <c r="T25" s="22">
        <v>182</v>
      </c>
      <c r="U25" s="29">
        <v>2.8E-3</v>
      </c>
      <c r="V25" s="60">
        <f>IF(Table1[[#This Row],[Clicks]]= 0,0,Table1[[#This Row],[Amount Spent]]/Table1[[#This Row],[Clicks]])</f>
        <v>0</v>
      </c>
      <c r="W25" s="18" t="s">
        <v>354</v>
      </c>
    </row>
    <row r="26" spans="1:23" x14ac:dyDescent="0.25">
      <c r="A26" s="28" t="s">
        <v>70</v>
      </c>
      <c r="B26" s="19" t="s">
        <v>368</v>
      </c>
      <c r="C26" s="19" t="str">
        <f t="shared" si="2"/>
        <v>Jeddah Target Group</v>
      </c>
      <c r="D26" s="19" t="s">
        <v>377</v>
      </c>
      <c r="E26" s="19" t="s">
        <v>73</v>
      </c>
      <c r="F26" s="19" t="s">
        <v>38</v>
      </c>
      <c r="G26" s="19" t="s">
        <v>78</v>
      </c>
      <c r="H26" s="19" t="s">
        <v>74</v>
      </c>
      <c r="I26" s="19" t="s">
        <v>75</v>
      </c>
      <c r="J26" s="20">
        <v>2162.67</v>
      </c>
      <c r="K26" s="21">
        <v>5464</v>
      </c>
      <c r="L26" s="22">
        <v>2272839</v>
      </c>
      <c r="M26" s="22">
        <v>3316491</v>
      </c>
      <c r="N26" s="81">
        <f>(Table1[[#This Row],[Clicks]]/Table1[[#This Row],[Total Impressions]])*100</f>
        <v>0.16475244467722058</v>
      </c>
      <c r="O26" s="19">
        <v>0.65</v>
      </c>
      <c r="P26" s="22">
        <v>252741</v>
      </c>
      <c r="Q26" s="22">
        <v>4452</v>
      </c>
      <c r="R26" s="23">
        <f t="shared" si="0"/>
        <v>7.6207352891957195E-2</v>
      </c>
      <c r="S26" s="24">
        <f t="shared" si="1"/>
        <v>1.3423826568502674E-3</v>
      </c>
      <c r="T26" s="19">
        <v>8347</v>
      </c>
      <c r="U26" s="29">
        <v>2.5000000000000001E-3</v>
      </c>
      <c r="V26" s="60">
        <f>IF(Table1[[#This Row],[Clicks]]= 0,0,Table1[[#This Row],[Amount Spent]]/Table1[[#This Row],[Clicks]])</f>
        <v>0.39580344070278184</v>
      </c>
      <c r="W26" s="18" t="s">
        <v>354</v>
      </c>
    </row>
    <row r="27" spans="1:23" x14ac:dyDescent="0.25">
      <c r="A27" s="28" t="s">
        <v>70</v>
      </c>
      <c r="B27" s="19" t="s">
        <v>368</v>
      </c>
      <c r="C27" s="19" t="str">
        <f t="shared" si="2"/>
        <v>Jeddah Target Group</v>
      </c>
      <c r="D27" s="19" t="s">
        <v>377</v>
      </c>
      <c r="E27" s="19" t="s">
        <v>73</v>
      </c>
      <c r="F27" s="19" t="s">
        <v>39</v>
      </c>
      <c r="G27" s="19" t="s">
        <v>78</v>
      </c>
      <c r="H27" s="19" t="s">
        <v>74</v>
      </c>
      <c r="I27" s="19" t="s">
        <v>75</v>
      </c>
      <c r="J27" s="20">
        <v>1932.22</v>
      </c>
      <c r="K27" s="21">
        <v>4737</v>
      </c>
      <c r="L27" s="22">
        <v>2041623</v>
      </c>
      <c r="M27" s="22">
        <v>2936045</v>
      </c>
      <c r="N27" s="81">
        <f>(Table1[[#This Row],[Clicks]]/Table1[[#This Row],[Total Impressions]])*100</f>
        <v>0.16133948900646961</v>
      </c>
      <c r="O27" s="19">
        <v>0.66</v>
      </c>
      <c r="P27" s="22">
        <v>235267</v>
      </c>
      <c r="Q27" s="22">
        <v>5717</v>
      </c>
      <c r="R27" s="23">
        <f t="shared" si="0"/>
        <v>8.0130583829607513E-2</v>
      </c>
      <c r="S27" s="24">
        <f t="shared" si="1"/>
        <v>1.9471772401308564E-3</v>
      </c>
      <c r="T27" s="19">
        <v>7285</v>
      </c>
      <c r="U27" s="29">
        <v>2.5000000000000001E-3</v>
      </c>
      <c r="V27" s="60">
        <f>IF(Table1[[#This Row],[Clicks]]= 0,0,Table1[[#This Row],[Amount Spent]]/Table1[[#This Row],[Clicks]])</f>
        <v>0.40789951446062911</v>
      </c>
      <c r="W27" s="18" t="s">
        <v>354</v>
      </c>
    </row>
    <row r="28" spans="1:23" x14ac:dyDescent="0.25">
      <c r="A28" s="28" t="s">
        <v>70</v>
      </c>
      <c r="B28" s="19" t="s">
        <v>368</v>
      </c>
      <c r="C28" s="19" t="str">
        <f t="shared" si="2"/>
        <v>Jeddah Target Group</v>
      </c>
      <c r="D28" s="19" t="s">
        <v>377</v>
      </c>
      <c r="E28" s="19" t="s">
        <v>73</v>
      </c>
      <c r="F28" s="19" t="s">
        <v>40</v>
      </c>
      <c r="G28" s="19" t="s">
        <v>77</v>
      </c>
      <c r="H28" s="19" t="s">
        <v>74</v>
      </c>
      <c r="I28" s="19" t="s">
        <v>75</v>
      </c>
      <c r="J28" s="20">
        <v>1769.56</v>
      </c>
      <c r="K28" s="21">
        <v>3737</v>
      </c>
      <c r="L28" s="22">
        <v>1932105</v>
      </c>
      <c r="M28" s="22">
        <v>2754856</v>
      </c>
      <c r="N28" s="81">
        <f>(Table1[[#This Row],[Clicks]]/Table1[[#This Row],[Total Impressions]])*100</f>
        <v>0.13565137342931899</v>
      </c>
      <c r="O28" s="19">
        <v>0.64</v>
      </c>
      <c r="P28" s="22">
        <v>242664</v>
      </c>
      <c r="Q28" s="22">
        <v>3731</v>
      </c>
      <c r="R28" s="23">
        <f t="shared" si="0"/>
        <v>8.8085910842526802E-2</v>
      </c>
      <c r="S28" s="24">
        <f t="shared" si="1"/>
        <v>1.3543357620144211E-3</v>
      </c>
      <c r="T28" s="19">
        <v>5929</v>
      </c>
      <c r="U28" s="29">
        <v>2.2000000000000001E-3</v>
      </c>
      <c r="V28" s="60">
        <f>IF(Table1[[#This Row],[Clicks]]= 0,0,Table1[[#This Row],[Amount Spent]]/Table1[[#This Row],[Clicks]])</f>
        <v>0.4735242172865935</v>
      </c>
      <c r="W28" s="18" t="s">
        <v>354</v>
      </c>
    </row>
    <row r="29" spans="1:23" x14ac:dyDescent="0.25">
      <c r="A29" s="28" t="s">
        <v>70</v>
      </c>
      <c r="B29" s="19" t="s">
        <v>368</v>
      </c>
      <c r="C29" s="19" t="str">
        <f t="shared" si="2"/>
        <v>Jeddah Target Group</v>
      </c>
      <c r="D29" s="19" t="s">
        <v>377</v>
      </c>
      <c r="E29" s="19" t="s">
        <v>73</v>
      </c>
      <c r="F29" s="19" t="s">
        <v>41</v>
      </c>
      <c r="G29" s="19" t="s">
        <v>77</v>
      </c>
      <c r="H29" s="19" t="s">
        <v>74</v>
      </c>
      <c r="I29" s="19" t="s">
        <v>75</v>
      </c>
      <c r="J29" s="20">
        <v>1735.9</v>
      </c>
      <c r="K29" s="21">
        <v>3806</v>
      </c>
      <c r="L29" s="22">
        <v>1854071</v>
      </c>
      <c r="M29" s="22">
        <v>2688164</v>
      </c>
      <c r="N29" s="81">
        <f>(Table1[[#This Row],[Clicks]]/Table1[[#This Row],[Total Impressions]])*100</f>
        <v>0.14158362361820187</v>
      </c>
      <c r="O29" s="19">
        <v>0.65</v>
      </c>
      <c r="P29" s="22">
        <v>249105</v>
      </c>
      <c r="Q29" s="22">
        <v>5521</v>
      </c>
      <c r="R29" s="23">
        <f t="shared" si="0"/>
        <v>9.2667337260673083E-2</v>
      </c>
      <c r="S29" s="24">
        <f t="shared" si="1"/>
        <v>2.0538181450238898E-3</v>
      </c>
      <c r="T29" s="19">
        <v>6122</v>
      </c>
      <c r="U29" s="29">
        <v>2.3E-3</v>
      </c>
      <c r="V29" s="60">
        <f>IF(Table1[[#This Row],[Clicks]]= 0,0,Table1[[#This Row],[Amount Spent]]/Table1[[#This Row],[Clicks]])</f>
        <v>0.45609563846558071</v>
      </c>
      <c r="W29" s="18" t="s">
        <v>354</v>
      </c>
    </row>
    <row r="30" spans="1:23" x14ac:dyDescent="0.25">
      <c r="A30" s="28" t="s">
        <v>70</v>
      </c>
      <c r="B30" s="19" t="s">
        <v>368</v>
      </c>
      <c r="C30" s="19" t="str">
        <f t="shared" si="2"/>
        <v>Jeddah Target Group</v>
      </c>
      <c r="D30" s="19" t="s">
        <v>377</v>
      </c>
      <c r="E30" s="19" t="s">
        <v>73</v>
      </c>
      <c r="F30" s="19" t="s">
        <v>42</v>
      </c>
      <c r="G30" s="19" t="s">
        <v>77</v>
      </c>
      <c r="H30" s="19" t="s">
        <v>74</v>
      </c>
      <c r="I30" s="19" t="s">
        <v>75</v>
      </c>
      <c r="J30" s="20">
        <v>639.37</v>
      </c>
      <c r="K30" s="21">
        <v>0</v>
      </c>
      <c r="L30" s="22">
        <v>902641</v>
      </c>
      <c r="M30" s="22">
        <v>1054224</v>
      </c>
      <c r="N30" s="81">
        <f>(Table1[[#This Row],[Clicks]]/Table1[[#This Row],[Total Impressions]])*100</f>
        <v>0</v>
      </c>
      <c r="O30" s="19">
        <v>0.61</v>
      </c>
      <c r="P30" s="22">
        <v>114444</v>
      </c>
      <c r="Q30" s="22">
        <v>2093</v>
      </c>
      <c r="R30" s="23">
        <f t="shared" si="0"/>
        <v>0.10855757410189865</v>
      </c>
      <c r="S30" s="24">
        <f t="shared" si="1"/>
        <v>1.9853465677123648E-3</v>
      </c>
      <c r="T30" s="19">
        <v>1005</v>
      </c>
      <c r="U30" s="29">
        <v>1E-3</v>
      </c>
      <c r="V30" s="60">
        <f>IF(Table1[[#This Row],[Clicks]]= 0,0,Table1[[#This Row],[Amount Spent]]/Table1[[#This Row],[Clicks]])</f>
        <v>0</v>
      </c>
      <c r="W30" s="18" t="s">
        <v>354</v>
      </c>
    </row>
    <row r="31" spans="1:23" x14ac:dyDescent="0.25">
      <c r="A31" s="28" t="s">
        <v>70</v>
      </c>
      <c r="B31" s="19" t="s">
        <v>368</v>
      </c>
      <c r="C31" s="19" t="str">
        <f t="shared" si="2"/>
        <v>Jeddah Target Group</v>
      </c>
      <c r="D31" s="19" t="s">
        <v>377</v>
      </c>
      <c r="E31" s="19" t="s">
        <v>73</v>
      </c>
      <c r="F31" s="19" t="s">
        <v>43</v>
      </c>
      <c r="G31" s="19" t="s">
        <v>78</v>
      </c>
      <c r="H31" s="19" t="s">
        <v>74</v>
      </c>
      <c r="I31" s="19" t="s">
        <v>75</v>
      </c>
      <c r="J31" s="20">
        <v>566.09</v>
      </c>
      <c r="K31" s="21">
        <v>0</v>
      </c>
      <c r="L31" s="22">
        <v>821458</v>
      </c>
      <c r="M31" s="22">
        <v>966237</v>
      </c>
      <c r="N31" s="81">
        <f>(Table1[[#This Row],[Clicks]]/Table1[[#This Row],[Total Impressions]])*100</f>
        <v>0</v>
      </c>
      <c r="O31" s="19">
        <v>0.59</v>
      </c>
      <c r="P31" s="22">
        <v>84091</v>
      </c>
      <c r="Q31" s="22">
        <v>1645</v>
      </c>
      <c r="R31" s="23">
        <f t="shared" si="0"/>
        <v>8.7029372710835953E-2</v>
      </c>
      <c r="S31" s="24">
        <f t="shared" si="1"/>
        <v>1.7024808613207733E-3</v>
      </c>
      <c r="T31" s="19">
        <v>858</v>
      </c>
      <c r="U31" s="29">
        <v>8.9999999999999998E-4</v>
      </c>
      <c r="V31" s="60">
        <f>IF(Table1[[#This Row],[Clicks]]= 0,0,Table1[[#This Row],[Amount Spent]]/Table1[[#This Row],[Clicks]])</f>
        <v>0</v>
      </c>
      <c r="W31" s="18" t="s">
        <v>354</v>
      </c>
    </row>
    <row r="32" spans="1:23" x14ac:dyDescent="0.25">
      <c r="A32" s="28" t="s">
        <v>70</v>
      </c>
      <c r="B32" s="19" t="s">
        <v>368</v>
      </c>
      <c r="C32" s="19" t="str">
        <f t="shared" si="2"/>
        <v>Jeddah Target Group</v>
      </c>
      <c r="D32" s="19" t="s">
        <v>377</v>
      </c>
      <c r="E32" s="19" t="s">
        <v>73</v>
      </c>
      <c r="F32" s="19" t="s">
        <v>44</v>
      </c>
      <c r="G32" s="19" t="s">
        <v>77</v>
      </c>
      <c r="H32" s="19" t="s">
        <v>74</v>
      </c>
      <c r="I32" s="19" t="s">
        <v>75</v>
      </c>
      <c r="J32" s="20">
        <v>452.32</v>
      </c>
      <c r="K32" s="21">
        <v>0</v>
      </c>
      <c r="L32" s="22">
        <v>695315</v>
      </c>
      <c r="M32" s="22">
        <v>813410</v>
      </c>
      <c r="N32" s="81">
        <f>(Table1[[#This Row],[Clicks]]/Table1[[#This Row],[Total Impressions]])*100</f>
        <v>0</v>
      </c>
      <c r="O32" s="19">
        <v>0.56000000000000005</v>
      </c>
      <c r="P32" s="22">
        <v>84852</v>
      </c>
      <c r="Q32" s="22">
        <v>1036</v>
      </c>
      <c r="R32" s="23">
        <f t="shared" si="0"/>
        <v>0.10431639640525688</v>
      </c>
      <c r="S32" s="24">
        <f t="shared" si="1"/>
        <v>1.2736504345901821E-3</v>
      </c>
      <c r="T32" s="22">
        <v>762</v>
      </c>
      <c r="U32" s="29">
        <v>8.9999999999999998E-4</v>
      </c>
      <c r="V32" s="60">
        <f>IF(Table1[[#This Row],[Clicks]]= 0,0,Table1[[#This Row],[Amount Spent]]/Table1[[#This Row],[Clicks]])</f>
        <v>0</v>
      </c>
      <c r="W32" s="18" t="s">
        <v>354</v>
      </c>
    </row>
    <row r="33" spans="1:23" x14ac:dyDescent="0.25">
      <c r="A33" s="28" t="s">
        <v>70</v>
      </c>
      <c r="B33" s="19" t="s">
        <v>368</v>
      </c>
      <c r="C33" s="19" t="str">
        <f t="shared" si="2"/>
        <v>Jeddah Target Group</v>
      </c>
      <c r="D33" s="19" t="s">
        <v>377</v>
      </c>
      <c r="E33" s="19" t="s">
        <v>73</v>
      </c>
      <c r="F33" s="19" t="s">
        <v>45</v>
      </c>
      <c r="G33" s="19" t="s">
        <v>78</v>
      </c>
      <c r="H33" s="19" t="s">
        <v>74</v>
      </c>
      <c r="I33" s="19" t="s">
        <v>75</v>
      </c>
      <c r="J33" s="20">
        <v>413.87</v>
      </c>
      <c r="K33" s="21">
        <v>0</v>
      </c>
      <c r="L33" s="22">
        <v>668221</v>
      </c>
      <c r="M33" s="22">
        <v>777584</v>
      </c>
      <c r="N33" s="81">
        <f>(Table1[[#This Row],[Clicks]]/Table1[[#This Row],[Total Impressions]])*100</f>
        <v>0</v>
      </c>
      <c r="O33" s="19">
        <v>0.53</v>
      </c>
      <c r="P33" s="22">
        <v>63508</v>
      </c>
      <c r="Q33" s="22">
        <v>913</v>
      </c>
      <c r="R33" s="23">
        <f t="shared" si="0"/>
        <v>8.1673491224099268E-2</v>
      </c>
      <c r="S33" s="24">
        <f t="shared" si="1"/>
        <v>1.1741496738616021E-3</v>
      </c>
      <c r="T33" s="22">
        <v>710</v>
      </c>
      <c r="U33" s="29">
        <v>8.9999999999999998E-4</v>
      </c>
      <c r="V33" s="60">
        <f>IF(Table1[[#This Row],[Clicks]]= 0,0,Table1[[#This Row],[Amount Spent]]/Table1[[#This Row],[Clicks]])</f>
        <v>0</v>
      </c>
      <c r="W33" s="18" t="s">
        <v>354</v>
      </c>
    </row>
    <row r="34" spans="1:23" x14ac:dyDescent="0.25">
      <c r="A34" s="28" t="s">
        <v>69</v>
      </c>
      <c r="B34" s="19" t="s">
        <v>369</v>
      </c>
      <c r="C34" s="19" t="str">
        <f t="shared" si="2"/>
        <v>Kuwait Target Group</v>
      </c>
      <c r="D34" s="19" t="s">
        <v>378</v>
      </c>
      <c r="E34" s="19" t="s">
        <v>73</v>
      </c>
      <c r="F34" s="19" t="s">
        <v>34</v>
      </c>
      <c r="G34" s="19" t="s">
        <v>78</v>
      </c>
      <c r="H34" s="19" t="s">
        <v>74</v>
      </c>
      <c r="I34" s="19" t="s">
        <v>75</v>
      </c>
      <c r="J34" s="20">
        <v>1026.6500000000001</v>
      </c>
      <c r="K34" s="21">
        <v>2035</v>
      </c>
      <c r="L34" s="22">
        <v>748514</v>
      </c>
      <c r="M34" s="22">
        <v>1060287</v>
      </c>
      <c r="N34" s="81">
        <f>(Table1[[#This Row],[Clicks]]/Table1[[#This Row],[Total Impressions]])*100</f>
        <v>0.19192916634835663</v>
      </c>
      <c r="O34" s="19">
        <v>0.97</v>
      </c>
      <c r="P34" s="22">
        <v>118626</v>
      </c>
      <c r="Q34" s="22">
        <v>2105</v>
      </c>
      <c r="R34" s="23">
        <f t="shared" ref="R34:R65" si="3">(P34/M34)</f>
        <v>0.11188102843852656</v>
      </c>
      <c r="S34" s="24">
        <f t="shared" ref="S34:S65" si="4">(Q34/M34)</f>
        <v>1.9853115241439344E-3</v>
      </c>
      <c r="T34" s="19">
        <v>3352</v>
      </c>
      <c r="U34" s="29">
        <v>3.2000000000000002E-3</v>
      </c>
      <c r="V34" s="60">
        <f>IF(Table1[[#This Row],[Clicks]]= 0,0,Table1[[#This Row],[Amount Spent]]/Table1[[#This Row],[Clicks]])</f>
        <v>0.50449631449631449</v>
      </c>
      <c r="W34" s="18" t="s">
        <v>354</v>
      </c>
    </row>
    <row r="35" spans="1:23" x14ac:dyDescent="0.25">
      <c r="A35" s="28" t="s">
        <v>69</v>
      </c>
      <c r="B35" s="19" t="s">
        <v>369</v>
      </c>
      <c r="C35" s="19" t="str">
        <f t="shared" si="2"/>
        <v>Kuwait Target Group</v>
      </c>
      <c r="D35" s="19" t="s">
        <v>378</v>
      </c>
      <c r="E35" s="19" t="s">
        <v>73</v>
      </c>
      <c r="F35" s="19" t="s">
        <v>35</v>
      </c>
      <c r="G35" s="19" t="s">
        <v>78</v>
      </c>
      <c r="H35" s="19" t="s">
        <v>74</v>
      </c>
      <c r="I35" s="19" t="s">
        <v>75</v>
      </c>
      <c r="J35" s="20">
        <v>1003.87</v>
      </c>
      <c r="K35" s="21">
        <v>2069</v>
      </c>
      <c r="L35" s="22">
        <v>739197</v>
      </c>
      <c r="M35" s="22">
        <v>1047074</v>
      </c>
      <c r="N35" s="81">
        <f>(Table1[[#This Row],[Clicks]]/Table1[[#This Row],[Total Impressions]])*100</f>
        <v>0.19759825953084501</v>
      </c>
      <c r="O35" s="19">
        <v>0.96</v>
      </c>
      <c r="P35" s="22">
        <v>123987</v>
      </c>
      <c r="Q35" s="22">
        <v>3244</v>
      </c>
      <c r="R35" s="23">
        <f t="shared" si="3"/>
        <v>0.1184128342409419</v>
      </c>
      <c r="S35" s="24">
        <f t="shared" si="4"/>
        <v>3.0981573413149405E-3</v>
      </c>
      <c r="T35" s="19">
        <v>3315</v>
      </c>
      <c r="U35" s="29">
        <v>3.2000000000000002E-3</v>
      </c>
      <c r="V35" s="60">
        <f>IF(Table1[[#This Row],[Clicks]]= 0,0,Table1[[#This Row],[Amount Spent]]/Table1[[#This Row],[Clicks]])</f>
        <v>0.48519574673755439</v>
      </c>
      <c r="W35" s="18" t="s">
        <v>354</v>
      </c>
    </row>
    <row r="36" spans="1:23" x14ac:dyDescent="0.25">
      <c r="A36" s="28" t="s">
        <v>69</v>
      </c>
      <c r="B36" s="19" t="s">
        <v>369</v>
      </c>
      <c r="C36" s="19" t="str">
        <f t="shared" si="2"/>
        <v>Kuwait Target Group</v>
      </c>
      <c r="D36" s="19" t="s">
        <v>378</v>
      </c>
      <c r="E36" s="19" t="s">
        <v>73</v>
      </c>
      <c r="F36" s="19" t="s">
        <v>36</v>
      </c>
      <c r="G36" s="19" t="s">
        <v>77</v>
      </c>
      <c r="H36" s="19" t="s">
        <v>74</v>
      </c>
      <c r="I36" s="19" t="s">
        <v>75</v>
      </c>
      <c r="J36" s="20">
        <v>915.44</v>
      </c>
      <c r="K36" s="21">
        <v>1446</v>
      </c>
      <c r="L36" s="22">
        <v>698282</v>
      </c>
      <c r="M36" s="22">
        <v>976618</v>
      </c>
      <c r="N36" s="81">
        <f>(Table1[[#This Row],[Clicks]]/Table1[[#This Row],[Total Impressions]])*100</f>
        <v>0.14806198534124909</v>
      </c>
      <c r="O36" s="19">
        <v>0.94</v>
      </c>
      <c r="P36" s="22">
        <v>133648</v>
      </c>
      <c r="Q36" s="22">
        <v>3098</v>
      </c>
      <c r="R36" s="23">
        <f t="shared" si="3"/>
        <v>0.13684777466727011</v>
      </c>
      <c r="S36" s="24">
        <f t="shared" si="4"/>
        <v>3.1721717191368578E-3</v>
      </c>
      <c r="T36" s="19">
        <v>2773</v>
      </c>
      <c r="U36" s="29">
        <v>2.8E-3</v>
      </c>
      <c r="V36" s="60">
        <f>IF(Table1[[#This Row],[Clicks]]= 0,0,Table1[[#This Row],[Amount Spent]]/Table1[[#This Row],[Clicks]])</f>
        <v>0.63308437067773171</v>
      </c>
      <c r="W36" s="18" t="s">
        <v>354</v>
      </c>
    </row>
    <row r="37" spans="1:23" x14ac:dyDescent="0.25">
      <c r="A37" s="28" t="s">
        <v>69</v>
      </c>
      <c r="B37" s="19" t="s">
        <v>369</v>
      </c>
      <c r="C37" s="19" t="str">
        <f t="shared" si="2"/>
        <v>Kuwait Target Group</v>
      </c>
      <c r="D37" s="19" t="s">
        <v>378</v>
      </c>
      <c r="E37" s="19" t="s">
        <v>73</v>
      </c>
      <c r="F37" s="19" t="s">
        <v>37</v>
      </c>
      <c r="G37" s="19" t="s">
        <v>77</v>
      </c>
      <c r="H37" s="19" t="s">
        <v>74</v>
      </c>
      <c r="I37" s="19" t="s">
        <v>75</v>
      </c>
      <c r="J37" s="20">
        <v>874.96</v>
      </c>
      <c r="K37" s="21">
        <v>1375</v>
      </c>
      <c r="L37" s="22">
        <v>668554</v>
      </c>
      <c r="M37" s="22">
        <v>935995</v>
      </c>
      <c r="N37" s="81">
        <f>(Table1[[#This Row],[Clicks]]/Table1[[#This Row],[Total Impressions]])*100</f>
        <v>0.14690249413725501</v>
      </c>
      <c r="O37" s="19">
        <v>0.93</v>
      </c>
      <c r="P37" s="22">
        <v>118711</v>
      </c>
      <c r="Q37" s="22">
        <v>1874</v>
      </c>
      <c r="R37" s="23">
        <f t="shared" si="3"/>
        <v>0.12682866895656494</v>
      </c>
      <c r="S37" s="24">
        <f t="shared" si="4"/>
        <v>2.0021474473688426E-3</v>
      </c>
      <c r="T37" s="19">
        <v>2557</v>
      </c>
      <c r="U37" s="29">
        <v>2.7000000000000001E-3</v>
      </c>
      <c r="V37" s="60">
        <f>IF(Table1[[#This Row],[Clicks]]= 0,0,Table1[[#This Row],[Amount Spent]]/Table1[[#This Row],[Clicks]])</f>
        <v>0.63633454545454549</v>
      </c>
      <c r="W37" s="18" t="s">
        <v>354</v>
      </c>
    </row>
    <row r="38" spans="1:23" x14ac:dyDescent="0.25">
      <c r="A38" s="28" t="s">
        <v>69</v>
      </c>
      <c r="B38" s="19" t="s">
        <v>369</v>
      </c>
      <c r="C38" s="19" t="str">
        <f t="shared" si="2"/>
        <v>Kuwait Target Group</v>
      </c>
      <c r="D38" s="19" t="s">
        <v>378</v>
      </c>
      <c r="E38" s="19" t="s">
        <v>73</v>
      </c>
      <c r="F38" s="19" t="s">
        <v>35</v>
      </c>
      <c r="G38" s="19" t="s">
        <v>78</v>
      </c>
      <c r="H38" s="19" t="s">
        <v>74</v>
      </c>
      <c r="I38" s="19" t="s">
        <v>75</v>
      </c>
      <c r="J38" s="20">
        <v>328.29</v>
      </c>
      <c r="K38" s="21">
        <v>0</v>
      </c>
      <c r="L38" s="22">
        <v>423244</v>
      </c>
      <c r="M38" s="22">
        <v>520171</v>
      </c>
      <c r="N38" s="81">
        <f>(Table1[[#This Row],[Clicks]]/Table1[[#This Row],[Total Impressions]])*100</f>
        <v>0</v>
      </c>
      <c r="O38" s="19">
        <v>0.63</v>
      </c>
      <c r="P38" s="22">
        <v>62835</v>
      </c>
      <c r="Q38" s="22">
        <v>1520</v>
      </c>
      <c r="R38" s="23">
        <f t="shared" si="3"/>
        <v>0.12079681489356385</v>
      </c>
      <c r="S38" s="24">
        <f t="shared" si="4"/>
        <v>2.9221159964703913E-3</v>
      </c>
      <c r="T38" s="19">
        <v>658</v>
      </c>
      <c r="U38" s="29">
        <v>1.2999999999999999E-3</v>
      </c>
      <c r="V38" s="60">
        <f>IF(Table1[[#This Row],[Clicks]]= 0,0,Table1[[#This Row],[Amount Spent]]/Table1[[#This Row],[Clicks]])</f>
        <v>0</v>
      </c>
      <c r="W38" s="18" t="s">
        <v>354</v>
      </c>
    </row>
    <row r="39" spans="1:23" x14ac:dyDescent="0.25">
      <c r="A39" s="28" t="s">
        <v>69</v>
      </c>
      <c r="B39" s="19" t="s">
        <v>369</v>
      </c>
      <c r="C39" s="19" t="str">
        <f t="shared" si="2"/>
        <v>Kuwait Target Group</v>
      </c>
      <c r="D39" s="19" t="s">
        <v>378</v>
      </c>
      <c r="E39" s="19" t="s">
        <v>73</v>
      </c>
      <c r="F39" s="19" t="s">
        <v>34</v>
      </c>
      <c r="G39" s="19" t="s">
        <v>78</v>
      </c>
      <c r="H39" s="19" t="s">
        <v>74</v>
      </c>
      <c r="I39" s="19" t="s">
        <v>75</v>
      </c>
      <c r="J39" s="20">
        <v>269.68</v>
      </c>
      <c r="K39" s="21">
        <v>0</v>
      </c>
      <c r="L39" s="22">
        <v>378376</v>
      </c>
      <c r="M39" s="22">
        <v>457824</v>
      </c>
      <c r="N39" s="81">
        <f>(Table1[[#This Row],[Clicks]]/Table1[[#This Row],[Total Impressions]])*100</f>
        <v>0</v>
      </c>
      <c r="O39" s="19">
        <v>0.59</v>
      </c>
      <c r="P39" s="22">
        <v>51275</v>
      </c>
      <c r="Q39" s="22">
        <v>844</v>
      </c>
      <c r="R39" s="23">
        <f t="shared" si="3"/>
        <v>0.11199718669182918</v>
      </c>
      <c r="S39" s="24">
        <f t="shared" si="4"/>
        <v>1.8435031802614104E-3</v>
      </c>
      <c r="T39" s="19">
        <v>514</v>
      </c>
      <c r="U39" s="29">
        <v>1.1000000000000001E-3</v>
      </c>
      <c r="V39" s="60">
        <f>IF(Table1[[#This Row],[Clicks]]= 0,0,Table1[[#This Row],[Amount Spent]]/Table1[[#This Row],[Clicks]])</f>
        <v>0</v>
      </c>
      <c r="W39" s="18" t="s">
        <v>354</v>
      </c>
    </row>
    <row r="40" spans="1:23" x14ac:dyDescent="0.25">
      <c r="A40" s="28" t="s">
        <v>69</v>
      </c>
      <c r="B40" s="19" t="s">
        <v>369</v>
      </c>
      <c r="C40" s="19" t="str">
        <f t="shared" si="2"/>
        <v>Kuwait Target Group</v>
      </c>
      <c r="D40" s="19" t="s">
        <v>378</v>
      </c>
      <c r="E40" s="19" t="s">
        <v>73</v>
      </c>
      <c r="F40" s="19" t="s">
        <v>36</v>
      </c>
      <c r="G40" s="19" t="s">
        <v>77</v>
      </c>
      <c r="H40" s="19" t="s">
        <v>74</v>
      </c>
      <c r="I40" s="19" t="s">
        <v>75</v>
      </c>
      <c r="J40" s="20">
        <v>265.89</v>
      </c>
      <c r="K40" s="21">
        <v>0</v>
      </c>
      <c r="L40" s="22">
        <v>375205</v>
      </c>
      <c r="M40" s="22">
        <v>459632</v>
      </c>
      <c r="N40" s="81">
        <f>(Table1[[#This Row],[Clicks]]/Table1[[#This Row],[Total Impressions]])*100</f>
        <v>0</v>
      </c>
      <c r="O40" s="19">
        <v>0.57999999999999996</v>
      </c>
      <c r="P40" s="22">
        <v>64249</v>
      </c>
      <c r="Q40" s="22">
        <v>1381</v>
      </c>
      <c r="R40" s="23">
        <f t="shared" si="3"/>
        <v>0.13978356598322136</v>
      </c>
      <c r="S40" s="24">
        <f t="shared" si="4"/>
        <v>3.0045775751035612E-3</v>
      </c>
      <c r="T40" s="19">
        <v>600</v>
      </c>
      <c r="U40" s="29">
        <v>1.2999999999999999E-3</v>
      </c>
      <c r="V40" s="60">
        <f>IF(Table1[[#This Row],[Clicks]]= 0,0,Table1[[#This Row],[Amount Spent]]/Table1[[#This Row],[Clicks]])</f>
        <v>0</v>
      </c>
      <c r="W40" s="18" t="s">
        <v>354</v>
      </c>
    </row>
    <row r="41" spans="1:23" x14ac:dyDescent="0.25">
      <c r="A41" s="28" t="s">
        <v>69</v>
      </c>
      <c r="B41" s="19" t="s">
        <v>369</v>
      </c>
      <c r="C41" s="19" t="str">
        <f t="shared" si="2"/>
        <v>Kuwait Target Group</v>
      </c>
      <c r="D41" s="19" t="s">
        <v>378</v>
      </c>
      <c r="E41" s="19" t="s">
        <v>73</v>
      </c>
      <c r="F41" s="19" t="s">
        <v>37</v>
      </c>
      <c r="G41" s="19" t="s">
        <v>77</v>
      </c>
      <c r="H41" s="19" t="s">
        <v>74</v>
      </c>
      <c r="I41" s="19" t="s">
        <v>75</v>
      </c>
      <c r="J41" s="20">
        <v>217.72</v>
      </c>
      <c r="K41" s="21">
        <v>0</v>
      </c>
      <c r="L41" s="22">
        <v>337792</v>
      </c>
      <c r="M41" s="22">
        <v>409480</v>
      </c>
      <c r="N41" s="81">
        <f>(Table1[[#This Row],[Clicks]]/Table1[[#This Row],[Total Impressions]])*100</f>
        <v>0</v>
      </c>
      <c r="O41" s="19">
        <v>0.53</v>
      </c>
      <c r="P41" s="22">
        <v>53202</v>
      </c>
      <c r="Q41" s="22">
        <v>728</v>
      </c>
      <c r="R41" s="23">
        <f t="shared" si="3"/>
        <v>0.12992575949985347</v>
      </c>
      <c r="S41" s="24">
        <f t="shared" si="4"/>
        <v>1.7778646087721012E-3</v>
      </c>
      <c r="T41" s="19">
        <v>482</v>
      </c>
      <c r="U41" s="29">
        <v>1.1999999999999999E-3</v>
      </c>
      <c r="V41" s="60">
        <f>IF(Table1[[#This Row],[Clicks]]= 0,0,Table1[[#This Row],[Amount Spent]]/Table1[[#This Row],[Clicks]])</f>
        <v>0</v>
      </c>
      <c r="W41" s="18" t="s">
        <v>354</v>
      </c>
    </row>
    <row r="42" spans="1:23" x14ac:dyDescent="0.25">
      <c r="A42" s="28" t="s">
        <v>69</v>
      </c>
      <c r="B42" s="19" t="s">
        <v>369</v>
      </c>
      <c r="C42" s="19" t="str">
        <f t="shared" si="2"/>
        <v>Kuwait Target Group</v>
      </c>
      <c r="D42" s="19" t="s">
        <v>379</v>
      </c>
      <c r="E42" s="19" t="s">
        <v>130</v>
      </c>
      <c r="F42" s="19" t="s">
        <v>37</v>
      </c>
      <c r="G42" s="19" t="s">
        <v>77</v>
      </c>
      <c r="H42" s="19" t="s">
        <v>74</v>
      </c>
      <c r="I42" s="19" t="s">
        <v>75</v>
      </c>
      <c r="J42" s="20">
        <v>7.58</v>
      </c>
      <c r="K42" s="21">
        <v>0</v>
      </c>
      <c r="L42" s="22">
        <v>1962</v>
      </c>
      <c r="M42" s="22">
        <v>2542</v>
      </c>
      <c r="N42" s="81">
        <f>(Table1[[#This Row],[Clicks]]/Table1[[#This Row],[Total Impressions]])*100</f>
        <v>0</v>
      </c>
      <c r="O42" s="19">
        <v>2.98</v>
      </c>
      <c r="P42" s="22">
        <v>479</v>
      </c>
      <c r="Q42" s="22">
        <v>10</v>
      </c>
      <c r="R42" s="23">
        <f t="shared" si="3"/>
        <v>0.1884343036978757</v>
      </c>
      <c r="S42" s="24">
        <f t="shared" si="4"/>
        <v>3.9339103068450039E-3</v>
      </c>
      <c r="T42" s="19">
        <v>12</v>
      </c>
      <c r="U42" s="29">
        <v>4.6999999999999993E-3</v>
      </c>
      <c r="V42" s="60">
        <f>IF(Table1[[#This Row],[Clicks]]= 0,0,Table1[[#This Row],[Amount Spent]]/Table1[[#This Row],[Clicks]])</f>
        <v>0</v>
      </c>
      <c r="W42" s="18" t="s">
        <v>354</v>
      </c>
    </row>
    <row r="43" spans="1:23" x14ac:dyDescent="0.25">
      <c r="A43" s="28" t="s">
        <v>69</v>
      </c>
      <c r="B43" s="19" t="s">
        <v>369</v>
      </c>
      <c r="C43" s="19" t="str">
        <f t="shared" si="2"/>
        <v>Kuwait Target Group</v>
      </c>
      <c r="D43" s="19" t="s">
        <v>379</v>
      </c>
      <c r="E43" s="19" t="s">
        <v>130</v>
      </c>
      <c r="F43" s="19" t="s">
        <v>36</v>
      </c>
      <c r="G43" s="19" t="s">
        <v>77</v>
      </c>
      <c r="H43" s="19" t="s">
        <v>74</v>
      </c>
      <c r="I43" s="19" t="s">
        <v>75</v>
      </c>
      <c r="J43" s="20">
        <v>7.25</v>
      </c>
      <c r="K43" s="21">
        <v>0</v>
      </c>
      <c r="L43" s="22">
        <v>1949</v>
      </c>
      <c r="M43" s="22">
        <v>2560</v>
      </c>
      <c r="N43" s="81">
        <f>(Table1[[#This Row],[Clicks]]/Table1[[#This Row],[Total Impressions]])*100</f>
        <v>0</v>
      </c>
      <c r="O43" s="19">
        <v>2.83</v>
      </c>
      <c r="P43" s="22">
        <v>527</v>
      </c>
      <c r="Q43" s="22">
        <v>18</v>
      </c>
      <c r="R43" s="23">
        <f t="shared" si="3"/>
        <v>0.20585937500000001</v>
      </c>
      <c r="S43" s="24">
        <f t="shared" si="4"/>
        <v>7.0312500000000002E-3</v>
      </c>
      <c r="T43" s="19">
        <v>15</v>
      </c>
      <c r="U43" s="29">
        <v>5.8999999999999999E-3</v>
      </c>
      <c r="V43" s="60">
        <f>IF(Table1[[#This Row],[Clicks]]= 0,0,Table1[[#This Row],[Amount Spent]]/Table1[[#This Row],[Clicks]])</f>
        <v>0</v>
      </c>
      <c r="W43" s="18" t="s">
        <v>354</v>
      </c>
    </row>
    <row r="44" spans="1:23" x14ac:dyDescent="0.25">
      <c r="A44" s="28" t="s">
        <v>69</v>
      </c>
      <c r="B44" s="19" t="s">
        <v>369</v>
      </c>
      <c r="C44" s="19" t="str">
        <f t="shared" si="2"/>
        <v>Kuwait Target Group</v>
      </c>
      <c r="D44" s="19" t="s">
        <v>379</v>
      </c>
      <c r="E44" s="19" t="s">
        <v>130</v>
      </c>
      <c r="F44" s="19" t="s">
        <v>35</v>
      </c>
      <c r="G44" s="19" t="s">
        <v>78</v>
      </c>
      <c r="H44" s="19" t="s">
        <v>74</v>
      </c>
      <c r="I44" s="19" t="s">
        <v>75</v>
      </c>
      <c r="J44" s="20">
        <v>7.12</v>
      </c>
      <c r="K44" s="21">
        <v>0</v>
      </c>
      <c r="L44" s="22">
        <v>1784</v>
      </c>
      <c r="M44" s="22">
        <v>2305</v>
      </c>
      <c r="N44" s="81">
        <f>(Table1[[#This Row],[Clicks]]/Table1[[#This Row],[Total Impressions]])*100</f>
        <v>0</v>
      </c>
      <c r="O44" s="19">
        <v>3.09</v>
      </c>
      <c r="P44" s="22">
        <v>472</v>
      </c>
      <c r="Q44" s="22">
        <v>19</v>
      </c>
      <c r="R44" s="23">
        <f t="shared" si="3"/>
        <v>0.20477223427331886</v>
      </c>
      <c r="S44" s="24">
        <f t="shared" si="4"/>
        <v>8.2429501084598702E-3</v>
      </c>
      <c r="T44" s="19">
        <v>9</v>
      </c>
      <c r="U44" s="29">
        <v>3.8999999999999998E-3</v>
      </c>
      <c r="V44" s="60">
        <f>IF(Table1[[#This Row],[Clicks]]= 0,0,Table1[[#This Row],[Amount Spent]]/Table1[[#This Row],[Clicks]])</f>
        <v>0</v>
      </c>
      <c r="W44" s="18" t="s">
        <v>354</v>
      </c>
    </row>
    <row r="45" spans="1:23" x14ac:dyDescent="0.25">
      <c r="A45" s="28" t="s">
        <v>69</v>
      </c>
      <c r="B45" s="19" t="s">
        <v>369</v>
      </c>
      <c r="C45" s="19" t="str">
        <f t="shared" si="2"/>
        <v>Kuwait Target Group</v>
      </c>
      <c r="D45" s="19" t="s">
        <v>379</v>
      </c>
      <c r="E45" s="19" t="s">
        <v>130</v>
      </c>
      <c r="F45" s="19" t="s">
        <v>34</v>
      </c>
      <c r="G45" s="19" t="s">
        <v>78</v>
      </c>
      <c r="H45" s="19" t="s">
        <v>74</v>
      </c>
      <c r="I45" s="19" t="s">
        <v>75</v>
      </c>
      <c r="J45" s="20">
        <v>6.97</v>
      </c>
      <c r="K45" s="21">
        <v>0</v>
      </c>
      <c r="L45" s="22">
        <v>1740</v>
      </c>
      <c r="M45" s="22">
        <v>2258</v>
      </c>
      <c r="N45" s="81">
        <f>(Table1[[#This Row],[Clicks]]/Table1[[#This Row],[Total Impressions]])*100</f>
        <v>0</v>
      </c>
      <c r="O45" s="19">
        <v>3.09</v>
      </c>
      <c r="P45" s="22">
        <v>394</v>
      </c>
      <c r="Q45" s="22">
        <v>5</v>
      </c>
      <c r="R45" s="23">
        <f t="shared" si="3"/>
        <v>0.17449069973427811</v>
      </c>
      <c r="S45" s="24">
        <f t="shared" si="4"/>
        <v>2.2143489813994687E-3</v>
      </c>
      <c r="T45" s="19">
        <v>22</v>
      </c>
      <c r="U45" s="29">
        <v>9.7000000000000003E-3</v>
      </c>
      <c r="V45" s="60">
        <f>IF(Table1[[#This Row],[Clicks]]= 0,0,Table1[[#This Row],[Amount Spent]]/Table1[[#This Row],[Clicks]])</f>
        <v>0</v>
      </c>
      <c r="W45" s="18" t="s">
        <v>354</v>
      </c>
    </row>
    <row r="46" spans="1:23" x14ac:dyDescent="0.25">
      <c r="A46" s="28" t="s">
        <v>69</v>
      </c>
      <c r="B46" s="19" t="s">
        <v>369</v>
      </c>
      <c r="C46" s="19" t="str">
        <f t="shared" si="2"/>
        <v>Kuwait Target Group</v>
      </c>
      <c r="D46" s="19" t="s">
        <v>379</v>
      </c>
      <c r="E46" s="19" t="s">
        <v>130</v>
      </c>
      <c r="F46" s="19" t="s">
        <v>34</v>
      </c>
      <c r="G46" s="19" t="s">
        <v>78</v>
      </c>
      <c r="H46" s="19" t="s">
        <v>74</v>
      </c>
      <c r="I46" s="19" t="s">
        <v>75</v>
      </c>
      <c r="J46" s="20">
        <v>6.14</v>
      </c>
      <c r="K46" s="21">
        <v>2</v>
      </c>
      <c r="L46" s="22">
        <v>1269</v>
      </c>
      <c r="M46" s="22">
        <v>1538</v>
      </c>
      <c r="N46" s="81">
        <f>(Table1[[#This Row],[Clicks]]/Table1[[#This Row],[Total Impressions]])*100</f>
        <v>0.13003901170351106</v>
      </c>
      <c r="O46" s="19">
        <v>3.99</v>
      </c>
      <c r="P46" s="22">
        <v>274</v>
      </c>
      <c r="Q46" s="22">
        <v>9</v>
      </c>
      <c r="R46" s="23">
        <f t="shared" si="3"/>
        <v>0.17815344603381014</v>
      </c>
      <c r="S46" s="24">
        <f t="shared" si="4"/>
        <v>5.8517555266579977E-3</v>
      </c>
      <c r="T46" s="19">
        <v>7</v>
      </c>
      <c r="U46" s="29">
        <v>4.5999999999999999E-3</v>
      </c>
      <c r="V46" s="60">
        <f>IF(Table1[[#This Row],[Clicks]]= 0,0,Table1[[#This Row],[Amount Spent]]/Table1[[#This Row],[Clicks]])</f>
        <v>3.07</v>
      </c>
      <c r="W46" s="18" t="s">
        <v>354</v>
      </c>
    </row>
    <row r="47" spans="1:23" x14ac:dyDescent="0.25">
      <c r="A47" s="28" t="s">
        <v>69</v>
      </c>
      <c r="B47" s="19" t="s">
        <v>369</v>
      </c>
      <c r="C47" s="19" t="str">
        <f t="shared" si="2"/>
        <v>Kuwait Target Group</v>
      </c>
      <c r="D47" s="19" t="s">
        <v>379</v>
      </c>
      <c r="E47" s="19" t="s">
        <v>130</v>
      </c>
      <c r="F47" s="19" t="s">
        <v>36</v>
      </c>
      <c r="G47" s="19" t="s">
        <v>77</v>
      </c>
      <c r="H47" s="19" t="s">
        <v>74</v>
      </c>
      <c r="I47" s="19" t="s">
        <v>75</v>
      </c>
      <c r="J47" s="20">
        <v>5.84</v>
      </c>
      <c r="K47" s="21">
        <v>0</v>
      </c>
      <c r="L47" s="22">
        <v>1260</v>
      </c>
      <c r="M47" s="22">
        <v>1514</v>
      </c>
      <c r="N47" s="81">
        <f>(Table1[[#This Row],[Clicks]]/Table1[[#This Row],[Total Impressions]])*100</f>
        <v>0</v>
      </c>
      <c r="O47" s="19">
        <v>3.86</v>
      </c>
      <c r="P47" s="22">
        <v>305</v>
      </c>
      <c r="Q47" s="22">
        <v>14</v>
      </c>
      <c r="R47" s="23">
        <f t="shared" si="3"/>
        <v>0.20145310435931307</v>
      </c>
      <c r="S47" s="24">
        <f t="shared" si="4"/>
        <v>9.247027741083224E-3</v>
      </c>
      <c r="T47" s="19">
        <v>8</v>
      </c>
      <c r="U47" s="29">
        <v>5.3E-3</v>
      </c>
      <c r="V47" s="60">
        <f>IF(Table1[[#This Row],[Clicks]]= 0,0,Table1[[#This Row],[Amount Spent]]/Table1[[#This Row],[Clicks]])</f>
        <v>0</v>
      </c>
      <c r="W47" s="18" t="s">
        <v>354</v>
      </c>
    </row>
    <row r="48" spans="1:23" x14ac:dyDescent="0.25">
      <c r="A48" s="28" t="s">
        <v>69</v>
      </c>
      <c r="B48" s="19" t="s">
        <v>369</v>
      </c>
      <c r="C48" s="19" t="str">
        <f t="shared" si="2"/>
        <v>Kuwait Target Group</v>
      </c>
      <c r="D48" s="19" t="s">
        <v>379</v>
      </c>
      <c r="E48" s="19" t="s">
        <v>130</v>
      </c>
      <c r="F48" s="19" t="s">
        <v>35</v>
      </c>
      <c r="G48" s="19" t="s">
        <v>78</v>
      </c>
      <c r="H48" s="19" t="s">
        <v>74</v>
      </c>
      <c r="I48" s="19" t="s">
        <v>75</v>
      </c>
      <c r="J48" s="20">
        <v>5.84</v>
      </c>
      <c r="K48" s="21">
        <v>4</v>
      </c>
      <c r="L48" s="22">
        <v>1219</v>
      </c>
      <c r="M48" s="22">
        <v>1488</v>
      </c>
      <c r="N48" s="81">
        <f>(Table1[[#This Row],[Clicks]]/Table1[[#This Row],[Total Impressions]])*100</f>
        <v>0.26881720430107531</v>
      </c>
      <c r="O48" s="19">
        <v>3.92</v>
      </c>
      <c r="P48" s="22">
        <v>242</v>
      </c>
      <c r="Q48" s="22">
        <v>8</v>
      </c>
      <c r="R48" s="23">
        <f t="shared" si="3"/>
        <v>0.16263440860215053</v>
      </c>
      <c r="S48" s="24">
        <f t="shared" si="4"/>
        <v>5.3763440860215058E-3</v>
      </c>
      <c r="T48" s="19">
        <v>10</v>
      </c>
      <c r="U48" s="29">
        <v>6.7000000000000002E-3</v>
      </c>
      <c r="V48" s="60">
        <f>IF(Table1[[#This Row],[Clicks]]= 0,0,Table1[[#This Row],[Amount Spent]]/Table1[[#This Row],[Clicks]])</f>
        <v>1.46</v>
      </c>
      <c r="W48" s="18" t="s">
        <v>354</v>
      </c>
    </row>
    <row r="49" spans="1:23" x14ac:dyDescent="0.25">
      <c r="A49" s="28" t="s">
        <v>69</v>
      </c>
      <c r="B49" s="19" t="s">
        <v>369</v>
      </c>
      <c r="C49" s="19" t="str">
        <f t="shared" si="2"/>
        <v>Kuwait Target Group</v>
      </c>
      <c r="D49" s="19" t="s">
        <v>379</v>
      </c>
      <c r="E49" s="19" t="s">
        <v>130</v>
      </c>
      <c r="F49" s="19" t="s">
        <v>37</v>
      </c>
      <c r="G49" s="19" t="s">
        <v>77</v>
      </c>
      <c r="H49" s="19" t="s">
        <v>74</v>
      </c>
      <c r="I49" s="19" t="s">
        <v>75</v>
      </c>
      <c r="J49" s="20">
        <v>5.79</v>
      </c>
      <c r="K49" s="21">
        <v>5</v>
      </c>
      <c r="L49" s="22">
        <v>1254</v>
      </c>
      <c r="M49" s="22">
        <v>1503</v>
      </c>
      <c r="N49" s="81">
        <f>(Table1[[#This Row],[Clicks]]/Table1[[#This Row],[Total Impressions]])*100</f>
        <v>0.33266799733865599</v>
      </c>
      <c r="O49" s="19">
        <v>3.85</v>
      </c>
      <c r="P49" s="22">
        <v>294</v>
      </c>
      <c r="Q49" s="22">
        <v>2</v>
      </c>
      <c r="R49" s="23">
        <f t="shared" si="3"/>
        <v>0.19560878243512975</v>
      </c>
      <c r="S49" s="24">
        <f t="shared" si="4"/>
        <v>1.3306719893546241E-3</v>
      </c>
      <c r="T49" s="19">
        <v>10</v>
      </c>
      <c r="U49" s="29">
        <v>6.7000000000000002E-3</v>
      </c>
      <c r="V49" s="60">
        <f>IF(Table1[[#This Row],[Clicks]]= 0,0,Table1[[#This Row],[Amount Spent]]/Table1[[#This Row],[Clicks]])</f>
        <v>1.1579999999999999</v>
      </c>
      <c r="W49" s="18" t="s">
        <v>354</v>
      </c>
    </row>
    <row r="50" spans="1:23" x14ac:dyDescent="0.25">
      <c r="A50" s="28" t="s">
        <v>68</v>
      </c>
      <c r="B50" s="19" t="s">
        <v>370</v>
      </c>
      <c r="C50" s="19" t="str">
        <f t="shared" si="2"/>
        <v>Oman Target Group</v>
      </c>
      <c r="D50" s="19" t="s">
        <v>380</v>
      </c>
      <c r="E50" s="19" t="s">
        <v>73</v>
      </c>
      <c r="F50" s="19" t="s">
        <v>30</v>
      </c>
      <c r="G50" s="19" t="s">
        <v>78</v>
      </c>
      <c r="H50" s="19" t="s">
        <v>74</v>
      </c>
      <c r="I50" s="19" t="s">
        <v>75</v>
      </c>
      <c r="J50" s="20">
        <v>273.51</v>
      </c>
      <c r="K50" s="21">
        <v>0</v>
      </c>
      <c r="L50" s="22">
        <v>412773</v>
      </c>
      <c r="M50" s="22">
        <v>658188</v>
      </c>
      <c r="N50" s="81">
        <f>(Table1[[#This Row],[Clicks]]/Table1[[#This Row],[Total Impressions]])*100</f>
        <v>0</v>
      </c>
      <c r="O50" s="19">
        <v>0.42</v>
      </c>
      <c r="P50" s="22">
        <v>106158</v>
      </c>
      <c r="Q50" s="22">
        <v>2373</v>
      </c>
      <c r="R50" s="23">
        <f t="shared" si="3"/>
        <v>0.16128826414337544</v>
      </c>
      <c r="S50" s="24">
        <f t="shared" si="4"/>
        <v>3.6053528779011468E-3</v>
      </c>
      <c r="T50" s="19">
        <v>2389</v>
      </c>
      <c r="U50" s="29">
        <v>3.5999999999999999E-3</v>
      </c>
      <c r="V50" s="60">
        <f>IF(Table1[[#This Row],[Clicks]]= 0,0,Table1[[#This Row],[Amount Spent]]/Table1[[#This Row],[Clicks]])</f>
        <v>0</v>
      </c>
      <c r="W50" s="18" t="s">
        <v>354</v>
      </c>
    </row>
    <row r="51" spans="1:23" x14ac:dyDescent="0.25">
      <c r="A51" s="28" t="s">
        <v>68</v>
      </c>
      <c r="B51" s="19" t="s">
        <v>370</v>
      </c>
      <c r="C51" s="19" t="str">
        <f t="shared" si="2"/>
        <v>Oman Target Group</v>
      </c>
      <c r="D51" s="19" t="s">
        <v>380</v>
      </c>
      <c r="E51" s="19" t="s">
        <v>73</v>
      </c>
      <c r="F51" s="19" t="s">
        <v>31</v>
      </c>
      <c r="G51" s="19" t="s">
        <v>77</v>
      </c>
      <c r="H51" s="19" t="s">
        <v>74</v>
      </c>
      <c r="I51" s="19" t="s">
        <v>75</v>
      </c>
      <c r="J51" s="20">
        <v>255.96</v>
      </c>
      <c r="K51" s="21">
        <v>0</v>
      </c>
      <c r="L51" s="22">
        <v>403822</v>
      </c>
      <c r="M51" s="22">
        <v>639027</v>
      </c>
      <c r="N51" s="81">
        <f>(Table1[[#This Row],[Clicks]]/Table1[[#This Row],[Total Impressions]])*100</f>
        <v>0</v>
      </c>
      <c r="O51" s="19">
        <v>0.4</v>
      </c>
      <c r="P51" s="22">
        <v>132148</v>
      </c>
      <c r="Q51" s="22">
        <v>2514</v>
      </c>
      <c r="R51" s="23">
        <f t="shared" si="3"/>
        <v>0.20679564400252259</v>
      </c>
      <c r="S51" s="24">
        <f t="shared" si="4"/>
        <v>3.9341060706355128E-3</v>
      </c>
      <c r="T51" s="19">
        <v>2513</v>
      </c>
      <c r="U51" s="29">
        <v>3.8999999999999998E-3</v>
      </c>
      <c r="V51" s="60">
        <f>IF(Table1[[#This Row],[Clicks]]= 0,0,Table1[[#This Row],[Amount Spent]]/Table1[[#This Row],[Clicks]])</f>
        <v>0</v>
      </c>
      <c r="W51" s="18" t="s">
        <v>354</v>
      </c>
    </row>
    <row r="52" spans="1:23" x14ac:dyDescent="0.25">
      <c r="A52" s="28" t="s">
        <v>68</v>
      </c>
      <c r="B52" s="19" t="s">
        <v>370</v>
      </c>
      <c r="C52" s="19" t="str">
        <f t="shared" si="2"/>
        <v>Oman Target Group</v>
      </c>
      <c r="D52" s="19" t="s">
        <v>380</v>
      </c>
      <c r="E52" s="19" t="s">
        <v>73</v>
      </c>
      <c r="F52" s="19" t="s">
        <v>32</v>
      </c>
      <c r="G52" s="19" t="s">
        <v>78</v>
      </c>
      <c r="H52" s="19" t="s">
        <v>74</v>
      </c>
      <c r="I52" s="19" t="s">
        <v>75</v>
      </c>
      <c r="J52" s="20">
        <v>255.51</v>
      </c>
      <c r="K52" s="21">
        <v>0</v>
      </c>
      <c r="L52" s="22">
        <v>405289</v>
      </c>
      <c r="M52" s="22">
        <v>639959</v>
      </c>
      <c r="N52" s="81">
        <f>(Table1[[#This Row],[Clicks]]/Table1[[#This Row],[Total Impressions]])*100</f>
        <v>0</v>
      </c>
      <c r="O52" s="19">
        <v>0.4</v>
      </c>
      <c r="P52" s="22">
        <v>96482</v>
      </c>
      <c r="Q52" s="22">
        <v>1574</v>
      </c>
      <c r="R52" s="23">
        <f t="shared" si="3"/>
        <v>0.15076278324080136</v>
      </c>
      <c r="S52" s="24">
        <f t="shared" si="4"/>
        <v>2.4595325638048686E-3</v>
      </c>
      <c r="T52" s="19">
        <v>2410</v>
      </c>
      <c r="U52" s="29">
        <v>3.8E-3</v>
      </c>
      <c r="V52" s="60">
        <f>IF(Table1[[#This Row],[Clicks]]= 0,0,Table1[[#This Row],[Amount Spent]]/Table1[[#This Row],[Clicks]])</f>
        <v>0</v>
      </c>
      <c r="W52" s="18" t="s">
        <v>354</v>
      </c>
    </row>
    <row r="53" spans="1:23" x14ac:dyDescent="0.25">
      <c r="A53" s="28" t="s">
        <v>68</v>
      </c>
      <c r="B53" s="19" t="s">
        <v>370</v>
      </c>
      <c r="C53" s="19" t="str">
        <f t="shared" si="2"/>
        <v>Oman Target Group</v>
      </c>
      <c r="D53" s="19" t="s">
        <v>380</v>
      </c>
      <c r="E53" s="19" t="s">
        <v>73</v>
      </c>
      <c r="F53" s="19" t="s">
        <v>33</v>
      </c>
      <c r="G53" s="19" t="s">
        <v>77</v>
      </c>
      <c r="H53" s="19" t="s">
        <v>74</v>
      </c>
      <c r="I53" s="19" t="s">
        <v>75</v>
      </c>
      <c r="J53" s="20">
        <v>246.34</v>
      </c>
      <c r="K53" s="21">
        <v>0</v>
      </c>
      <c r="L53" s="22">
        <v>402112</v>
      </c>
      <c r="M53" s="22">
        <v>630665</v>
      </c>
      <c r="N53" s="81">
        <f>(Table1[[#This Row],[Clicks]]/Table1[[#This Row],[Total Impressions]])*100</f>
        <v>0</v>
      </c>
      <c r="O53" s="19">
        <v>0.39</v>
      </c>
      <c r="P53" s="22">
        <v>122502</v>
      </c>
      <c r="Q53" s="22">
        <v>1640</v>
      </c>
      <c r="R53" s="23">
        <f t="shared" si="3"/>
        <v>0.19424258520767762</v>
      </c>
      <c r="S53" s="24">
        <f t="shared" si="4"/>
        <v>2.6004297051524976E-3</v>
      </c>
      <c r="T53" s="19">
        <v>2518</v>
      </c>
      <c r="U53" s="29">
        <v>4.0000000000000001E-3</v>
      </c>
      <c r="V53" s="60">
        <f>IF(Table1[[#This Row],[Clicks]]= 0,0,Table1[[#This Row],[Amount Spent]]/Table1[[#This Row],[Clicks]])</f>
        <v>0</v>
      </c>
      <c r="W53" s="18" t="s">
        <v>354</v>
      </c>
    </row>
    <row r="54" spans="1:23" x14ac:dyDescent="0.25">
      <c r="A54" s="28" t="s">
        <v>67</v>
      </c>
      <c r="B54" s="19" t="s">
        <v>371</v>
      </c>
      <c r="C54" s="19" t="str">
        <f t="shared" si="2"/>
        <v>Qatar Target Group</v>
      </c>
      <c r="D54" s="19" t="s">
        <v>381</v>
      </c>
      <c r="E54" s="19" t="s">
        <v>73</v>
      </c>
      <c r="F54" s="19" t="s">
        <v>24</v>
      </c>
      <c r="G54" s="19" t="s">
        <v>77</v>
      </c>
      <c r="H54" s="19" t="s">
        <v>74</v>
      </c>
      <c r="I54" s="19" t="s">
        <v>75</v>
      </c>
      <c r="J54" s="20">
        <v>753.03</v>
      </c>
      <c r="K54" s="21">
        <v>1594</v>
      </c>
      <c r="L54" s="22">
        <v>604532</v>
      </c>
      <c r="M54" s="22">
        <v>925679</v>
      </c>
      <c r="N54" s="81">
        <f>(Table1[[#This Row],[Clicks]]/Table1[[#This Row],[Total Impressions]])*100</f>
        <v>0.17219792174177009</v>
      </c>
      <c r="O54" s="19">
        <v>0.81</v>
      </c>
      <c r="P54" s="22">
        <v>140422</v>
      </c>
      <c r="Q54" s="22">
        <v>3176</v>
      </c>
      <c r="R54" s="23">
        <f t="shared" si="3"/>
        <v>0.1516962143464419</v>
      </c>
      <c r="S54" s="24">
        <f t="shared" si="4"/>
        <v>3.4309949777406638E-3</v>
      </c>
      <c r="T54" s="19">
        <v>4913</v>
      </c>
      <c r="U54" s="29">
        <v>5.3E-3</v>
      </c>
      <c r="V54" s="60">
        <f>IF(Table1[[#This Row],[Clicks]]= 0,0,Table1[[#This Row],[Amount Spent]]/Table1[[#This Row],[Clicks]])</f>
        <v>0.47241530740276033</v>
      </c>
      <c r="W54" s="18" t="s">
        <v>354</v>
      </c>
    </row>
    <row r="55" spans="1:23" x14ac:dyDescent="0.25">
      <c r="A55" s="28" t="s">
        <v>67</v>
      </c>
      <c r="B55" s="19" t="s">
        <v>371</v>
      </c>
      <c r="C55" s="19" t="str">
        <f t="shared" si="2"/>
        <v>Qatar Target Group</v>
      </c>
      <c r="D55" s="19" t="s">
        <v>381</v>
      </c>
      <c r="E55" s="19" t="s">
        <v>73</v>
      </c>
      <c r="F55" s="19" t="s">
        <v>25</v>
      </c>
      <c r="G55" s="19" t="s">
        <v>78</v>
      </c>
      <c r="H55" s="19" t="s">
        <v>74</v>
      </c>
      <c r="I55" s="19" t="s">
        <v>75</v>
      </c>
      <c r="J55" s="20">
        <v>729.56</v>
      </c>
      <c r="K55" s="21">
        <v>1721</v>
      </c>
      <c r="L55" s="22">
        <v>593301</v>
      </c>
      <c r="M55" s="22">
        <v>906138</v>
      </c>
      <c r="N55" s="81">
        <f>(Table1[[#This Row],[Clicks]]/Table1[[#This Row],[Total Impressions]])*100</f>
        <v>0.18992692062356947</v>
      </c>
      <c r="O55" s="19">
        <v>0.81</v>
      </c>
      <c r="P55" s="22">
        <v>114828</v>
      </c>
      <c r="Q55" s="22">
        <v>2174</v>
      </c>
      <c r="R55" s="23">
        <f t="shared" si="3"/>
        <v>0.12672241976387702</v>
      </c>
      <c r="S55" s="24">
        <f t="shared" si="4"/>
        <v>2.3991930588938993E-3</v>
      </c>
      <c r="T55" s="19">
        <v>4803</v>
      </c>
      <c r="U55" s="29">
        <v>5.3E-3</v>
      </c>
      <c r="V55" s="60">
        <f>IF(Table1[[#This Row],[Clicks]]= 0,0,Table1[[#This Row],[Amount Spent]]/Table1[[#This Row],[Clicks]])</f>
        <v>0.42391632771644389</v>
      </c>
      <c r="W55" s="18" t="s">
        <v>354</v>
      </c>
    </row>
    <row r="56" spans="1:23" x14ac:dyDescent="0.25">
      <c r="A56" s="28" t="s">
        <v>67</v>
      </c>
      <c r="B56" s="19" t="s">
        <v>371</v>
      </c>
      <c r="C56" s="19" t="str">
        <f t="shared" si="2"/>
        <v>Qatar Target Group</v>
      </c>
      <c r="D56" s="19" t="s">
        <v>381</v>
      </c>
      <c r="E56" s="19" t="s">
        <v>73</v>
      </c>
      <c r="F56" s="19" t="s">
        <v>26</v>
      </c>
      <c r="G56" s="19" t="s">
        <v>78</v>
      </c>
      <c r="H56" s="19" t="s">
        <v>74</v>
      </c>
      <c r="I56" s="19" t="s">
        <v>75</v>
      </c>
      <c r="J56" s="20">
        <v>729.44</v>
      </c>
      <c r="K56" s="21">
        <v>1724</v>
      </c>
      <c r="L56" s="22">
        <v>594177</v>
      </c>
      <c r="M56" s="22">
        <v>903314</v>
      </c>
      <c r="N56" s="81">
        <f>(Table1[[#This Row],[Clicks]]/Table1[[#This Row],[Total Impressions]])*100</f>
        <v>0.19085279315941081</v>
      </c>
      <c r="O56" s="19">
        <v>0.81</v>
      </c>
      <c r="P56" s="22">
        <v>123348</v>
      </c>
      <c r="Q56" s="22">
        <v>3143</v>
      </c>
      <c r="R56" s="23">
        <f t="shared" si="3"/>
        <v>0.13655052395955339</v>
      </c>
      <c r="S56" s="24">
        <f t="shared" si="4"/>
        <v>3.4794102604409982E-3</v>
      </c>
      <c r="T56" s="19">
        <v>4815</v>
      </c>
      <c r="U56" s="29">
        <v>5.3E-3</v>
      </c>
      <c r="V56" s="60">
        <f>IF(Table1[[#This Row],[Clicks]]= 0,0,Table1[[#This Row],[Amount Spent]]/Table1[[#This Row],[Clicks]])</f>
        <v>0.42310904872389793</v>
      </c>
      <c r="W56" s="18" t="s">
        <v>354</v>
      </c>
    </row>
    <row r="57" spans="1:23" x14ac:dyDescent="0.25">
      <c r="A57" s="28" t="s">
        <v>67</v>
      </c>
      <c r="B57" s="19" t="s">
        <v>371</v>
      </c>
      <c r="C57" s="19" t="str">
        <f t="shared" si="2"/>
        <v>Qatar Target Group</v>
      </c>
      <c r="D57" s="19" t="s">
        <v>381</v>
      </c>
      <c r="E57" s="19" t="s">
        <v>73</v>
      </c>
      <c r="F57" s="19" t="s">
        <v>27</v>
      </c>
      <c r="G57" s="19" t="s">
        <v>77</v>
      </c>
      <c r="H57" s="19" t="s">
        <v>74</v>
      </c>
      <c r="I57" s="19" t="s">
        <v>75</v>
      </c>
      <c r="J57" s="20">
        <v>723.32</v>
      </c>
      <c r="K57" s="21">
        <v>1390</v>
      </c>
      <c r="L57" s="22">
        <v>592808</v>
      </c>
      <c r="M57" s="22">
        <v>899545</v>
      </c>
      <c r="N57" s="81">
        <f>(Table1[[#This Row],[Clicks]]/Table1[[#This Row],[Total Impressions]])*100</f>
        <v>0.15452256418522697</v>
      </c>
      <c r="O57" s="19">
        <v>0.8</v>
      </c>
      <c r="P57" s="22">
        <v>117662</v>
      </c>
      <c r="Q57" s="22">
        <v>2194</v>
      </c>
      <c r="R57" s="23">
        <f t="shared" si="3"/>
        <v>0.13080168307310919</v>
      </c>
      <c r="S57" s="24">
        <f t="shared" si="4"/>
        <v>2.43901083325459E-3</v>
      </c>
      <c r="T57" s="19">
        <v>4470</v>
      </c>
      <c r="U57" s="29">
        <v>5.0000000000000001E-3</v>
      </c>
      <c r="V57" s="60">
        <f>IF(Table1[[#This Row],[Clicks]]= 0,0,Table1[[#This Row],[Amount Spent]]/Table1[[#This Row],[Clicks]])</f>
        <v>0.52037410071942447</v>
      </c>
      <c r="W57" s="18" t="s">
        <v>354</v>
      </c>
    </row>
    <row r="58" spans="1:23" x14ac:dyDescent="0.25">
      <c r="A58" s="28" t="s">
        <v>67</v>
      </c>
      <c r="B58" s="19" t="s">
        <v>371</v>
      </c>
      <c r="C58" s="19" t="str">
        <f t="shared" si="2"/>
        <v>Qatar Target Group</v>
      </c>
      <c r="D58" s="19" t="s">
        <v>381</v>
      </c>
      <c r="E58" s="19" t="s">
        <v>73</v>
      </c>
      <c r="F58" s="19" t="s">
        <v>24</v>
      </c>
      <c r="G58" s="19" t="s">
        <v>77</v>
      </c>
      <c r="H58" s="19" t="s">
        <v>74</v>
      </c>
      <c r="I58" s="19" t="s">
        <v>75</v>
      </c>
      <c r="J58" s="20">
        <v>59.42</v>
      </c>
      <c r="K58" s="21">
        <v>0</v>
      </c>
      <c r="L58" s="22">
        <v>119639</v>
      </c>
      <c r="M58" s="22">
        <v>136147</v>
      </c>
      <c r="N58" s="81">
        <f>(Table1[[#This Row],[Clicks]]/Table1[[#This Row],[Total Impressions]])*100</f>
        <v>0</v>
      </c>
      <c r="O58" s="19">
        <v>0.44</v>
      </c>
      <c r="P58" s="22">
        <v>19564</v>
      </c>
      <c r="Q58" s="22">
        <v>391</v>
      </c>
      <c r="R58" s="23">
        <f t="shared" si="3"/>
        <v>0.14369762095382196</v>
      </c>
      <c r="S58" s="24">
        <f t="shared" si="4"/>
        <v>2.8718958184903083E-3</v>
      </c>
      <c r="T58" s="19">
        <v>281</v>
      </c>
      <c r="U58" s="29">
        <v>2.0999999999999999E-3</v>
      </c>
      <c r="V58" s="60">
        <f>IF(Table1[[#This Row],[Clicks]]= 0,0,Table1[[#This Row],[Amount Spent]]/Table1[[#This Row],[Clicks]])</f>
        <v>0</v>
      </c>
      <c r="W58" s="18" t="s">
        <v>354</v>
      </c>
    </row>
    <row r="59" spans="1:23" x14ac:dyDescent="0.25">
      <c r="A59" s="28" t="s">
        <v>67</v>
      </c>
      <c r="B59" s="19" t="s">
        <v>371</v>
      </c>
      <c r="C59" s="19" t="str">
        <f t="shared" si="2"/>
        <v>Qatar Target Group</v>
      </c>
      <c r="D59" s="19" t="s">
        <v>381</v>
      </c>
      <c r="E59" s="19" t="s">
        <v>73</v>
      </c>
      <c r="F59" s="19" t="s">
        <v>28</v>
      </c>
      <c r="G59" s="19" t="s">
        <v>78</v>
      </c>
      <c r="H59" s="19" t="s">
        <v>74</v>
      </c>
      <c r="I59" s="19" t="s">
        <v>75</v>
      </c>
      <c r="J59" s="20">
        <v>47.55</v>
      </c>
      <c r="K59" s="21">
        <v>0</v>
      </c>
      <c r="L59" s="22">
        <v>109046</v>
      </c>
      <c r="M59" s="22">
        <v>122626</v>
      </c>
      <c r="N59" s="81">
        <f>(Table1[[#This Row],[Clicks]]/Table1[[#This Row],[Total Impressions]])*100</f>
        <v>0</v>
      </c>
      <c r="O59" s="19">
        <v>0.39</v>
      </c>
      <c r="P59" s="22">
        <v>15268</v>
      </c>
      <c r="Q59" s="22">
        <v>327</v>
      </c>
      <c r="R59" s="23">
        <f t="shared" si="3"/>
        <v>0.12450866863471043</v>
      </c>
      <c r="S59" s="24">
        <f t="shared" si="4"/>
        <v>2.6666449203268474E-3</v>
      </c>
      <c r="T59" s="19">
        <v>277</v>
      </c>
      <c r="U59" s="29">
        <v>2.3E-3</v>
      </c>
      <c r="V59" s="60">
        <f>IF(Table1[[#This Row],[Clicks]]= 0,0,Table1[[#This Row],[Amount Spent]]/Table1[[#This Row],[Clicks]])</f>
        <v>0</v>
      </c>
      <c r="W59" s="18" t="s">
        <v>354</v>
      </c>
    </row>
    <row r="60" spans="1:23" x14ac:dyDescent="0.25">
      <c r="A60" s="28" t="s">
        <v>67</v>
      </c>
      <c r="B60" s="19" t="s">
        <v>371</v>
      </c>
      <c r="C60" s="19" t="str">
        <f t="shared" si="2"/>
        <v>Qatar Target Group</v>
      </c>
      <c r="D60" s="19" t="s">
        <v>381</v>
      </c>
      <c r="E60" s="19" t="s">
        <v>73</v>
      </c>
      <c r="F60" s="19" t="s">
        <v>29</v>
      </c>
      <c r="G60" s="19" t="s">
        <v>78</v>
      </c>
      <c r="H60" s="19" t="s">
        <v>74</v>
      </c>
      <c r="I60" s="19" t="s">
        <v>75</v>
      </c>
      <c r="J60" s="20">
        <v>46.13</v>
      </c>
      <c r="K60" s="21">
        <v>0</v>
      </c>
      <c r="L60" s="22">
        <v>107007</v>
      </c>
      <c r="M60" s="22">
        <v>119740</v>
      </c>
      <c r="N60" s="81">
        <f>(Table1[[#This Row],[Clicks]]/Table1[[#This Row],[Total Impressions]])*100</f>
        <v>0</v>
      </c>
      <c r="O60" s="19">
        <v>0.39</v>
      </c>
      <c r="P60" s="22">
        <v>13823</v>
      </c>
      <c r="Q60" s="22">
        <v>228</v>
      </c>
      <c r="R60" s="23">
        <f t="shared" si="3"/>
        <v>0.11544179054618339</v>
      </c>
      <c r="S60" s="24">
        <f t="shared" si="4"/>
        <v>1.9041256054785369E-3</v>
      </c>
      <c r="T60" s="19">
        <v>283</v>
      </c>
      <c r="U60" s="29">
        <v>2.3999999999999998E-3</v>
      </c>
      <c r="V60" s="60">
        <f>IF(Table1[[#This Row],[Clicks]]= 0,0,Table1[[#This Row],[Amount Spent]]/Table1[[#This Row],[Clicks]])</f>
        <v>0</v>
      </c>
      <c r="W60" s="18" t="s">
        <v>354</v>
      </c>
    </row>
    <row r="61" spans="1:23" x14ac:dyDescent="0.25">
      <c r="A61" s="28" t="s">
        <v>67</v>
      </c>
      <c r="B61" s="19" t="s">
        <v>371</v>
      </c>
      <c r="C61" s="19" t="str">
        <f t="shared" si="2"/>
        <v>Qatar Target Group</v>
      </c>
      <c r="D61" s="19" t="s">
        <v>381</v>
      </c>
      <c r="E61" s="19" t="s">
        <v>73</v>
      </c>
      <c r="F61" s="19" t="s">
        <v>27</v>
      </c>
      <c r="G61" s="19" t="s">
        <v>77</v>
      </c>
      <c r="H61" s="19" t="s">
        <v>74</v>
      </c>
      <c r="I61" s="19" t="s">
        <v>75</v>
      </c>
      <c r="J61" s="20">
        <v>42.06</v>
      </c>
      <c r="K61" s="21">
        <v>0</v>
      </c>
      <c r="L61" s="22">
        <v>102452</v>
      </c>
      <c r="M61" s="22">
        <v>115599</v>
      </c>
      <c r="N61" s="81">
        <f>(Table1[[#This Row],[Clicks]]/Table1[[#This Row],[Total Impressions]])*100</f>
        <v>0</v>
      </c>
      <c r="O61" s="19">
        <v>0.36</v>
      </c>
      <c r="P61" s="22">
        <v>13754</v>
      </c>
      <c r="Q61" s="22">
        <v>235</v>
      </c>
      <c r="R61" s="23">
        <f t="shared" si="3"/>
        <v>0.11898026799539789</v>
      </c>
      <c r="S61" s="24">
        <f t="shared" si="4"/>
        <v>2.0328895578681475E-3</v>
      </c>
      <c r="T61" s="19">
        <v>263</v>
      </c>
      <c r="U61" s="29">
        <v>2.3E-3</v>
      </c>
      <c r="V61" s="60">
        <f>IF(Table1[[#This Row],[Clicks]]= 0,0,Table1[[#This Row],[Amount Spent]]/Table1[[#This Row],[Clicks]])</f>
        <v>0</v>
      </c>
      <c r="W61" s="18" t="s">
        <v>354</v>
      </c>
    </row>
    <row r="62" spans="1:23" x14ac:dyDescent="0.25">
      <c r="A62" s="28" t="s">
        <v>66</v>
      </c>
      <c r="B62" s="19" t="s">
        <v>372</v>
      </c>
      <c r="C62" s="19" t="str">
        <f t="shared" si="2"/>
        <v>RiyadhTarget Group</v>
      </c>
      <c r="D62" s="19" t="s">
        <v>382</v>
      </c>
      <c r="E62" s="19" t="s">
        <v>73</v>
      </c>
      <c r="F62" s="19" t="s">
        <v>15</v>
      </c>
      <c r="G62" s="19" t="s">
        <v>77</v>
      </c>
      <c r="H62" s="19" t="s">
        <v>74</v>
      </c>
      <c r="I62" s="19" t="s">
        <v>75</v>
      </c>
      <c r="J62" s="20">
        <v>6640.06</v>
      </c>
      <c r="K62" s="21">
        <v>11347</v>
      </c>
      <c r="L62" s="22">
        <v>3064506</v>
      </c>
      <c r="M62" s="22">
        <v>5201668</v>
      </c>
      <c r="N62" s="81">
        <f>(Table1[[#This Row],[Clicks]]/Table1[[#This Row],[Total Impressions]])*100</f>
        <v>0.21814156535941934</v>
      </c>
      <c r="O62" s="19">
        <v>1.28</v>
      </c>
      <c r="P62" s="22">
        <v>499252</v>
      </c>
      <c r="Q62" s="22">
        <v>5692</v>
      </c>
      <c r="R62" s="23">
        <f t="shared" si="3"/>
        <v>9.5979212821733342E-2</v>
      </c>
      <c r="S62" s="24">
        <f t="shared" si="4"/>
        <v>1.0942643782725079E-3</v>
      </c>
      <c r="T62" s="19">
        <v>30892</v>
      </c>
      <c r="U62" s="29">
        <v>5.8999999999999999E-3</v>
      </c>
      <c r="V62" s="60">
        <f>IF(Table1[[#This Row],[Clicks]]= 0,0,Table1[[#This Row],[Amount Spent]]/Table1[[#This Row],[Clicks]])</f>
        <v>0.5851819864281308</v>
      </c>
      <c r="W62" s="18" t="s">
        <v>354</v>
      </c>
    </row>
    <row r="63" spans="1:23" x14ac:dyDescent="0.25">
      <c r="A63" s="28" t="s">
        <v>66</v>
      </c>
      <c r="B63" s="19" t="s">
        <v>372</v>
      </c>
      <c r="C63" s="19" t="str">
        <f t="shared" si="2"/>
        <v>RiyadhTarget Group</v>
      </c>
      <c r="D63" s="19" t="s">
        <v>382</v>
      </c>
      <c r="E63" s="19" t="s">
        <v>73</v>
      </c>
      <c r="F63" s="19" t="s">
        <v>16</v>
      </c>
      <c r="G63" s="19" t="s">
        <v>77</v>
      </c>
      <c r="H63" s="19" t="s">
        <v>74</v>
      </c>
      <c r="I63" s="19" t="s">
        <v>75</v>
      </c>
      <c r="J63" s="20">
        <v>6242.05</v>
      </c>
      <c r="K63" s="21">
        <v>10319</v>
      </c>
      <c r="L63" s="22">
        <v>2927170</v>
      </c>
      <c r="M63" s="22">
        <v>4897606</v>
      </c>
      <c r="N63" s="81">
        <f>(Table1[[#This Row],[Clicks]]/Table1[[#This Row],[Total Impressions]])*100</f>
        <v>0.21069477618248589</v>
      </c>
      <c r="O63" s="19">
        <v>1.27</v>
      </c>
      <c r="P63" s="22">
        <v>670323</v>
      </c>
      <c r="Q63" s="22">
        <v>13332</v>
      </c>
      <c r="R63" s="23">
        <f t="shared" si="3"/>
        <v>0.13686748178599911</v>
      </c>
      <c r="S63" s="24">
        <f t="shared" si="4"/>
        <v>2.7221462894320204E-3</v>
      </c>
      <c r="T63" s="19">
        <v>29129</v>
      </c>
      <c r="U63" s="29">
        <v>5.8999999999999999E-3</v>
      </c>
      <c r="V63" s="60">
        <f>IF(Table1[[#This Row],[Clicks]]= 0,0,Table1[[#This Row],[Amount Spent]]/Table1[[#This Row],[Clicks]])</f>
        <v>0.60490842135865885</v>
      </c>
      <c r="W63" s="18" t="s">
        <v>354</v>
      </c>
    </row>
    <row r="64" spans="1:23" x14ac:dyDescent="0.25">
      <c r="A64" s="28" t="s">
        <v>66</v>
      </c>
      <c r="B64" s="19" t="s">
        <v>372</v>
      </c>
      <c r="C64" s="19" t="str">
        <f t="shared" si="2"/>
        <v>RiyadhTarget Group</v>
      </c>
      <c r="D64" s="19" t="s">
        <v>382</v>
      </c>
      <c r="E64" s="19" t="s">
        <v>73</v>
      </c>
      <c r="F64" s="19" t="s">
        <v>17</v>
      </c>
      <c r="G64" s="19" t="s">
        <v>77</v>
      </c>
      <c r="H64" s="19" t="s">
        <v>74</v>
      </c>
      <c r="I64" s="19" t="s">
        <v>75</v>
      </c>
      <c r="J64" s="20">
        <v>6196.59</v>
      </c>
      <c r="K64" s="21">
        <v>10100</v>
      </c>
      <c r="L64" s="22">
        <v>2903385</v>
      </c>
      <c r="M64" s="22">
        <v>4899758</v>
      </c>
      <c r="N64" s="81">
        <f>(Table1[[#This Row],[Clicks]]/Table1[[#This Row],[Total Impressions]])*100</f>
        <v>0.20613262940741153</v>
      </c>
      <c r="O64" s="19">
        <v>1.26</v>
      </c>
      <c r="P64" s="22">
        <v>676057</v>
      </c>
      <c r="Q64" s="22">
        <v>8223</v>
      </c>
      <c r="R64" s="23">
        <f t="shared" si="3"/>
        <v>0.13797763073196675</v>
      </c>
      <c r="S64" s="24">
        <f t="shared" si="4"/>
        <v>1.6782461501159854E-3</v>
      </c>
      <c r="T64" s="19">
        <v>28854</v>
      </c>
      <c r="U64" s="29">
        <v>5.8999999999999999E-3</v>
      </c>
      <c r="V64" s="60">
        <f>IF(Table1[[#This Row],[Clicks]]= 0,0,Table1[[#This Row],[Amount Spent]]/Table1[[#This Row],[Clicks]])</f>
        <v>0.61352376237623762</v>
      </c>
      <c r="W64" s="18" t="s">
        <v>354</v>
      </c>
    </row>
    <row r="65" spans="1:23" x14ac:dyDescent="0.25">
      <c r="A65" s="28" t="s">
        <v>66</v>
      </c>
      <c r="B65" s="19" t="s">
        <v>372</v>
      </c>
      <c r="C65" s="19" t="str">
        <f t="shared" si="2"/>
        <v>RiyadhTarget Group</v>
      </c>
      <c r="D65" s="19" t="s">
        <v>382</v>
      </c>
      <c r="E65" s="19" t="s">
        <v>73</v>
      </c>
      <c r="F65" s="19" t="s">
        <v>18</v>
      </c>
      <c r="G65" s="19" t="s">
        <v>77</v>
      </c>
      <c r="H65" s="19" t="s">
        <v>74</v>
      </c>
      <c r="I65" s="19" t="s">
        <v>75</v>
      </c>
      <c r="J65" s="20">
        <v>412.15</v>
      </c>
      <c r="K65" s="21">
        <v>0</v>
      </c>
      <c r="L65" s="22">
        <v>539004</v>
      </c>
      <c r="M65" s="22">
        <v>637825</v>
      </c>
      <c r="N65" s="81">
        <f>(Table1[[#This Row],[Clicks]]/Table1[[#This Row],[Total Impressions]])*100</f>
        <v>0</v>
      </c>
      <c r="O65" s="19">
        <v>0.65</v>
      </c>
      <c r="P65" s="22">
        <v>80421</v>
      </c>
      <c r="Q65" s="22">
        <v>1387</v>
      </c>
      <c r="R65" s="23">
        <f t="shared" si="3"/>
        <v>0.12608630894054013</v>
      </c>
      <c r="S65" s="24">
        <f t="shared" si="4"/>
        <v>2.174577666287775E-3</v>
      </c>
      <c r="T65" s="19">
        <v>1879</v>
      </c>
      <c r="U65" s="29">
        <v>2.8999999999999998E-3</v>
      </c>
      <c r="V65" s="60">
        <f>IF(Table1[[#This Row],[Clicks]]= 0,0,Table1[[#This Row],[Amount Spent]]/Table1[[#This Row],[Clicks]])</f>
        <v>0</v>
      </c>
      <c r="W65" s="18" t="s">
        <v>354</v>
      </c>
    </row>
    <row r="66" spans="1:23" x14ac:dyDescent="0.25">
      <c r="A66" s="28" t="s">
        <v>66</v>
      </c>
      <c r="B66" s="19" t="s">
        <v>372</v>
      </c>
      <c r="C66" s="19" t="str">
        <f t="shared" si="2"/>
        <v>RiyadhTarget Group</v>
      </c>
      <c r="D66" s="19" t="s">
        <v>382</v>
      </c>
      <c r="E66" s="19" t="s">
        <v>73</v>
      </c>
      <c r="F66" s="19" t="s">
        <v>19</v>
      </c>
      <c r="G66" s="19" t="s">
        <v>77</v>
      </c>
      <c r="H66" s="19" t="s">
        <v>74</v>
      </c>
      <c r="I66" s="19" t="s">
        <v>75</v>
      </c>
      <c r="J66" s="20">
        <v>405.21</v>
      </c>
      <c r="K66" s="21">
        <v>0</v>
      </c>
      <c r="L66" s="22">
        <v>534674</v>
      </c>
      <c r="M66" s="22">
        <v>630921</v>
      </c>
      <c r="N66" s="81">
        <f>(Table1[[#This Row],[Clicks]]/Table1[[#This Row],[Total Impressions]])*100</f>
        <v>0</v>
      </c>
      <c r="O66" s="19">
        <v>0.64</v>
      </c>
      <c r="P66" s="22">
        <v>51336</v>
      </c>
      <c r="Q66" s="22">
        <v>497</v>
      </c>
      <c r="R66" s="23">
        <f t="shared" ref="R66:R73" si="5">(P66/M66)</f>
        <v>8.1366763826215965E-2</v>
      </c>
      <c r="S66" s="24">
        <f t="shared" ref="S66:S73" si="6">(Q66/M66)</f>
        <v>7.8773729199059788E-4</v>
      </c>
      <c r="T66" s="19">
        <v>1891</v>
      </c>
      <c r="U66" s="29">
        <v>3.0000000000000001E-3</v>
      </c>
      <c r="V66" s="60">
        <f>IF(Table1[[#This Row],[Clicks]]= 0,0,Table1[[#This Row],[Amount Spent]]/Table1[[#This Row],[Clicks]])</f>
        <v>0</v>
      </c>
      <c r="W66" s="18" t="s">
        <v>354</v>
      </c>
    </row>
    <row r="67" spans="1:23" x14ac:dyDescent="0.25">
      <c r="A67" s="28" t="s">
        <v>66</v>
      </c>
      <c r="B67" s="19" t="s">
        <v>372</v>
      </c>
      <c r="C67" s="19" t="str">
        <f t="shared" ref="C67:C73" si="7">IF(A67 = "AE","United Arab Emirates Target Group",IF(A67 = "BAH","Bahrain Target Group",IF(A67="JED","Jeddah Target Group",IF(A67="KWT","Kuwait Target Group",IF(A67="QAT","Qatar Target Group",IF(A67="RIY","RiyadhTarget Group","Oman Target Group"))))))</f>
        <v>RiyadhTarget Group</v>
      </c>
      <c r="D67" s="19" t="s">
        <v>382</v>
      </c>
      <c r="E67" s="19" t="s">
        <v>73</v>
      </c>
      <c r="F67" s="19" t="s">
        <v>20</v>
      </c>
      <c r="G67" s="19" t="s">
        <v>77</v>
      </c>
      <c r="H67" s="19" t="s">
        <v>74</v>
      </c>
      <c r="I67" s="19" t="s">
        <v>75</v>
      </c>
      <c r="J67" s="20">
        <v>385.44</v>
      </c>
      <c r="K67" s="21">
        <v>0</v>
      </c>
      <c r="L67" s="22">
        <v>512892</v>
      </c>
      <c r="M67" s="22">
        <v>605984</v>
      </c>
      <c r="N67" s="81">
        <f>(Table1[[#This Row],[Clicks]]/Table1[[#This Row],[Total Impressions]])*100</f>
        <v>0</v>
      </c>
      <c r="O67" s="19">
        <v>0.64</v>
      </c>
      <c r="P67" s="22">
        <v>80282</v>
      </c>
      <c r="Q67" s="22">
        <v>761</v>
      </c>
      <c r="R67" s="23">
        <f t="shared" si="5"/>
        <v>0.13248204573058034</v>
      </c>
      <c r="S67" s="24">
        <f t="shared" si="6"/>
        <v>1.255808734224006E-3</v>
      </c>
      <c r="T67" s="19">
        <v>1723</v>
      </c>
      <c r="U67" s="29">
        <v>2.8E-3</v>
      </c>
      <c r="V67" s="60">
        <f>IF(Table1[[#This Row],[Clicks]]= 0,0,Table1[[#This Row],[Amount Spent]]/Table1[[#This Row],[Clicks]])</f>
        <v>0</v>
      </c>
      <c r="W67" s="18" t="s">
        <v>354</v>
      </c>
    </row>
    <row r="68" spans="1:23" x14ac:dyDescent="0.25">
      <c r="A68" s="28" t="s">
        <v>66</v>
      </c>
      <c r="B68" s="19" t="s">
        <v>373</v>
      </c>
      <c r="C68" s="19" t="str">
        <f t="shared" si="7"/>
        <v>RiyadhTarget Group</v>
      </c>
      <c r="D68" s="19" t="s">
        <v>383</v>
      </c>
      <c r="E68" s="19" t="s">
        <v>130</v>
      </c>
      <c r="F68" s="19" t="s">
        <v>21</v>
      </c>
      <c r="G68" s="19" t="s">
        <v>77</v>
      </c>
      <c r="H68" s="19" t="s">
        <v>74</v>
      </c>
      <c r="I68" s="19" t="s">
        <v>75</v>
      </c>
      <c r="J68" s="20">
        <v>90.85</v>
      </c>
      <c r="K68" s="21">
        <v>50</v>
      </c>
      <c r="L68" s="22">
        <v>9481</v>
      </c>
      <c r="M68" s="22">
        <v>13789</v>
      </c>
      <c r="N68" s="81">
        <f>(Table1[[#This Row],[Clicks]]/Table1[[#This Row],[Total Impressions]])*100</f>
        <v>0.36260787584306331</v>
      </c>
      <c r="O68" s="19">
        <v>6.59</v>
      </c>
      <c r="P68" s="22">
        <v>2629</v>
      </c>
      <c r="Q68" s="22">
        <v>106</v>
      </c>
      <c r="R68" s="23">
        <f t="shared" si="5"/>
        <v>0.19065922111828268</v>
      </c>
      <c r="S68" s="24">
        <f t="shared" si="6"/>
        <v>7.6872869678729422E-3</v>
      </c>
      <c r="T68" s="19">
        <v>151</v>
      </c>
      <c r="U68" s="29">
        <v>1.0999999999999999E-2</v>
      </c>
      <c r="V68" s="60">
        <f>IF(Table1[[#This Row],[Clicks]]= 0,0,Table1[[#This Row],[Amount Spent]]/Table1[[#This Row],[Clicks]])</f>
        <v>1.8169999999999999</v>
      </c>
      <c r="W68" s="18" t="s">
        <v>354</v>
      </c>
    </row>
    <row r="69" spans="1:23" x14ac:dyDescent="0.25">
      <c r="A69" s="28" t="s">
        <v>66</v>
      </c>
      <c r="B69" s="19" t="s">
        <v>373</v>
      </c>
      <c r="C69" s="19" t="str">
        <f t="shared" si="7"/>
        <v>RiyadhTarget Group</v>
      </c>
      <c r="D69" s="19" t="s">
        <v>383</v>
      </c>
      <c r="E69" s="19" t="s">
        <v>130</v>
      </c>
      <c r="F69" s="19" t="s">
        <v>22</v>
      </c>
      <c r="G69" s="19" t="s">
        <v>77</v>
      </c>
      <c r="H69" s="19" t="s">
        <v>74</v>
      </c>
      <c r="I69" s="19" t="s">
        <v>75</v>
      </c>
      <c r="J69" s="20">
        <v>90.28</v>
      </c>
      <c r="K69" s="21">
        <v>51</v>
      </c>
      <c r="L69" s="22">
        <v>9441</v>
      </c>
      <c r="M69" s="22">
        <v>13636</v>
      </c>
      <c r="N69" s="81">
        <f>(Table1[[#This Row],[Clicks]]/Table1[[#This Row],[Total Impressions]])*100</f>
        <v>0.374009973599296</v>
      </c>
      <c r="O69" s="19">
        <v>6.62</v>
      </c>
      <c r="P69" s="22">
        <v>2166</v>
      </c>
      <c r="Q69" s="22">
        <v>48</v>
      </c>
      <c r="R69" s="23">
        <f t="shared" si="5"/>
        <v>0.15884423584628923</v>
      </c>
      <c r="S69" s="24">
        <f t="shared" si="6"/>
        <v>3.5200938691698444E-3</v>
      </c>
      <c r="T69" s="19">
        <v>155</v>
      </c>
      <c r="U69" s="29">
        <v>1.14E-2</v>
      </c>
      <c r="V69" s="60">
        <f>IF(Table1[[#This Row],[Clicks]]= 0,0,Table1[[#This Row],[Amount Spent]]/Table1[[#This Row],[Clicks]])</f>
        <v>1.7701960784313726</v>
      </c>
      <c r="W69" s="18" t="s">
        <v>354</v>
      </c>
    </row>
    <row r="70" spans="1:23" x14ac:dyDescent="0.25">
      <c r="A70" s="28" t="s">
        <v>66</v>
      </c>
      <c r="B70" s="19" t="s">
        <v>373</v>
      </c>
      <c r="C70" s="19" t="str">
        <f t="shared" si="7"/>
        <v>RiyadhTarget Group</v>
      </c>
      <c r="D70" s="19" t="s">
        <v>383</v>
      </c>
      <c r="E70" s="19" t="s">
        <v>130</v>
      </c>
      <c r="F70" s="19" t="s">
        <v>23</v>
      </c>
      <c r="G70" s="19" t="s">
        <v>77</v>
      </c>
      <c r="H70" s="19" t="s">
        <v>74</v>
      </c>
      <c r="I70" s="19" t="s">
        <v>75</v>
      </c>
      <c r="J70" s="20">
        <v>89.05</v>
      </c>
      <c r="K70" s="21">
        <v>30</v>
      </c>
      <c r="L70" s="22">
        <v>9503</v>
      </c>
      <c r="M70" s="22">
        <v>13850</v>
      </c>
      <c r="N70" s="81">
        <f>(Table1[[#This Row],[Clicks]]/Table1[[#This Row],[Total Impressions]])*100</f>
        <v>0.21660649819494585</v>
      </c>
      <c r="O70" s="19">
        <v>6.43</v>
      </c>
      <c r="P70" s="22">
        <v>2583</v>
      </c>
      <c r="Q70" s="22">
        <v>57</v>
      </c>
      <c r="R70" s="23">
        <f t="shared" si="5"/>
        <v>0.18649819494584838</v>
      </c>
      <c r="S70" s="24">
        <f t="shared" si="6"/>
        <v>4.1155234657039713E-3</v>
      </c>
      <c r="T70" s="19">
        <v>112</v>
      </c>
      <c r="U70" s="29">
        <v>8.1000000000000013E-3</v>
      </c>
      <c r="V70" s="60">
        <f>IF(Table1[[#This Row],[Clicks]]= 0,0,Table1[[#This Row],[Amount Spent]]/Table1[[#This Row],[Clicks]])</f>
        <v>2.9683333333333333</v>
      </c>
      <c r="W70" s="18" t="s">
        <v>354</v>
      </c>
    </row>
    <row r="71" spans="1:23" x14ac:dyDescent="0.25">
      <c r="A71" s="28" t="s">
        <v>66</v>
      </c>
      <c r="B71" s="19" t="s">
        <v>373</v>
      </c>
      <c r="C71" s="19" t="str">
        <f t="shared" si="7"/>
        <v>RiyadhTarget Group</v>
      </c>
      <c r="D71" s="19" t="s">
        <v>383</v>
      </c>
      <c r="E71" s="19" t="s">
        <v>130</v>
      </c>
      <c r="F71" s="19" t="s">
        <v>18</v>
      </c>
      <c r="G71" s="19" t="s">
        <v>77</v>
      </c>
      <c r="H71" s="19" t="s">
        <v>74</v>
      </c>
      <c r="I71" s="19" t="s">
        <v>75</v>
      </c>
      <c r="J71" s="20">
        <v>12.82</v>
      </c>
      <c r="K71" s="21">
        <v>0</v>
      </c>
      <c r="L71" s="22">
        <v>4145</v>
      </c>
      <c r="M71" s="22">
        <v>5100</v>
      </c>
      <c r="N71" s="81">
        <f>(Table1[[#This Row],[Clicks]]/Table1[[#This Row],[Total Impressions]])*100</f>
        <v>0</v>
      </c>
      <c r="O71" s="19">
        <v>2.5099999999999998</v>
      </c>
      <c r="P71" s="22">
        <v>1098</v>
      </c>
      <c r="Q71" s="22">
        <v>39</v>
      </c>
      <c r="R71" s="23">
        <f t="shared" si="5"/>
        <v>0.21529411764705883</v>
      </c>
      <c r="S71" s="24">
        <f t="shared" si="6"/>
        <v>7.6470588235294122E-3</v>
      </c>
      <c r="T71" s="19">
        <v>34</v>
      </c>
      <c r="U71" s="29">
        <v>6.7000000000000002E-3</v>
      </c>
      <c r="V71" s="60">
        <f>IF(Table1[[#This Row],[Clicks]]= 0,0,Table1[[#This Row],[Amount Spent]]/Table1[[#This Row],[Clicks]])</f>
        <v>0</v>
      </c>
      <c r="W71" s="18" t="s">
        <v>354</v>
      </c>
    </row>
    <row r="72" spans="1:23" x14ac:dyDescent="0.25">
      <c r="A72" s="28" t="s">
        <v>66</v>
      </c>
      <c r="B72" s="19" t="s">
        <v>373</v>
      </c>
      <c r="C72" s="19" t="str">
        <f t="shared" si="7"/>
        <v>RiyadhTarget Group</v>
      </c>
      <c r="D72" s="19" t="s">
        <v>383</v>
      </c>
      <c r="E72" s="19" t="s">
        <v>130</v>
      </c>
      <c r="F72" s="19" t="s">
        <v>19</v>
      </c>
      <c r="G72" s="19" t="s">
        <v>77</v>
      </c>
      <c r="H72" s="19" t="s">
        <v>74</v>
      </c>
      <c r="I72" s="19" t="s">
        <v>75</v>
      </c>
      <c r="J72" s="20">
        <v>12.5</v>
      </c>
      <c r="K72" s="21">
        <v>0</v>
      </c>
      <c r="L72" s="22">
        <v>4059</v>
      </c>
      <c r="M72" s="22">
        <v>5075</v>
      </c>
      <c r="N72" s="81">
        <f>(Table1[[#This Row],[Clicks]]/Table1[[#This Row],[Total Impressions]])*100</f>
        <v>0</v>
      </c>
      <c r="O72" s="19">
        <v>2.46</v>
      </c>
      <c r="P72" s="22">
        <v>855</v>
      </c>
      <c r="Q72" s="22">
        <v>18</v>
      </c>
      <c r="R72" s="23">
        <f t="shared" si="5"/>
        <v>0.16847290640394089</v>
      </c>
      <c r="S72" s="24">
        <f t="shared" si="6"/>
        <v>3.5467980295566504E-3</v>
      </c>
      <c r="T72" s="19">
        <v>33</v>
      </c>
      <c r="U72" s="29">
        <v>6.5000000000000006E-3</v>
      </c>
      <c r="V72" s="60">
        <f>IF(Table1[[#This Row],[Clicks]]= 0,0,Table1[[#This Row],[Amount Spent]]/Table1[[#This Row],[Clicks]])</f>
        <v>0</v>
      </c>
      <c r="W72" s="18" t="s">
        <v>354</v>
      </c>
    </row>
    <row r="73" spans="1:23" x14ac:dyDescent="0.25">
      <c r="A73" s="34" t="s">
        <v>66</v>
      </c>
      <c r="B73" s="35" t="s">
        <v>373</v>
      </c>
      <c r="C73" s="35" t="str">
        <f t="shared" si="7"/>
        <v>RiyadhTarget Group</v>
      </c>
      <c r="D73" s="35" t="s">
        <v>383</v>
      </c>
      <c r="E73" s="19" t="s">
        <v>130</v>
      </c>
      <c r="F73" s="35" t="s">
        <v>20</v>
      </c>
      <c r="G73" s="35" t="s">
        <v>77</v>
      </c>
      <c r="H73" s="35" t="s">
        <v>74</v>
      </c>
      <c r="I73" s="35" t="s">
        <v>75</v>
      </c>
      <c r="J73" s="36">
        <v>11.28</v>
      </c>
      <c r="K73" s="37">
        <v>0</v>
      </c>
      <c r="L73" s="38">
        <v>3857</v>
      </c>
      <c r="M73" s="38">
        <v>4814</v>
      </c>
      <c r="N73" s="81">
        <f>(Table1[[#This Row],[Clicks]]/Table1[[#This Row],[Total Impressions]])*100</f>
        <v>0</v>
      </c>
      <c r="O73" s="35">
        <v>2.34</v>
      </c>
      <c r="P73" s="38">
        <v>1105</v>
      </c>
      <c r="Q73" s="38">
        <v>21</v>
      </c>
      <c r="R73" s="39">
        <f t="shared" si="5"/>
        <v>0.22953884503531366</v>
      </c>
      <c r="S73" s="40">
        <f t="shared" si="6"/>
        <v>4.3622766929788115E-3</v>
      </c>
      <c r="T73" s="35">
        <v>25</v>
      </c>
      <c r="U73" s="41">
        <v>5.1999999999999998E-3</v>
      </c>
      <c r="V73" s="60">
        <f>IF(Table1[[#This Row],[Clicks]]= 0,0,Table1[[#This Row],[Amount Spent]]/Table1[[#This Row],[Clicks]])</f>
        <v>0</v>
      </c>
      <c r="W73" s="18" t="s">
        <v>354</v>
      </c>
    </row>
  </sheetData>
  <conditionalFormatting sqref="N2:N73">
    <cfRule type="cellIs" dxfId="189" priority="2" operator="greaterThan">
      <formula>0.02</formula>
    </cfRule>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2" sqref="N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1" sqref="P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7"/>
  <sheetViews>
    <sheetView workbookViewId="0">
      <pane ySplit="1" topLeftCell="A2" activePane="bottomLeft" state="frozen"/>
      <selection activeCell="E1" sqref="E1"/>
      <selection pane="bottomLeft" activeCell="P3" sqref="P3"/>
    </sheetView>
  </sheetViews>
  <sheetFormatPr defaultRowHeight="15" x14ac:dyDescent="0.25"/>
  <cols>
    <col min="1" max="1" width="9" customWidth="1"/>
    <col min="2" max="2" width="17" customWidth="1"/>
    <col min="3" max="3" width="27.28515625" customWidth="1"/>
    <col min="4" max="4" width="16" customWidth="1"/>
    <col min="5" max="5" width="39.5703125" bestFit="1" customWidth="1"/>
    <col min="6" max="6" width="11" customWidth="1"/>
    <col min="7" max="7" width="8.85546875" customWidth="1"/>
    <col min="8" max="8" width="18.42578125" customWidth="1"/>
    <col min="9" max="9" width="8.28515625" bestFit="1" customWidth="1"/>
    <col min="10" max="10" width="12.85546875" customWidth="1"/>
    <col min="11" max="11" width="16.7109375" customWidth="1"/>
    <col min="12" max="12" width="16.28515625" customWidth="1"/>
    <col min="13" max="13" width="20.42578125" customWidth="1"/>
    <col min="14" max="14" width="19.5703125" customWidth="1"/>
    <col min="15" max="15" width="11" bestFit="1" customWidth="1"/>
    <col min="16" max="16" width="15.7109375" customWidth="1"/>
    <col min="17" max="17" width="8" bestFit="1" customWidth="1"/>
    <col min="18" max="18" width="17.5703125" customWidth="1"/>
    <col min="19" max="19" width="17.7109375" customWidth="1"/>
    <col min="21" max="21" width="18.5703125" bestFit="1" customWidth="1"/>
    <col min="22" max="22" width="9.85546875" bestFit="1" customWidth="1"/>
    <col min="23" max="23" width="14.7109375" bestFit="1" customWidth="1"/>
  </cols>
  <sheetData>
    <row r="1" spans="1:23" x14ac:dyDescent="0.25">
      <c r="A1" s="51" t="s">
        <v>0</v>
      </c>
      <c r="B1" s="52" t="s">
        <v>1</v>
      </c>
      <c r="C1" s="52" t="s">
        <v>394</v>
      </c>
      <c r="D1" s="52" t="s">
        <v>2</v>
      </c>
      <c r="E1" s="52" t="s">
        <v>81</v>
      </c>
      <c r="F1" s="52" t="s">
        <v>82</v>
      </c>
      <c r="G1" s="52" t="s">
        <v>4</v>
      </c>
      <c r="H1" s="52" t="s">
        <v>83</v>
      </c>
      <c r="I1" s="52" t="s">
        <v>84</v>
      </c>
      <c r="J1" s="52" t="s">
        <v>85</v>
      </c>
      <c r="K1" s="52" t="s">
        <v>405</v>
      </c>
      <c r="L1" s="52" t="s">
        <v>86</v>
      </c>
      <c r="M1" s="52" t="s">
        <v>87</v>
      </c>
      <c r="N1" s="52" t="s">
        <v>88</v>
      </c>
      <c r="O1" s="52" t="s">
        <v>89</v>
      </c>
      <c r="P1" s="52" t="s">
        <v>392</v>
      </c>
      <c r="Q1" s="52" t="s">
        <v>90</v>
      </c>
      <c r="R1" s="52" t="s">
        <v>348</v>
      </c>
      <c r="S1" s="53" t="s">
        <v>347</v>
      </c>
      <c r="T1" s="52" t="s">
        <v>404</v>
      </c>
      <c r="U1" s="52" t="s">
        <v>410</v>
      </c>
      <c r="V1" s="68" t="s">
        <v>412</v>
      </c>
      <c r="W1" s="68" t="s">
        <v>415</v>
      </c>
    </row>
    <row r="2" spans="1:23" x14ac:dyDescent="0.25">
      <c r="A2" s="48" t="s">
        <v>72</v>
      </c>
      <c r="B2" s="14" t="s">
        <v>355</v>
      </c>
      <c r="C2" s="1" t="str">
        <f t="shared" ref="C2:C65" si="0">IF(A2 = "AE","United Arab Emirates Target Group",IF(A2 = "BAH","Bahrain Target Group",IF(A2="JED","Jeddah Target Group",IF(A2="KWT","Kuwait Target Group",IF(A2="QAT","Qatar Target Group",IF(A2="RIY","Riyadh Target Group","Oman Target Group"))))))</f>
        <v>United Arab Emirates Target Group</v>
      </c>
      <c r="D2" s="1" t="s">
        <v>73</v>
      </c>
      <c r="E2" s="15" t="s">
        <v>318</v>
      </c>
      <c r="F2" s="1" t="s">
        <v>77</v>
      </c>
      <c r="G2" s="1" t="s">
        <v>74</v>
      </c>
      <c r="H2" s="1" t="s">
        <v>92</v>
      </c>
      <c r="I2" s="16">
        <v>1130502</v>
      </c>
      <c r="J2" s="16">
        <v>4425926</v>
      </c>
      <c r="K2" s="63">
        <v>3456.8</v>
      </c>
      <c r="L2" s="16">
        <v>20100</v>
      </c>
      <c r="M2" s="16">
        <v>784825</v>
      </c>
      <c r="N2" s="16">
        <v>9827</v>
      </c>
      <c r="O2" s="26">
        <f>IF(J2=0,0,(L2/J2)*100)</f>
        <v>0.4541422518135188</v>
      </c>
      <c r="P2" s="13" t="str">
        <f>IF(O2&gt;0.2,"Good","Bad")</f>
        <v>Good</v>
      </c>
      <c r="Q2" s="13">
        <f t="shared" ref="Q2:Q33" si="1">M2/J2</f>
        <v>0.17732447401967408</v>
      </c>
      <c r="R2" s="16">
        <v>1191803</v>
      </c>
      <c r="S2" s="49">
        <v>1.75445495</v>
      </c>
      <c r="T2" s="27">
        <f>IF(Table4[[#This Row],[Link clicks]]=0,0,Table4[[#This Row],[Amount spent ]]/Table4[[#This Row],[Link clicks]])</f>
        <v>0.17198009950248758</v>
      </c>
      <c r="U2" s="62" t="s">
        <v>407</v>
      </c>
      <c r="V2" s="1" t="s">
        <v>413</v>
      </c>
      <c r="W2" s="1">
        <v>1.777971202173902E-2</v>
      </c>
    </row>
    <row r="3" spans="1:23" x14ac:dyDescent="0.25">
      <c r="A3" s="48" t="s">
        <v>72</v>
      </c>
      <c r="B3" s="14" t="s">
        <v>355</v>
      </c>
      <c r="C3" s="1" t="str">
        <f t="shared" si="0"/>
        <v>United Arab Emirates Target Group</v>
      </c>
      <c r="D3" s="1" t="s">
        <v>73</v>
      </c>
      <c r="E3" s="15" t="s">
        <v>319</v>
      </c>
      <c r="F3" s="1" t="s">
        <v>77</v>
      </c>
      <c r="G3" s="1" t="s">
        <v>74</v>
      </c>
      <c r="H3" s="1" t="s">
        <v>92</v>
      </c>
      <c r="I3" s="16">
        <v>1314825</v>
      </c>
      <c r="J3" s="16">
        <v>4652907</v>
      </c>
      <c r="K3" s="63">
        <v>3220.18</v>
      </c>
      <c r="L3" s="16">
        <v>21330</v>
      </c>
      <c r="M3" s="16">
        <v>646948</v>
      </c>
      <c r="N3" s="16">
        <v>16916</v>
      </c>
      <c r="O3" s="26">
        <f t="shared" ref="O3:O66" si="2">IF(J3=0,0,(L3/J3)*100)</f>
        <v>0.45842308904949103</v>
      </c>
      <c r="P3" s="13" t="str">
        <f t="shared" ref="P3:P65" si="3">IF(O3&gt;0.2,"Good","Bad")</f>
        <v>Good</v>
      </c>
      <c r="Q3" s="13">
        <f t="shared" si="1"/>
        <v>0.13904167867528838</v>
      </c>
      <c r="R3" s="16">
        <v>272564</v>
      </c>
      <c r="S3" s="49">
        <v>0.3484141</v>
      </c>
      <c r="T3" s="27">
        <f>IF(Table4[[#This Row],[Link clicks]]=0,0,Table4[[#This Row],[Amount spent ]]/Table4[[#This Row],[Link clicks]])</f>
        <v>0.15096952648851383</v>
      </c>
      <c r="U3" s="62" t="s">
        <v>407</v>
      </c>
      <c r="V3" s="1" t="s">
        <v>413</v>
      </c>
      <c r="W3" s="1">
        <v>1.6222691232673551E-2</v>
      </c>
    </row>
    <row r="4" spans="1:23" x14ac:dyDescent="0.25">
      <c r="A4" s="48" t="s">
        <v>72</v>
      </c>
      <c r="B4" s="14" t="s">
        <v>355</v>
      </c>
      <c r="C4" s="1" t="str">
        <f t="shared" si="0"/>
        <v>United Arab Emirates Target Group</v>
      </c>
      <c r="D4" s="1" t="s">
        <v>73</v>
      </c>
      <c r="E4" s="15" t="s">
        <v>319</v>
      </c>
      <c r="F4" s="1" t="s">
        <v>77</v>
      </c>
      <c r="G4" s="1" t="s">
        <v>74</v>
      </c>
      <c r="H4" s="1" t="s">
        <v>92</v>
      </c>
      <c r="I4" s="16">
        <v>722421</v>
      </c>
      <c r="J4" s="16">
        <v>2811919</v>
      </c>
      <c r="K4" s="63">
        <v>1284.27</v>
      </c>
      <c r="L4" s="16">
        <v>11713</v>
      </c>
      <c r="M4" s="16">
        <v>174581</v>
      </c>
      <c r="N4" s="16">
        <v>6051</v>
      </c>
      <c r="O4" s="26">
        <f t="shared" si="2"/>
        <v>0.41654827183855586</v>
      </c>
      <c r="P4" s="13" t="str">
        <f t="shared" si="3"/>
        <v>Good</v>
      </c>
      <c r="Q4" s="13">
        <f t="shared" si="1"/>
        <v>6.2086070046825675E-2</v>
      </c>
      <c r="R4" s="16">
        <v>252826</v>
      </c>
      <c r="S4" s="49">
        <v>0.40894937999999997</v>
      </c>
      <c r="T4" s="27">
        <f>IF(Table4[[#This Row],[Link clicks]]=0,0,Table4[[#This Row],[Amount spent ]]/Table4[[#This Row],[Link clicks]])</f>
        <v>0.10964483906770255</v>
      </c>
      <c r="U4" s="62" t="s">
        <v>407</v>
      </c>
      <c r="V4" s="1" t="s">
        <v>413</v>
      </c>
      <c r="W4" s="1">
        <v>1.621353753559213E-2</v>
      </c>
    </row>
    <row r="5" spans="1:23" x14ac:dyDescent="0.25">
      <c r="A5" s="48" t="s">
        <v>72</v>
      </c>
      <c r="B5" s="14" t="s">
        <v>355</v>
      </c>
      <c r="C5" s="1" t="str">
        <f t="shared" si="0"/>
        <v>United Arab Emirates Target Group</v>
      </c>
      <c r="D5" s="1" t="s">
        <v>73</v>
      </c>
      <c r="E5" s="15" t="s">
        <v>320</v>
      </c>
      <c r="F5" s="1" t="s">
        <v>77</v>
      </c>
      <c r="G5" s="1" t="s">
        <v>74</v>
      </c>
      <c r="H5" s="1" t="s">
        <v>94</v>
      </c>
      <c r="I5" s="16">
        <v>671730</v>
      </c>
      <c r="J5" s="16">
        <v>2522528</v>
      </c>
      <c r="K5" s="63">
        <v>1178.72</v>
      </c>
      <c r="L5" s="16">
        <v>10794</v>
      </c>
      <c r="M5" s="16">
        <v>103885</v>
      </c>
      <c r="N5" s="16">
        <v>4540</v>
      </c>
      <c r="O5" s="26">
        <f t="shared" si="2"/>
        <v>0.42790407083687476</v>
      </c>
      <c r="P5" s="13" t="str">
        <f t="shared" si="3"/>
        <v>Good</v>
      </c>
      <c r="Q5" s="13">
        <f t="shared" si="1"/>
        <v>4.1182892717147243E-2</v>
      </c>
      <c r="R5" s="16">
        <v>524690</v>
      </c>
      <c r="S5" s="49">
        <v>1.16253925</v>
      </c>
      <c r="T5" s="27">
        <f>IF(Table4[[#This Row],[Link clicks]]=0,0,Table4[[#This Row],[Amount spent ]]/Table4[[#This Row],[Link clicks]])</f>
        <v>0.10920140818973505</v>
      </c>
      <c r="U5" s="62" t="s">
        <v>407</v>
      </c>
      <c r="V5" s="1" t="s">
        <v>413</v>
      </c>
      <c r="W5" s="1">
        <v>1.6068956277075611E-2</v>
      </c>
    </row>
    <row r="6" spans="1:23" x14ac:dyDescent="0.25">
      <c r="A6" s="48" t="s">
        <v>72</v>
      </c>
      <c r="B6" s="14" t="s">
        <v>355</v>
      </c>
      <c r="C6" s="1" t="str">
        <f t="shared" si="0"/>
        <v>United Arab Emirates Target Group</v>
      </c>
      <c r="D6" s="1" t="s">
        <v>73</v>
      </c>
      <c r="E6" s="15" t="s">
        <v>321</v>
      </c>
      <c r="F6" s="1" t="s">
        <v>78</v>
      </c>
      <c r="G6" s="1" t="s">
        <v>98</v>
      </c>
      <c r="H6" s="1" t="s">
        <v>94</v>
      </c>
      <c r="I6" s="16">
        <v>878461</v>
      </c>
      <c r="J6" s="16">
        <v>2684060</v>
      </c>
      <c r="K6" s="63">
        <v>1042.46</v>
      </c>
      <c r="L6" s="16">
        <v>7019</v>
      </c>
      <c r="M6" s="16">
        <v>0</v>
      </c>
      <c r="N6" s="16">
        <v>0</v>
      </c>
      <c r="O6" s="26">
        <f t="shared" si="2"/>
        <v>0.26150682175510237</v>
      </c>
      <c r="P6" s="13" t="str">
        <f t="shared" si="3"/>
        <v>Good</v>
      </c>
      <c r="Q6" s="13">
        <f t="shared" si="1"/>
        <v>0</v>
      </c>
      <c r="R6" s="16">
        <v>487419</v>
      </c>
      <c r="S6" s="49">
        <v>0.85188686999999996</v>
      </c>
      <c r="T6" s="27">
        <f>IF(Table4[[#This Row],[Link clicks]]=0,0,Table4[[#This Row],[Amount spent ]]/Table4[[#This Row],[Link clicks]])</f>
        <v>0.14851973215557773</v>
      </c>
      <c r="U6" s="62" t="s">
        <v>407</v>
      </c>
      <c r="V6" s="1" t="s">
        <v>413</v>
      </c>
      <c r="W6" s="1">
        <v>7.9901099764246794E-3</v>
      </c>
    </row>
    <row r="7" spans="1:23" x14ac:dyDescent="0.25">
      <c r="A7" s="48" t="s">
        <v>72</v>
      </c>
      <c r="B7" s="14" t="s">
        <v>355</v>
      </c>
      <c r="C7" s="1" t="str">
        <f t="shared" si="0"/>
        <v>United Arab Emirates Target Group</v>
      </c>
      <c r="D7" s="1" t="s">
        <v>130</v>
      </c>
      <c r="E7" s="15" t="s">
        <v>318</v>
      </c>
      <c r="F7" s="1" t="s">
        <v>77</v>
      </c>
      <c r="G7" s="1" t="s">
        <v>74</v>
      </c>
      <c r="H7" s="1" t="s">
        <v>92</v>
      </c>
      <c r="I7" s="16">
        <v>277058</v>
      </c>
      <c r="J7" s="16">
        <v>802794</v>
      </c>
      <c r="K7" s="63">
        <v>735.77</v>
      </c>
      <c r="L7" s="16">
        <v>3171</v>
      </c>
      <c r="M7" s="16">
        <v>165404</v>
      </c>
      <c r="N7" s="16">
        <v>2028</v>
      </c>
      <c r="O7" s="26">
        <f t="shared" si="2"/>
        <v>0.39499547829206494</v>
      </c>
      <c r="P7" s="13" t="str">
        <f t="shared" si="3"/>
        <v>Good</v>
      </c>
      <c r="Q7" s="13">
        <f t="shared" si="1"/>
        <v>0.20603542129114069</v>
      </c>
      <c r="R7" s="16">
        <v>325628</v>
      </c>
      <c r="S7" s="49">
        <v>0.71319248999999996</v>
      </c>
      <c r="T7" s="27">
        <f>IF(Table4[[#This Row],[Link clicks]]=0,0,Table4[[#This Row],[Amount spent ]]/Table4[[#This Row],[Link clicks]])</f>
        <v>0.23203090507726268</v>
      </c>
      <c r="U7" s="62" t="s">
        <v>407</v>
      </c>
      <c r="V7" s="1" t="s">
        <v>414</v>
      </c>
      <c r="W7" s="1">
        <v>1.144525694980834E-2</v>
      </c>
    </row>
    <row r="8" spans="1:23" x14ac:dyDescent="0.25">
      <c r="A8" s="48" t="s">
        <v>72</v>
      </c>
      <c r="B8" s="14" t="s">
        <v>355</v>
      </c>
      <c r="C8" s="1" t="str">
        <f t="shared" si="0"/>
        <v>United Arab Emirates Target Group</v>
      </c>
      <c r="D8" s="1" t="s">
        <v>73</v>
      </c>
      <c r="E8" s="15" t="s">
        <v>322</v>
      </c>
      <c r="F8" s="1" t="s">
        <v>77</v>
      </c>
      <c r="G8" s="1" t="s">
        <v>98</v>
      </c>
      <c r="H8" s="1" t="s">
        <v>94</v>
      </c>
      <c r="I8" s="16">
        <v>564092</v>
      </c>
      <c r="J8" s="16">
        <v>1547845</v>
      </c>
      <c r="K8" s="63">
        <v>637.48</v>
      </c>
      <c r="L8" s="16">
        <v>4359</v>
      </c>
      <c r="M8" s="16">
        <v>0</v>
      </c>
      <c r="N8" s="16">
        <v>0</v>
      </c>
      <c r="O8" s="26">
        <f t="shared" si="2"/>
        <v>0.28161734540603228</v>
      </c>
      <c r="P8" s="13" t="str">
        <f t="shared" si="3"/>
        <v>Good</v>
      </c>
      <c r="Q8" s="13">
        <f t="shared" si="1"/>
        <v>0</v>
      </c>
      <c r="R8" s="16">
        <v>365767</v>
      </c>
      <c r="S8" s="49">
        <v>1.2410618899999999</v>
      </c>
      <c r="T8" s="27">
        <f>IF(Table4[[#This Row],[Link clicks]]=0,0,Table4[[#This Row],[Amount spent ]]/Table4[[#This Row],[Link clicks]])</f>
        <v>0.14624455150263824</v>
      </c>
      <c r="U8" s="62" t="s">
        <v>407</v>
      </c>
      <c r="V8" s="1" t="s">
        <v>413</v>
      </c>
      <c r="W8" s="1">
        <v>7.7274628961233266E-3</v>
      </c>
    </row>
    <row r="9" spans="1:23" x14ac:dyDescent="0.25">
      <c r="A9" s="48" t="s">
        <v>72</v>
      </c>
      <c r="B9" s="14" t="s">
        <v>355</v>
      </c>
      <c r="C9" s="1" t="str">
        <f t="shared" si="0"/>
        <v>United Arab Emirates Target Group</v>
      </c>
      <c r="D9" s="1" t="s">
        <v>73</v>
      </c>
      <c r="E9" s="15" t="s">
        <v>323</v>
      </c>
      <c r="F9" s="1" t="s">
        <v>77</v>
      </c>
      <c r="G9" s="1" t="s">
        <v>74</v>
      </c>
      <c r="H9" s="1" t="s">
        <v>94</v>
      </c>
      <c r="I9" s="16">
        <v>372537</v>
      </c>
      <c r="J9" s="16">
        <v>976049</v>
      </c>
      <c r="K9" s="63">
        <v>458.83</v>
      </c>
      <c r="L9" s="16">
        <v>3650</v>
      </c>
      <c r="M9" s="16">
        <v>35111</v>
      </c>
      <c r="N9" s="16">
        <v>1271</v>
      </c>
      <c r="O9" s="26">
        <f t="shared" si="2"/>
        <v>0.37395663537383883</v>
      </c>
      <c r="P9" s="13" t="str">
        <f t="shared" si="3"/>
        <v>Good</v>
      </c>
      <c r="Q9" s="13">
        <f t="shared" si="1"/>
        <v>3.5972579245509194E-2</v>
      </c>
      <c r="R9" s="16">
        <v>94004</v>
      </c>
      <c r="S9" s="49">
        <v>0.20728921</v>
      </c>
      <c r="T9" s="27">
        <f>IF(Table4[[#This Row],[Link clicks]]=0,0,Table4[[#This Row],[Amount spent ]]/Table4[[#This Row],[Link clicks]])</f>
        <v>0.12570684931506848</v>
      </c>
      <c r="U9" s="62" t="s">
        <v>407</v>
      </c>
      <c r="V9" s="1" t="s">
        <v>413</v>
      </c>
      <c r="W9" s="1">
        <v>9.7976845252954747E-3</v>
      </c>
    </row>
    <row r="10" spans="1:23" x14ac:dyDescent="0.25">
      <c r="A10" s="48" t="s">
        <v>72</v>
      </c>
      <c r="B10" s="14" t="s">
        <v>355</v>
      </c>
      <c r="C10" s="1" t="str">
        <f t="shared" si="0"/>
        <v>United Arab Emirates Target Group</v>
      </c>
      <c r="D10" s="1" t="s">
        <v>73</v>
      </c>
      <c r="E10" s="15" t="s">
        <v>324</v>
      </c>
      <c r="F10" s="1" t="s">
        <v>77</v>
      </c>
      <c r="G10" s="1" t="s">
        <v>98</v>
      </c>
      <c r="H10" s="1" t="s">
        <v>94</v>
      </c>
      <c r="I10" s="16">
        <v>274687</v>
      </c>
      <c r="J10" s="16">
        <v>590534</v>
      </c>
      <c r="K10" s="63">
        <v>279.02999999999997</v>
      </c>
      <c r="L10" s="16">
        <v>1373</v>
      </c>
      <c r="M10" s="16">
        <v>0</v>
      </c>
      <c r="N10" s="16">
        <v>0</v>
      </c>
      <c r="O10" s="26">
        <f t="shared" si="2"/>
        <v>0.23250143090829656</v>
      </c>
      <c r="P10" s="13" t="str">
        <f t="shared" si="3"/>
        <v>Good</v>
      </c>
      <c r="Q10" s="13">
        <f t="shared" si="1"/>
        <v>0</v>
      </c>
      <c r="R10" s="16">
        <v>172555</v>
      </c>
      <c r="S10" s="49">
        <v>1.1264484100000001</v>
      </c>
      <c r="T10" s="27">
        <f>IF(Table4[[#This Row],[Link clicks]]=0,0,Table4[[#This Row],[Amount spent ]]/Table4[[#This Row],[Link clicks]])</f>
        <v>0.20322651128914784</v>
      </c>
      <c r="U10" s="62" t="s">
        <v>407</v>
      </c>
      <c r="V10" s="1" t="s">
        <v>413</v>
      </c>
      <c r="W10" s="1">
        <v>4.9984163793699741E-3</v>
      </c>
    </row>
    <row r="11" spans="1:23" x14ac:dyDescent="0.25">
      <c r="A11" s="48" t="s">
        <v>72</v>
      </c>
      <c r="B11" s="14" t="s">
        <v>355</v>
      </c>
      <c r="C11" s="1" t="str">
        <f t="shared" si="0"/>
        <v>United Arab Emirates Target Group</v>
      </c>
      <c r="D11" s="1" t="s">
        <v>130</v>
      </c>
      <c r="E11" s="15" t="s">
        <v>321</v>
      </c>
      <c r="F11" s="1" t="s">
        <v>78</v>
      </c>
      <c r="G11" s="1" t="s">
        <v>98</v>
      </c>
      <c r="H11" s="1" t="s">
        <v>94</v>
      </c>
      <c r="I11" s="16">
        <v>180510</v>
      </c>
      <c r="J11" s="16">
        <v>449694</v>
      </c>
      <c r="K11" s="63">
        <v>195.9</v>
      </c>
      <c r="L11" s="16">
        <v>1077</v>
      </c>
      <c r="M11" s="16">
        <v>0</v>
      </c>
      <c r="N11" s="16">
        <v>0</v>
      </c>
      <c r="O11" s="26">
        <f t="shared" si="2"/>
        <v>0.23949619074303863</v>
      </c>
      <c r="P11" s="13" t="str">
        <f t="shared" si="3"/>
        <v>Good</v>
      </c>
      <c r="Q11" s="13">
        <f t="shared" si="1"/>
        <v>0</v>
      </c>
      <c r="R11" s="16">
        <v>275911</v>
      </c>
      <c r="S11" s="49">
        <v>1.65522434</v>
      </c>
      <c r="T11" s="27">
        <f>IF(Table4[[#This Row],[Link clicks]]=0,0,Table4[[#This Row],[Amount spent ]]/Table4[[#This Row],[Link clicks]])</f>
        <v>0.1818941504178273</v>
      </c>
      <c r="U11" s="62" t="s">
        <v>407</v>
      </c>
      <c r="V11" s="1" t="s">
        <v>414</v>
      </c>
      <c r="W11" s="1">
        <v>5.9664284527173013E-3</v>
      </c>
    </row>
    <row r="12" spans="1:23" x14ac:dyDescent="0.25">
      <c r="A12" s="48" t="s">
        <v>72</v>
      </c>
      <c r="B12" s="14" t="s">
        <v>355</v>
      </c>
      <c r="C12" s="1" t="str">
        <f t="shared" si="0"/>
        <v>United Arab Emirates Target Group</v>
      </c>
      <c r="D12" s="1" t="s">
        <v>73</v>
      </c>
      <c r="E12" s="15" t="s">
        <v>325</v>
      </c>
      <c r="F12" s="1" t="s">
        <v>77</v>
      </c>
      <c r="G12" s="1" t="s">
        <v>74</v>
      </c>
      <c r="H12" s="1" t="s">
        <v>92</v>
      </c>
      <c r="I12" s="16">
        <v>155968</v>
      </c>
      <c r="J12" s="16">
        <v>412121</v>
      </c>
      <c r="K12" s="63">
        <v>190.97</v>
      </c>
      <c r="L12" s="16">
        <v>1420</v>
      </c>
      <c r="M12" s="16">
        <v>15250</v>
      </c>
      <c r="N12" s="16">
        <v>482</v>
      </c>
      <c r="O12" s="26">
        <f t="shared" si="2"/>
        <v>0.34455900087595637</v>
      </c>
      <c r="P12" s="13" t="str">
        <f t="shared" si="3"/>
        <v>Good</v>
      </c>
      <c r="Q12" s="13">
        <f t="shared" si="1"/>
        <v>3.7003695516607989E-2</v>
      </c>
      <c r="R12" s="16">
        <v>137328</v>
      </c>
      <c r="S12" s="49">
        <v>0.21892022</v>
      </c>
      <c r="T12" s="27">
        <f>IF(Table4[[#This Row],[Link clicks]]=0,0,Table4[[#This Row],[Amount spent ]]/Table4[[#This Row],[Link clicks]])</f>
        <v>0.13448591549295774</v>
      </c>
      <c r="U12" s="62" t="s">
        <v>407</v>
      </c>
      <c r="V12" s="1" t="s">
        <v>413</v>
      </c>
      <c r="W12" s="1">
        <v>9.1044316782929839E-3</v>
      </c>
    </row>
    <row r="13" spans="1:23" x14ac:dyDescent="0.25">
      <c r="A13" s="48" t="s">
        <v>72</v>
      </c>
      <c r="B13" s="14" t="s">
        <v>355</v>
      </c>
      <c r="C13" s="1" t="str">
        <f t="shared" si="0"/>
        <v>United Arab Emirates Target Group</v>
      </c>
      <c r="D13" s="1" t="s">
        <v>73</v>
      </c>
      <c r="E13" s="15" t="s">
        <v>326</v>
      </c>
      <c r="F13" s="1" t="s">
        <v>78</v>
      </c>
      <c r="G13" s="1" t="s">
        <v>74</v>
      </c>
      <c r="H13" s="1" t="s">
        <v>94</v>
      </c>
      <c r="I13" s="16">
        <v>41647</v>
      </c>
      <c r="J13" s="16">
        <v>61132</v>
      </c>
      <c r="K13" s="63">
        <v>117.06</v>
      </c>
      <c r="L13" s="16">
        <v>356</v>
      </c>
      <c r="M13" s="16">
        <v>47586</v>
      </c>
      <c r="N13" s="16">
        <v>83</v>
      </c>
      <c r="O13" s="26">
        <f t="shared" si="2"/>
        <v>0.58234639795851595</v>
      </c>
      <c r="P13" s="13" t="str">
        <f t="shared" si="3"/>
        <v>Good</v>
      </c>
      <c r="Q13" s="13">
        <f t="shared" si="1"/>
        <v>0.7784139239678074</v>
      </c>
      <c r="R13" s="16">
        <v>156507</v>
      </c>
      <c r="S13" s="49">
        <v>0.56935652999999997</v>
      </c>
      <c r="T13" s="27">
        <f>IF(Table4[[#This Row],[Link clicks]]=0,0,Table4[[#This Row],[Amount spent ]]/Table4[[#This Row],[Link clicks]])</f>
        <v>0.32882022471910111</v>
      </c>
      <c r="U13" s="62" t="s">
        <v>407</v>
      </c>
      <c r="V13" s="1" t="s">
        <v>413</v>
      </c>
      <c r="W13" s="1">
        <v>8.5480346723653556E-3</v>
      </c>
    </row>
    <row r="14" spans="1:23" x14ac:dyDescent="0.25">
      <c r="A14" s="48" t="s">
        <v>72</v>
      </c>
      <c r="B14" s="14" t="s">
        <v>355</v>
      </c>
      <c r="C14" s="1" t="str">
        <f t="shared" si="0"/>
        <v>United Arab Emirates Target Group</v>
      </c>
      <c r="D14" s="1" t="s">
        <v>73</v>
      </c>
      <c r="E14" s="15" t="s">
        <v>327</v>
      </c>
      <c r="F14" s="1" t="s">
        <v>78</v>
      </c>
      <c r="G14" s="1" t="s">
        <v>74</v>
      </c>
      <c r="H14" s="1" t="s">
        <v>94</v>
      </c>
      <c r="I14" s="16">
        <v>142810</v>
      </c>
      <c r="J14" s="16">
        <v>259216</v>
      </c>
      <c r="K14" s="63">
        <v>113.35</v>
      </c>
      <c r="L14" s="16">
        <v>915</v>
      </c>
      <c r="M14" s="16">
        <v>7164</v>
      </c>
      <c r="N14" s="16">
        <v>236</v>
      </c>
      <c r="O14" s="26">
        <f t="shared" si="2"/>
        <v>0.35298746990926483</v>
      </c>
      <c r="P14" s="13" t="str">
        <f t="shared" si="3"/>
        <v>Good</v>
      </c>
      <c r="Q14" s="13">
        <f t="shared" si="1"/>
        <v>2.7637182889945065E-2</v>
      </c>
      <c r="R14" s="16">
        <v>201450</v>
      </c>
      <c r="S14" s="49">
        <v>0.59863602000000005</v>
      </c>
      <c r="T14" s="27">
        <f>IF(Table4[[#This Row],[Link clicks]]=0,0,Table4[[#This Row],[Amount spent ]]/Table4[[#This Row],[Link clicks]])</f>
        <v>0.12387978142076501</v>
      </c>
      <c r="U14" s="62" t="s">
        <v>407</v>
      </c>
      <c r="V14" s="1" t="s">
        <v>413</v>
      </c>
      <c r="W14" s="1">
        <v>6.4071143477347527E-3</v>
      </c>
    </row>
    <row r="15" spans="1:23" x14ac:dyDescent="0.25">
      <c r="A15" s="48" t="s">
        <v>72</v>
      </c>
      <c r="B15" s="14" t="s">
        <v>355</v>
      </c>
      <c r="C15" s="1" t="str">
        <f t="shared" si="0"/>
        <v>United Arab Emirates Target Group</v>
      </c>
      <c r="D15" s="1" t="s">
        <v>130</v>
      </c>
      <c r="E15" s="15" t="s">
        <v>328</v>
      </c>
      <c r="F15" s="1" t="s">
        <v>78</v>
      </c>
      <c r="G15" s="1" t="s">
        <v>74</v>
      </c>
      <c r="H15" s="1" t="s">
        <v>92</v>
      </c>
      <c r="I15" s="16">
        <v>85118</v>
      </c>
      <c r="J15" s="16">
        <v>232315</v>
      </c>
      <c r="K15" s="63">
        <v>101.08</v>
      </c>
      <c r="L15" s="16">
        <v>891</v>
      </c>
      <c r="M15" s="16">
        <v>11528</v>
      </c>
      <c r="N15" s="16">
        <v>580</v>
      </c>
      <c r="O15" s="26">
        <f t="shared" si="2"/>
        <v>0.383530981641306</v>
      </c>
      <c r="P15" s="13" t="str">
        <f t="shared" si="3"/>
        <v>Good</v>
      </c>
      <c r="Q15" s="13">
        <f t="shared" si="1"/>
        <v>4.9622280093838109E-2</v>
      </c>
      <c r="R15" s="16">
        <v>188072</v>
      </c>
      <c r="S15" s="49">
        <v>1.0219360399999999</v>
      </c>
      <c r="T15" s="27">
        <f>IF(Table4[[#This Row],[Link clicks]]=0,0,Table4[[#This Row],[Amount spent ]]/Table4[[#This Row],[Link clicks]])</f>
        <v>0.11344556677890011</v>
      </c>
      <c r="U15" s="62" t="s">
        <v>407</v>
      </c>
      <c r="V15" s="1" t="s">
        <v>414</v>
      </c>
      <c r="W15" s="1">
        <v>1.046782114241406E-2</v>
      </c>
    </row>
    <row r="16" spans="1:23" x14ac:dyDescent="0.25">
      <c r="A16" s="48" t="s">
        <v>72</v>
      </c>
      <c r="B16" s="14" t="s">
        <v>355</v>
      </c>
      <c r="C16" s="1" t="str">
        <f t="shared" si="0"/>
        <v>United Arab Emirates Target Group</v>
      </c>
      <c r="D16" s="1" t="s">
        <v>73</v>
      </c>
      <c r="E16" s="15" t="s">
        <v>318</v>
      </c>
      <c r="F16" s="1" t="s">
        <v>77</v>
      </c>
      <c r="G16" s="1" t="s">
        <v>74</v>
      </c>
      <c r="H16" s="1" t="s">
        <v>92</v>
      </c>
      <c r="I16" s="16">
        <v>123660</v>
      </c>
      <c r="J16" s="16">
        <v>219372</v>
      </c>
      <c r="K16" s="63">
        <v>100.47</v>
      </c>
      <c r="L16" s="16">
        <v>868</v>
      </c>
      <c r="M16" s="16">
        <v>12310</v>
      </c>
      <c r="N16" s="16">
        <v>264</v>
      </c>
      <c r="O16" s="26">
        <f t="shared" si="2"/>
        <v>0.39567492660868298</v>
      </c>
      <c r="P16" s="13" t="str">
        <f t="shared" si="3"/>
        <v>Good</v>
      </c>
      <c r="Q16" s="13">
        <f t="shared" si="1"/>
        <v>5.6114727494848936E-2</v>
      </c>
      <c r="R16" s="16">
        <v>34933</v>
      </c>
      <c r="S16" s="49">
        <v>0.11623527</v>
      </c>
      <c r="T16" s="27">
        <f>IF(Table4[[#This Row],[Link clicks]]=0,0,Table4[[#This Row],[Amount spent ]]/Table4[[#This Row],[Link clicks]])</f>
        <v>0.11574884792626727</v>
      </c>
      <c r="U16" s="62" t="s">
        <v>407</v>
      </c>
      <c r="V16" s="1" t="s">
        <v>413</v>
      </c>
      <c r="W16" s="1">
        <v>7.0192463205563643E-3</v>
      </c>
    </row>
    <row r="17" spans="1:23" x14ac:dyDescent="0.25">
      <c r="A17" s="48" t="s">
        <v>72</v>
      </c>
      <c r="B17" s="14" t="s">
        <v>355</v>
      </c>
      <c r="C17" s="1" t="str">
        <f t="shared" si="0"/>
        <v>United Arab Emirates Target Group</v>
      </c>
      <c r="D17" s="1" t="s">
        <v>73</v>
      </c>
      <c r="E17" s="15" t="s">
        <v>329</v>
      </c>
      <c r="F17" s="1" t="s">
        <v>78</v>
      </c>
      <c r="G17" s="1" t="s">
        <v>74</v>
      </c>
      <c r="H17" s="1" t="s">
        <v>94</v>
      </c>
      <c r="I17" s="16">
        <v>89901</v>
      </c>
      <c r="J17" s="16">
        <v>197582</v>
      </c>
      <c r="K17" s="63">
        <v>94.43</v>
      </c>
      <c r="L17" s="16">
        <v>422</v>
      </c>
      <c r="M17" s="16">
        <v>3422</v>
      </c>
      <c r="N17" s="16">
        <v>2974</v>
      </c>
      <c r="O17" s="26">
        <f t="shared" si="2"/>
        <v>0.21358220890566956</v>
      </c>
      <c r="P17" s="13" t="str">
        <f t="shared" si="3"/>
        <v>Good</v>
      </c>
      <c r="Q17" s="13">
        <f t="shared" si="1"/>
        <v>1.7319391442540313E-2</v>
      </c>
      <c r="R17" s="16">
        <v>184422</v>
      </c>
      <c r="S17" s="49">
        <v>0.92387923000000005</v>
      </c>
      <c r="T17" s="27">
        <f>IF(Table4[[#This Row],[Link clicks]]=0,0,Table4[[#This Row],[Amount spent ]]/Table4[[#This Row],[Link clicks]])</f>
        <v>0.22376777251184835</v>
      </c>
      <c r="U17" s="62" t="s">
        <v>407</v>
      </c>
      <c r="V17" s="1" t="s">
        <v>413</v>
      </c>
      <c r="W17" s="1">
        <v>4.6940523464700061E-3</v>
      </c>
    </row>
    <row r="18" spans="1:23" x14ac:dyDescent="0.25">
      <c r="A18" s="48" t="s">
        <v>72</v>
      </c>
      <c r="B18" s="14" t="s">
        <v>355</v>
      </c>
      <c r="C18" s="1" t="str">
        <f t="shared" si="0"/>
        <v>United Arab Emirates Target Group</v>
      </c>
      <c r="D18" s="1" t="s">
        <v>130</v>
      </c>
      <c r="E18" s="15" t="s">
        <v>322</v>
      </c>
      <c r="F18" s="1" t="s">
        <v>77</v>
      </c>
      <c r="G18" s="1" t="s">
        <v>98</v>
      </c>
      <c r="H18" s="1" t="s">
        <v>94</v>
      </c>
      <c r="I18" s="16">
        <v>100097</v>
      </c>
      <c r="J18" s="16">
        <v>202377</v>
      </c>
      <c r="K18" s="63">
        <v>90.35</v>
      </c>
      <c r="L18" s="16">
        <v>536</v>
      </c>
      <c r="M18" s="16">
        <v>0</v>
      </c>
      <c r="N18" s="16">
        <v>0</v>
      </c>
      <c r="O18" s="26">
        <f t="shared" si="2"/>
        <v>0.26485223123180995</v>
      </c>
      <c r="P18" s="13" t="str">
        <f t="shared" si="3"/>
        <v>Good</v>
      </c>
      <c r="Q18" s="13">
        <f t="shared" si="1"/>
        <v>0</v>
      </c>
      <c r="R18" s="16">
        <v>228050</v>
      </c>
      <c r="S18" s="49">
        <v>0.90003867999999998</v>
      </c>
      <c r="T18" s="27">
        <f>IF(Table4[[#This Row],[Link clicks]]=0,0,Table4[[#This Row],[Amount spent ]]/Table4[[#This Row],[Link clicks]])</f>
        <v>0.1685634328358209</v>
      </c>
      <c r="U18" s="62" t="s">
        <v>407</v>
      </c>
      <c r="V18" s="1" t="s">
        <v>414</v>
      </c>
      <c r="W18" s="1">
        <v>5.354805838336813E-3</v>
      </c>
    </row>
    <row r="19" spans="1:23" x14ac:dyDescent="0.25">
      <c r="A19" s="48" t="s">
        <v>72</v>
      </c>
      <c r="B19" s="14" t="s">
        <v>355</v>
      </c>
      <c r="C19" s="1" t="str">
        <f t="shared" si="0"/>
        <v>United Arab Emirates Target Group</v>
      </c>
      <c r="D19" s="1" t="s">
        <v>73</v>
      </c>
      <c r="E19" s="15" t="s">
        <v>330</v>
      </c>
      <c r="F19" s="1" t="s">
        <v>77</v>
      </c>
      <c r="G19" s="1" t="s">
        <v>98</v>
      </c>
      <c r="H19" s="1" t="s">
        <v>94</v>
      </c>
      <c r="I19" s="16">
        <v>98974</v>
      </c>
      <c r="J19" s="16">
        <v>198163</v>
      </c>
      <c r="K19" s="63">
        <v>90.03</v>
      </c>
      <c r="L19" s="16">
        <v>533</v>
      </c>
      <c r="M19" s="16">
        <v>0</v>
      </c>
      <c r="N19" s="16">
        <v>0</v>
      </c>
      <c r="O19" s="26">
        <f t="shared" si="2"/>
        <v>0.26897049398727313</v>
      </c>
      <c r="P19" s="13" t="str">
        <f t="shared" si="3"/>
        <v>Good</v>
      </c>
      <c r="Q19" s="13">
        <f t="shared" si="1"/>
        <v>0</v>
      </c>
      <c r="R19" s="16">
        <v>41316</v>
      </c>
      <c r="S19" s="49">
        <v>3.7208213300000001</v>
      </c>
      <c r="T19" s="27">
        <f>IF(Table4[[#This Row],[Link clicks]]=0,0,Table4[[#This Row],[Amount spent ]]/Table4[[#This Row],[Link clicks]])</f>
        <v>0.16891181988742965</v>
      </c>
      <c r="U19" s="62" t="s">
        <v>407</v>
      </c>
      <c r="V19" s="1" t="s">
        <v>413</v>
      </c>
      <c r="W19" s="1">
        <v>5.3852526926263461E-3</v>
      </c>
    </row>
    <row r="20" spans="1:23" x14ac:dyDescent="0.25">
      <c r="A20" s="48" t="s">
        <v>72</v>
      </c>
      <c r="B20" s="14" t="s">
        <v>355</v>
      </c>
      <c r="C20" s="1" t="str">
        <f t="shared" si="0"/>
        <v>United Arab Emirates Target Group</v>
      </c>
      <c r="D20" s="1" t="s">
        <v>73</v>
      </c>
      <c r="E20" s="15" t="s">
        <v>328</v>
      </c>
      <c r="F20" s="1" t="s">
        <v>78</v>
      </c>
      <c r="G20" s="1" t="s">
        <v>74</v>
      </c>
      <c r="H20" s="1" t="s">
        <v>92</v>
      </c>
      <c r="I20" s="16">
        <v>66674</v>
      </c>
      <c r="J20" s="16">
        <v>117572</v>
      </c>
      <c r="K20" s="63">
        <v>87.57</v>
      </c>
      <c r="L20" s="16">
        <v>431</v>
      </c>
      <c r="M20" s="16">
        <v>20385</v>
      </c>
      <c r="N20" s="16">
        <v>491</v>
      </c>
      <c r="O20" s="26">
        <f t="shared" si="2"/>
        <v>0.36658388051576907</v>
      </c>
      <c r="P20" s="13" t="str">
        <f t="shared" si="3"/>
        <v>Good</v>
      </c>
      <c r="Q20" s="13">
        <f t="shared" si="1"/>
        <v>0.17338311842955806</v>
      </c>
      <c r="R20" s="16">
        <v>64862</v>
      </c>
      <c r="S20" s="49">
        <v>0.13531071</v>
      </c>
      <c r="T20" s="27">
        <f>IF(Table4[[#This Row],[Link clicks]]=0,0,Table4[[#This Row],[Amount spent ]]/Table4[[#This Row],[Link clicks]])</f>
        <v>0.20317865429234336</v>
      </c>
      <c r="U20" s="62" t="s">
        <v>407</v>
      </c>
      <c r="V20" s="1" t="s">
        <v>413</v>
      </c>
      <c r="W20" s="1">
        <v>6.4642889282178961E-3</v>
      </c>
    </row>
    <row r="21" spans="1:23" x14ac:dyDescent="0.25">
      <c r="A21" s="48" t="s">
        <v>72</v>
      </c>
      <c r="B21" s="14" t="s">
        <v>355</v>
      </c>
      <c r="C21" s="1" t="str">
        <f t="shared" si="0"/>
        <v>United Arab Emirates Target Group</v>
      </c>
      <c r="D21" s="1" t="s">
        <v>73</v>
      </c>
      <c r="E21" s="15" t="s">
        <v>331</v>
      </c>
      <c r="F21" s="1" t="s">
        <v>78</v>
      </c>
      <c r="G21" s="1" t="s">
        <v>74</v>
      </c>
      <c r="H21" s="1" t="s">
        <v>92</v>
      </c>
      <c r="I21" s="16">
        <v>112957</v>
      </c>
      <c r="J21" s="16">
        <v>202733</v>
      </c>
      <c r="K21" s="63">
        <v>85.96</v>
      </c>
      <c r="L21" s="16">
        <v>576</v>
      </c>
      <c r="M21" s="16">
        <v>8255</v>
      </c>
      <c r="N21" s="16">
        <v>244</v>
      </c>
      <c r="O21" s="26">
        <f t="shared" si="2"/>
        <v>0.28411753389926653</v>
      </c>
      <c r="P21" s="13" t="str">
        <f t="shared" si="3"/>
        <v>Good</v>
      </c>
      <c r="Q21" s="13">
        <f t="shared" si="1"/>
        <v>4.0718580596153561E-2</v>
      </c>
      <c r="R21" s="16">
        <v>154401</v>
      </c>
      <c r="S21" s="49">
        <v>0.55206109999999997</v>
      </c>
      <c r="T21" s="27">
        <f>IF(Table4[[#This Row],[Link clicks]]=0,0,Table4[[#This Row],[Amount spent ]]/Table4[[#This Row],[Link clicks]])</f>
        <v>0.1492361111111111</v>
      </c>
      <c r="U21" s="62" t="s">
        <v>407</v>
      </c>
      <c r="V21" s="1" t="s">
        <v>413</v>
      </c>
      <c r="W21" s="1">
        <v>5.0992855688447806E-3</v>
      </c>
    </row>
    <row r="22" spans="1:23" x14ac:dyDescent="0.25">
      <c r="A22" s="48" t="s">
        <v>72</v>
      </c>
      <c r="B22" s="14" t="s">
        <v>355</v>
      </c>
      <c r="C22" s="1" t="str">
        <f t="shared" si="0"/>
        <v>United Arab Emirates Target Group</v>
      </c>
      <c r="D22" s="1" t="s">
        <v>73</v>
      </c>
      <c r="E22" s="15" t="s">
        <v>320</v>
      </c>
      <c r="F22" s="1" t="s">
        <v>77</v>
      </c>
      <c r="G22" s="1" t="s">
        <v>74</v>
      </c>
      <c r="H22" s="1" t="s">
        <v>94</v>
      </c>
      <c r="I22" s="16">
        <v>39760</v>
      </c>
      <c r="J22" s="16">
        <v>89510</v>
      </c>
      <c r="K22" s="63">
        <v>82.1</v>
      </c>
      <c r="L22" s="16">
        <v>442</v>
      </c>
      <c r="M22" s="16">
        <v>18130</v>
      </c>
      <c r="N22" s="16">
        <v>423</v>
      </c>
      <c r="O22" s="26">
        <f t="shared" si="2"/>
        <v>0.49379957546642828</v>
      </c>
      <c r="P22" s="13" t="str">
        <f t="shared" si="3"/>
        <v>Good</v>
      </c>
      <c r="Q22" s="13">
        <f t="shared" si="1"/>
        <v>0.20254720143000782</v>
      </c>
      <c r="R22" s="16">
        <v>2354</v>
      </c>
      <c r="S22" s="49">
        <v>6.5378700000000003E-3</v>
      </c>
      <c r="T22" s="27">
        <f>IF(Table4[[#This Row],[Link clicks]]=0,0,Table4[[#This Row],[Amount spent ]]/Table4[[#This Row],[Link clicks]])</f>
        <v>0.18574660633484161</v>
      </c>
      <c r="U22" s="62" t="s">
        <v>407</v>
      </c>
      <c r="V22" s="1" t="s">
        <v>413</v>
      </c>
      <c r="W22" s="1">
        <v>1.111670020120724E-2</v>
      </c>
    </row>
    <row r="23" spans="1:23" x14ac:dyDescent="0.25">
      <c r="A23" s="48" t="s">
        <v>72</v>
      </c>
      <c r="B23" s="14" t="s">
        <v>355</v>
      </c>
      <c r="C23" s="1" t="str">
        <f t="shared" si="0"/>
        <v>United Arab Emirates Target Group</v>
      </c>
      <c r="D23" s="1" t="s">
        <v>73</v>
      </c>
      <c r="E23" s="15" t="s">
        <v>332</v>
      </c>
      <c r="F23" s="1" t="s">
        <v>77</v>
      </c>
      <c r="G23" s="1" t="s">
        <v>74</v>
      </c>
      <c r="H23" s="1" t="s">
        <v>94</v>
      </c>
      <c r="I23" s="16">
        <v>85233</v>
      </c>
      <c r="J23" s="16">
        <v>149795</v>
      </c>
      <c r="K23" s="63">
        <v>69.31</v>
      </c>
      <c r="L23" s="16">
        <v>456</v>
      </c>
      <c r="M23" s="16">
        <v>4178</v>
      </c>
      <c r="N23" s="16">
        <v>103</v>
      </c>
      <c r="O23" s="26">
        <f t="shared" si="2"/>
        <v>0.30441603524817251</v>
      </c>
      <c r="P23" s="13" t="str">
        <f t="shared" si="3"/>
        <v>Good</v>
      </c>
      <c r="Q23" s="13">
        <f t="shared" si="1"/>
        <v>2.7891451650589139E-2</v>
      </c>
      <c r="R23" s="16">
        <v>44847</v>
      </c>
      <c r="S23" s="49">
        <v>0.13775087</v>
      </c>
      <c r="T23" s="27">
        <f>IF(Table4[[#This Row],[Link clicks]]=0,0,Table4[[#This Row],[Amount spent ]]/Table4[[#This Row],[Link clicks]])</f>
        <v>0.15199561403508771</v>
      </c>
      <c r="U23" s="62" t="s">
        <v>407</v>
      </c>
      <c r="V23" s="1" t="s">
        <v>413</v>
      </c>
      <c r="W23" s="1">
        <v>5.3500404772799269E-3</v>
      </c>
    </row>
    <row r="24" spans="1:23" x14ac:dyDescent="0.25">
      <c r="A24" s="48" t="s">
        <v>72</v>
      </c>
      <c r="B24" s="14" t="s">
        <v>355</v>
      </c>
      <c r="C24" s="1" t="str">
        <f t="shared" si="0"/>
        <v>United Arab Emirates Target Group</v>
      </c>
      <c r="D24" s="1" t="s">
        <v>73</v>
      </c>
      <c r="E24" s="15" t="s">
        <v>328</v>
      </c>
      <c r="F24" s="1" t="s">
        <v>78</v>
      </c>
      <c r="G24" s="1" t="s">
        <v>74</v>
      </c>
      <c r="H24" s="1" t="s">
        <v>92</v>
      </c>
      <c r="I24" s="16">
        <v>78831</v>
      </c>
      <c r="J24" s="16">
        <v>160901</v>
      </c>
      <c r="K24" s="63">
        <v>68</v>
      </c>
      <c r="L24" s="16">
        <v>503</v>
      </c>
      <c r="M24" s="16">
        <v>6557</v>
      </c>
      <c r="N24" s="16">
        <v>300</v>
      </c>
      <c r="O24" s="26">
        <f t="shared" si="2"/>
        <v>0.31261458909515788</v>
      </c>
      <c r="P24" s="13" t="str">
        <f t="shared" si="3"/>
        <v>Good</v>
      </c>
      <c r="Q24" s="13">
        <f t="shared" si="1"/>
        <v>4.0751766614253483E-2</v>
      </c>
      <c r="R24" s="16">
        <v>134087</v>
      </c>
      <c r="S24" s="49">
        <v>0.49482615000000002</v>
      </c>
      <c r="T24" s="27">
        <f>IF(Table4[[#This Row],[Link clicks]]=0,0,Table4[[#This Row],[Amount spent ]]/Table4[[#This Row],[Link clicks]])</f>
        <v>0.13518886679920478</v>
      </c>
      <c r="U24" s="62" t="s">
        <v>407</v>
      </c>
      <c r="V24" s="1" t="s">
        <v>413</v>
      </c>
      <c r="W24" s="1">
        <v>6.3807385419441592E-3</v>
      </c>
    </row>
    <row r="25" spans="1:23" x14ac:dyDescent="0.25">
      <c r="A25" s="48" t="s">
        <v>72</v>
      </c>
      <c r="B25" s="14" t="s">
        <v>355</v>
      </c>
      <c r="C25" s="1" t="str">
        <f t="shared" si="0"/>
        <v>United Arab Emirates Target Group</v>
      </c>
      <c r="D25" s="1" t="s">
        <v>73</v>
      </c>
      <c r="E25" s="15" t="s">
        <v>333</v>
      </c>
      <c r="F25" s="1" t="s">
        <v>78</v>
      </c>
      <c r="G25" s="1" t="s">
        <v>74</v>
      </c>
      <c r="H25" s="1" t="s">
        <v>94</v>
      </c>
      <c r="I25" s="16">
        <v>67698</v>
      </c>
      <c r="J25" s="16">
        <v>123008</v>
      </c>
      <c r="K25" s="63">
        <v>55.1</v>
      </c>
      <c r="L25" s="16">
        <v>403</v>
      </c>
      <c r="M25" s="16">
        <v>2615</v>
      </c>
      <c r="N25" s="16">
        <v>90</v>
      </c>
      <c r="O25" s="26">
        <f t="shared" si="2"/>
        <v>0.3276209677419355</v>
      </c>
      <c r="P25" s="13" t="str">
        <f t="shared" si="3"/>
        <v>Good</v>
      </c>
      <c r="Q25" s="13">
        <f t="shared" si="1"/>
        <v>2.1258779916753383E-2</v>
      </c>
      <c r="R25" s="16">
        <v>54659</v>
      </c>
      <c r="S25" s="49">
        <v>0.18800347000000001</v>
      </c>
      <c r="T25" s="27">
        <f>IF(Table4[[#This Row],[Link clicks]]=0,0,Table4[[#This Row],[Amount spent ]]/Table4[[#This Row],[Link clicks]])</f>
        <v>0.13672456575682382</v>
      </c>
      <c r="U25" s="62" t="s">
        <v>407</v>
      </c>
      <c r="V25" s="1" t="s">
        <v>413</v>
      </c>
      <c r="W25" s="1">
        <v>5.9529085054211353E-3</v>
      </c>
    </row>
    <row r="26" spans="1:23" x14ac:dyDescent="0.25">
      <c r="A26" s="48" t="s">
        <v>72</v>
      </c>
      <c r="B26" s="14" t="s">
        <v>355</v>
      </c>
      <c r="C26" s="1" t="str">
        <f t="shared" si="0"/>
        <v>United Arab Emirates Target Group</v>
      </c>
      <c r="D26" s="1" t="s">
        <v>73</v>
      </c>
      <c r="E26" s="15" t="s">
        <v>331</v>
      </c>
      <c r="F26" s="1" t="s">
        <v>78</v>
      </c>
      <c r="G26" s="1" t="s">
        <v>74</v>
      </c>
      <c r="H26" s="1" t="s">
        <v>92</v>
      </c>
      <c r="I26" s="16">
        <v>37856</v>
      </c>
      <c r="J26" s="16">
        <v>72241</v>
      </c>
      <c r="K26" s="63">
        <v>54.4</v>
      </c>
      <c r="L26" s="16">
        <v>198</v>
      </c>
      <c r="M26" s="16">
        <v>13629</v>
      </c>
      <c r="N26" s="16">
        <v>165</v>
      </c>
      <c r="O26" s="26">
        <f t="shared" si="2"/>
        <v>0.27408258468182889</v>
      </c>
      <c r="P26" s="13" t="str">
        <f t="shared" si="3"/>
        <v>Good</v>
      </c>
      <c r="Q26" s="13">
        <f t="shared" si="1"/>
        <v>0.18866017912265887</v>
      </c>
      <c r="R26" s="16">
        <v>108445</v>
      </c>
      <c r="S26" s="49">
        <v>0.37754669000000002</v>
      </c>
      <c r="T26" s="27">
        <f>IF(Table4[[#This Row],[Link clicks]]=0,0,Table4[[#This Row],[Amount spent ]]/Table4[[#This Row],[Link clicks]])</f>
        <v>0.27474747474747474</v>
      </c>
      <c r="U26" s="62" t="s">
        <v>407</v>
      </c>
      <c r="V26" s="1" t="s">
        <v>413</v>
      </c>
      <c r="W26" s="1">
        <v>5.2303465765004224E-3</v>
      </c>
    </row>
    <row r="27" spans="1:23" x14ac:dyDescent="0.25">
      <c r="A27" s="48" t="s">
        <v>72</v>
      </c>
      <c r="B27" s="14" t="s">
        <v>355</v>
      </c>
      <c r="C27" s="1" t="str">
        <f t="shared" si="0"/>
        <v>United Arab Emirates Target Group</v>
      </c>
      <c r="D27" s="1" t="s">
        <v>73</v>
      </c>
      <c r="E27" s="15" t="s">
        <v>334</v>
      </c>
      <c r="F27" s="1" t="s">
        <v>77</v>
      </c>
      <c r="G27" s="1" t="s">
        <v>74</v>
      </c>
      <c r="H27" s="1" t="s">
        <v>94</v>
      </c>
      <c r="I27" s="16">
        <v>46720</v>
      </c>
      <c r="J27" s="16">
        <v>109820</v>
      </c>
      <c r="K27" s="63">
        <v>48.55</v>
      </c>
      <c r="L27" s="16">
        <v>240</v>
      </c>
      <c r="M27" s="16">
        <v>1571</v>
      </c>
      <c r="N27" s="16">
        <v>1370</v>
      </c>
      <c r="O27" s="26">
        <f t="shared" si="2"/>
        <v>0.218539428155163</v>
      </c>
      <c r="P27" s="13" t="str">
        <f t="shared" si="3"/>
        <v>Good</v>
      </c>
      <c r="Q27" s="13">
        <f t="shared" si="1"/>
        <v>1.4305226734656711E-2</v>
      </c>
      <c r="R27" s="16">
        <v>220354</v>
      </c>
      <c r="S27" s="49">
        <v>1.7384382300000001</v>
      </c>
      <c r="T27" s="27">
        <f>IF(Table4[[#This Row],[Link clicks]]=0,0,Table4[[#This Row],[Amount spent ]]/Table4[[#This Row],[Link clicks]])</f>
        <v>0.20229166666666665</v>
      </c>
      <c r="U27" s="62" t="s">
        <v>407</v>
      </c>
      <c r="V27" s="1" t="s">
        <v>413</v>
      </c>
      <c r="W27" s="1">
        <v>5.1369863013698627E-3</v>
      </c>
    </row>
    <row r="28" spans="1:23" x14ac:dyDescent="0.25">
      <c r="A28" s="48" t="s">
        <v>72</v>
      </c>
      <c r="B28" s="14" t="s">
        <v>355</v>
      </c>
      <c r="C28" s="1" t="str">
        <f t="shared" si="0"/>
        <v>United Arab Emirates Target Group</v>
      </c>
      <c r="D28" s="1" t="s">
        <v>73</v>
      </c>
      <c r="E28" s="15" t="s">
        <v>335</v>
      </c>
      <c r="F28" s="1" t="s">
        <v>78</v>
      </c>
      <c r="G28" s="1" t="s">
        <v>98</v>
      </c>
      <c r="H28" s="1" t="s">
        <v>94</v>
      </c>
      <c r="I28" s="16">
        <v>69551</v>
      </c>
      <c r="J28" s="16">
        <v>111983</v>
      </c>
      <c r="K28" s="63">
        <v>46.65</v>
      </c>
      <c r="L28" s="16">
        <v>246</v>
      </c>
      <c r="M28" s="16">
        <v>0</v>
      </c>
      <c r="N28" s="16">
        <v>0</v>
      </c>
      <c r="O28" s="26">
        <f t="shared" si="2"/>
        <v>0.21967620085191503</v>
      </c>
      <c r="P28" s="13" t="str">
        <f t="shared" si="3"/>
        <v>Good</v>
      </c>
      <c r="Q28" s="13">
        <f t="shared" si="1"/>
        <v>0</v>
      </c>
      <c r="R28" s="16">
        <v>68563</v>
      </c>
      <c r="S28" s="49">
        <v>0.21599544000000001</v>
      </c>
      <c r="T28" s="27">
        <f>IF(Table4[[#This Row],[Link clicks]]=0,0,Table4[[#This Row],[Amount spent ]]/Table4[[#This Row],[Link clicks]])</f>
        <v>0.18963414634146342</v>
      </c>
      <c r="U28" s="62" t="s">
        <v>407</v>
      </c>
      <c r="V28" s="1" t="s">
        <v>413</v>
      </c>
      <c r="W28" s="1">
        <v>3.5369728688300671E-3</v>
      </c>
    </row>
    <row r="29" spans="1:23" x14ac:dyDescent="0.25">
      <c r="A29" s="48" t="s">
        <v>72</v>
      </c>
      <c r="B29" s="14" t="s">
        <v>355</v>
      </c>
      <c r="C29" s="1" t="str">
        <f t="shared" si="0"/>
        <v>United Arab Emirates Target Group</v>
      </c>
      <c r="D29" s="1" t="s">
        <v>130</v>
      </c>
      <c r="E29" s="15" t="s">
        <v>327</v>
      </c>
      <c r="F29" s="1" t="s">
        <v>78</v>
      </c>
      <c r="G29" s="1" t="s">
        <v>74</v>
      </c>
      <c r="H29" s="1" t="s">
        <v>94</v>
      </c>
      <c r="I29" s="16">
        <v>44213</v>
      </c>
      <c r="J29" s="16">
        <v>98096</v>
      </c>
      <c r="K29" s="63">
        <v>42.98</v>
      </c>
      <c r="L29" s="16">
        <v>419</v>
      </c>
      <c r="M29" s="16">
        <v>3530</v>
      </c>
      <c r="N29" s="16">
        <v>189</v>
      </c>
      <c r="O29" s="26">
        <f t="shared" si="2"/>
        <v>0.42713260479530257</v>
      </c>
      <c r="P29" s="13" t="str">
        <f t="shared" si="3"/>
        <v>Good</v>
      </c>
      <c r="Q29" s="13">
        <f t="shared" si="1"/>
        <v>3.5985157396835755E-2</v>
      </c>
      <c r="R29" s="16">
        <v>1627</v>
      </c>
      <c r="S29" s="49">
        <v>7.0538900000000002E-3</v>
      </c>
      <c r="T29" s="27">
        <f>IF(Table4[[#This Row],[Link clicks]]=0,0,Table4[[#This Row],[Amount spent ]]/Table4[[#This Row],[Link clicks]])</f>
        <v>0.10257756563245822</v>
      </c>
      <c r="U29" s="62" t="s">
        <v>407</v>
      </c>
      <c r="V29" s="1" t="s">
        <v>414</v>
      </c>
      <c r="W29" s="1">
        <v>9.4768507000203561E-3</v>
      </c>
    </row>
    <row r="30" spans="1:23" x14ac:dyDescent="0.25">
      <c r="A30" s="48" t="s">
        <v>72</v>
      </c>
      <c r="B30" s="14" t="s">
        <v>355</v>
      </c>
      <c r="C30" s="1" t="str">
        <f t="shared" si="0"/>
        <v>United Arab Emirates Target Group</v>
      </c>
      <c r="D30" s="1" t="s">
        <v>73</v>
      </c>
      <c r="E30" s="15" t="s">
        <v>336</v>
      </c>
      <c r="F30" s="1" t="s">
        <v>78</v>
      </c>
      <c r="G30" s="1" t="s">
        <v>118</v>
      </c>
      <c r="H30" s="1" t="s">
        <v>94</v>
      </c>
      <c r="I30" s="16">
        <v>50961</v>
      </c>
      <c r="J30" s="16">
        <v>80911</v>
      </c>
      <c r="K30" s="63">
        <v>38.81</v>
      </c>
      <c r="L30" s="16">
        <v>140</v>
      </c>
      <c r="M30" s="16">
        <v>2584</v>
      </c>
      <c r="N30" s="16">
        <v>2642</v>
      </c>
      <c r="O30" s="26">
        <f t="shared" si="2"/>
        <v>0.1730296251436764</v>
      </c>
      <c r="P30" s="13" t="str">
        <f t="shared" si="3"/>
        <v>Bad</v>
      </c>
      <c r="Q30" s="13">
        <f t="shared" si="1"/>
        <v>3.1936325097947124E-2</v>
      </c>
      <c r="R30" s="16">
        <v>2006</v>
      </c>
      <c r="S30" s="49">
        <v>6.05567E-3</v>
      </c>
      <c r="T30" s="27">
        <f>IF(Table4[[#This Row],[Link clicks]]=0,0,Table4[[#This Row],[Amount spent ]]/Table4[[#This Row],[Link clicks]])</f>
        <v>0.27721428571428575</v>
      </c>
      <c r="U30" s="62" t="s">
        <v>407</v>
      </c>
      <c r="V30" s="1" t="s">
        <v>413</v>
      </c>
      <c r="W30" s="1">
        <v>2.7471988383273478E-3</v>
      </c>
    </row>
    <row r="31" spans="1:23" x14ac:dyDescent="0.25">
      <c r="A31" s="48" t="s">
        <v>72</v>
      </c>
      <c r="B31" s="14" t="s">
        <v>355</v>
      </c>
      <c r="C31" s="1" t="str">
        <f t="shared" si="0"/>
        <v>United Arab Emirates Target Group</v>
      </c>
      <c r="D31" s="1" t="s">
        <v>73</v>
      </c>
      <c r="E31" s="15" t="s">
        <v>326</v>
      </c>
      <c r="F31" s="1" t="s">
        <v>78</v>
      </c>
      <c r="G31" s="1" t="s">
        <v>74</v>
      </c>
      <c r="H31" s="1" t="s">
        <v>94</v>
      </c>
      <c r="I31" s="16">
        <v>52737</v>
      </c>
      <c r="J31" s="16">
        <v>80494</v>
      </c>
      <c r="K31" s="63">
        <v>36.69</v>
      </c>
      <c r="L31" s="16">
        <v>261</v>
      </c>
      <c r="M31" s="16">
        <v>2454</v>
      </c>
      <c r="N31" s="16">
        <v>141</v>
      </c>
      <c r="O31" s="26">
        <f t="shared" si="2"/>
        <v>0.32424777002012573</v>
      </c>
      <c r="P31" s="13" t="str">
        <f t="shared" si="3"/>
        <v>Good</v>
      </c>
      <c r="Q31" s="13">
        <f t="shared" si="1"/>
        <v>3.0486744353616417E-2</v>
      </c>
      <c r="R31" s="16">
        <v>111841</v>
      </c>
      <c r="S31" s="49">
        <v>0.52430465999999998</v>
      </c>
      <c r="T31" s="27">
        <f>IF(Table4[[#This Row],[Link clicks]]=0,0,Table4[[#This Row],[Amount spent ]]/Table4[[#This Row],[Link clicks]])</f>
        <v>0.14057471264367816</v>
      </c>
      <c r="U31" s="62" t="s">
        <v>407</v>
      </c>
      <c r="V31" s="1" t="s">
        <v>413</v>
      </c>
      <c r="W31" s="1">
        <v>4.9490869787815004E-3</v>
      </c>
    </row>
    <row r="32" spans="1:23" x14ac:dyDescent="0.25">
      <c r="A32" s="48" t="s">
        <v>72</v>
      </c>
      <c r="B32" s="14" t="s">
        <v>355</v>
      </c>
      <c r="C32" s="1" t="str">
        <f t="shared" si="0"/>
        <v>United Arab Emirates Target Group</v>
      </c>
      <c r="D32" s="1" t="s">
        <v>130</v>
      </c>
      <c r="E32" s="15" t="s">
        <v>324</v>
      </c>
      <c r="F32" s="1" t="s">
        <v>77</v>
      </c>
      <c r="G32" s="1" t="s">
        <v>98</v>
      </c>
      <c r="H32" s="1" t="s">
        <v>94</v>
      </c>
      <c r="I32" s="16">
        <v>42864</v>
      </c>
      <c r="J32" s="16">
        <v>67488</v>
      </c>
      <c r="K32" s="63">
        <v>33.479999999999997</v>
      </c>
      <c r="L32" s="16">
        <v>145</v>
      </c>
      <c r="M32" s="16">
        <v>0</v>
      </c>
      <c r="N32" s="16">
        <v>0</v>
      </c>
      <c r="O32" s="26">
        <f t="shared" si="2"/>
        <v>0.21485301090564249</v>
      </c>
      <c r="P32" s="13" t="str">
        <f t="shared" si="3"/>
        <v>Good</v>
      </c>
      <c r="Q32" s="13">
        <f t="shared" si="1"/>
        <v>0</v>
      </c>
      <c r="R32" s="16">
        <v>104545</v>
      </c>
      <c r="S32" s="49">
        <v>0.75695811999999996</v>
      </c>
      <c r="T32" s="27">
        <f>IF(Table4[[#This Row],[Link clicks]]=0,0,Table4[[#This Row],[Amount spent ]]/Table4[[#This Row],[Link clicks]])</f>
        <v>0.23089655172413792</v>
      </c>
      <c r="U32" s="62" t="s">
        <v>407</v>
      </c>
      <c r="V32" s="1" t="s">
        <v>414</v>
      </c>
      <c r="W32" s="1">
        <v>3.3827920865994779E-3</v>
      </c>
    </row>
    <row r="33" spans="1:23" x14ac:dyDescent="0.25">
      <c r="A33" s="48" t="s">
        <v>72</v>
      </c>
      <c r="B33" s="14" t="s">
        <v>355</v>
      </c>
      <c r="C33" s="1" t="str">
        <f t="shared" si="0"/>
        <v>United Arab Emirates Target Group</v>
      </c>
      <c r="D33" s="1" t="s">
        <v>73</v>
      </c>
      <c r="E33" s="15" t="s">
        <v>337</v>
      </c>
      <c r="F33" s="1" t="s">
        <v>78</v>
      </c>
      <c r="G33" s="1" t="s">
        <v>98</v>
      </c>
      <c r="H33" s="1" t="s">
        <v>94</v>
      </c>
      <c r="I33" s="16">
        <v>41111</v>
      </c>
      <c r="J33" s="16">
        <v>74935</v>
      </c>
      <c r="K33" s="63">
        <v>31.35</v>
      </c>
      <c r="L33" s="16">
        <v>177</v>
      </c>
      <c r="M33" s="16">
        <v>0</v>
      </c>
      <c r="N33" s="16">
        <v>0</v>
      </c>
      <c r="O33" s="26">
        <f t="shared" si="2"/>
        <v>0.23620471074931607</v>
      </c>
      <c r="P33" s="13" t="str">
        <f t="shared" si="3"/>
        <v>Good</v>
      </c>
      <c r="Q33" s="13">
        <f t="shared" si="1"/>
        <v>0</v>
      </c>
      <c r="R33" s="16">
        <v>1145</v>
      </c>
      <c r="S33" s="49">
        <v>4.3710299999999997E-3</v>
      </c>
      <c r="T33" s="27">
        <f>IF(Table4[[#This Row],[Link clicks]]=0,0,Table4[[#This Row],[Amount spent ]]/Table4[[#This Row],[Link clicks]])</f>
        <v>0.17711864406779662</v>
      </c>
      <c r="U33" s="62" t="s">
        <v>407</v>
      </c>
      <c r="V33" s="1" t="s">
        <v>413</v>
      </c>
      <c r="W33" s="1">
        <v>4.3054170416676803E-3</v>
      </c>
    </row>
    <row r="34" spans="1:23" x14ac:dyDescent="0.25">
      <c r="A34" s="48" t="s">
        <v>72</v>
      </c>
      <c r="B34" s="14" t="s">
        <v>355</v>
      </c>
      <c r="C34" s="1" t="str">
        <f t="shared" si="0"/>
        <v>United Arab Emirates Target Group</v>
      </c>
      <c r="D34" s="1" t="s">
        <v>73</v>
      </c>
      <c r="E34" s="15" t="s">
        <v>323</v>
      </c>
      <c r="F34" s="1" t="s">
        <v>77</v>
      </c>
      <c r="G34" s="1" t="s">
        <v>74</v>
      </c>
      <c r="H34" s="1" t="s">
        <v>94</v>
      </c>
      <c r="I34" s="16">
        <v>24664</v>
      </c>
      <c r="J34" s="16">
        <v>32039</v>
      </c>
      <c r="K34" s="63">
        <v>28.83</v>
      </c>
      <c r="L34" s="16">
        <v>199</v>
      </c>
      <c r="M34" s="16">
        <v>7350</v>
      </c>
      <c r="N34" s="16">
        <v>87</v>
      </c>
      <c r="O34" s="26">
        <f t="shared" si="2"/>
        <v>0.6211180124223602</v>
      </c>
      <c r="P34" s="13" t="str">
        <f t="shared" si="3"/>
        <v>Good</v>
      </c>
      <c r="Q34" s="13">
        <f t="shared" ref="Q34:Q65" si="4">M34/J34</f>
        <v>0.22940790911077125</v>
      </c>
      <c r="R34" s="16">
        <v>55463</v>
      </c>
      <c r="S34" s="49">
        <v>0.18233492000000001</v>
      </c>
      <c r="T34" s="27">
        <f>IF(Table4[[#This Row],[Link clicks]]=0,0,Table4[[#This Row],[Amount spent ]]/Table4[[#This Row],[Link clicks]])</f>
        <v>0.14487437185929647</v>
      </c>
      <c r="U34" s="62" t="s">
        <v>407</v>
      </c>
      <c r="V34" s="1" t="s">
        <v>413</v>
      </c>
      <c r="W34" s="1">
        <v>8.0684398313331171E-3</v>
      </c>
    </row>
    <row r="35" spans="1:23" x14ac:dyDescent="0.25">
      <c r="A35" s="48" t="s">
        <v>72</v>
      </c>
      <c r="B35" s="14" t="s">
        <v>355</v>
      </c>
      <c r="C35" s="1" t="str">
        <f t="shared" si="0"/>
        <v>United Arab Emirates Target Group</v>
      </c>
      <c r="D35" s="1" t="s">
        <v>73</v>
      </c>
      <c r="E35" s="15" t="s">
        <v>338</v>
      </c>
      <c r="F35" s="1" t="s">
        <v>77</v>
      </c>
      <c r="G35" s="1" t="s">
        <v>74</v>
      </c>
      <c r="H35" s="1" t="s">
        <v>75</v>
      </c>
      <c r="I35" s="16">
        <v>52224</v>
      </c>
      <c r="J35" s="16">
        <v>59574</v>
      </c>
      <c r="K35" s="63">
        <v>28.78</v>
      </c>
      <c r="L35" s="16">
        <v>33</v>
      </c>
      <c r="M35" s="16">
        <v>3099</v>
      </c>
      <c r="N35" s="16">
        <v>69</v>
      </c>
      <c r="O35" s="26">
        <f t="shared" si="2"/>
        <v>5.5393292375868666E-2</v>
      </c>
      <c r="P35" s="13" t="str">
        <f t="shared" si="3"/>
        <v>Bad</v>
      </c>
      <c r="Q35" s="13">
        <f t="shared" si="4"/>
        <v>5.2019337294793029E-2</v>
      </c>
      <c r="R35" s="16">
        <v>103529</v>
      </c>
      <c r="S35" s="49">
        <v>0.67556068999999996</v>
      </c>
      <c r="T35" s="27">
        <f>IF(Table4[[#This Row],[Link clicks]]=0,0,Table4[[#This Row],[Amount spent ]]/Table4[[#This Row],[Link clicks]])</f>
        <v>0.87212121212121219</v>
      </c>
      <c r="U35" s="62" t="s">
        <v>407</v>
      </c>
      <c r="V35" s="1" t="s">
        <v>413</v>
      </c>
      <c r="W35" s="1">
        <v>6.3189338235294121E-4</v>
      </c>
    </row>
    <row r="36" spans="1:23" x14ac:dyDescent="0.25">
      <c r="A36" s="48" t="s">
        <v>72</v>
      </c>
      <c r="B36" s="14" t="s">
        <v>355</v>
      </c>
      <c r="C36" s="1" t="str">
        <f t="shared" si="0"/>
        <v>United Arab Emirates Target Group</v>
      </c>
      <c r="D36" s="1" t="s">
        <v>73</v>
      </c>
      <c r="E36" s="15" t="s">
        <v>332</v>
      </c>
      <c r="F36" s="1" t="s">
        <v>77</v>
      </c>
      <c r="G36" s="1" t="s">
        <v>74</v>
      </c>
      <c r="H36" s="1" t="s">
        <v>94</v>
      </c>
      <c r="I36" s="16">
        <v>9136</v>
      </c>
      <c r="J36" s="16">
        <v>11580</v>
      </c>
      <c r="K36" s="63">
        <v>27.15</v>
      </c>
      <c r="L36" s="16">
        <v>85</v>
      </c>
      <c r="M36" s="16">
        <v>5444</v>
      </c>
      <c r="N36" s="16">
        <v>16</v>
      </c>
      <c r="O36" s="26">
        <f t="shared" si="2"/>
        <v>0.73402417962003452</v>
      </c>
      <c r="P36" s="13" t="str">
        <f t="shared" si="3"/>
        <v>Good</v>
      </c>
      <c r="Q36" s="13">
        <f t="shared" si="4"/>
        <v>0.47012089810017271</v>
      </c>
      <c r="R36" s="16">
        <v>35071</v>
      </c>
      <c r="S36" s="49">
        <v>8.6296750000000005E-2</v>
      </c>
      <c r="T36" s="27">
        <f>IF(Table4[[#This Row],[Link clicks]]=0,0,Table4[[#This Row],[Amount spent ]]/Table4[[#This Row],[Link clicks]])</f>
        <v>0.31941176470588234</v>
      </c>
      <c r="U36" s="62" t="s">
        <v>407</v>
      </c>
      <c r="V36" s="1" t="s">
        <v>413</v>
      </c>
      <c r="W36" s="1">
        <v>9.3038528896672509E-3</v>
      </c>
    </row>
    <row r="37" spans="1:23" x14ac:dyDescent="0.25">
      <c r="A37" s="48" t="s">
        <v>72</v>
      </c>
      <c r="B37" s="14" t="s">
        <v>355</v>
      </c>
      <c r="C37" s="1" t="str">
        <f t="shared" si="0"/>
        <v>United Arab Emirates Target Group</v>
      </c>
      <c r="D37" s="1" t="s">
        <v>130</v>
      </c>
      <c r="E37" s="15" t="s">
        <v>339</v>
      </c>
      <c r="F37" s="1" t="s">
        <v>78</v>
      </c>
      <c r="G37" s="1" t="s">
        <v>74</v>
      </c>
      <c r="H37" s="1" t="s">
        <v>92</v>
      </c>
      <c r="I37" s="16">
        <v>25511</v>
      </c>
      <c r="J37" s="16">
        <v>56641</v>
      </c>
      <c r="K37" s="63">
        <v>27.12</v>
      </c>
      <c r="L37" s="16">
        <v>158</v>
      </c>
      <c r="M37" s="16">
        <v>2259</v>
      </c>
      <c r="N37" s="16">
        <v>94</v>
      </c>
      <c r="O37" s="26">
        <f t="shared" si="2"/>
        <v>0.27894987729736409</v>
      </c>
      <c r="P37" s="13" t="str">
        <f t="shared" si="3"/>
        <v>Good</v>
      </c>
      <c r="Q37" s="13">
        <f t="shared" si="4"/>
        <v>3.9882770431313004E-2</v>
      </c>
      <c r="R37" s="16">
        <v>73755</v>
      </c>
      <c r="S37" s="49">
        <v>0.50800703000000003</v>
      </c>
      <c r="T37" s="27">
        <f>IF(Table4[[#This Row],[Link clicks]]=0,0,Table4[[#This Row],[Amount spent ]]/Table4[[#This Row],[Link clicks]])</f>
        <v>0.17164556962025318</v>
      </c>
      <c r="U37" s="62" t="s">
        <v>407</v>
      </c>
      <c r="V37" s="1" t="s">
        <v>414</v>
      </c>
      <c r="W37" s="1">
        <v>6.1934067657089097E-3</v>
      </c>
    </row>
    <row r="38" spans="1:23" x14ac:dyDescent="0.25">
      <c r="A38" s="48" t="s">
        <v>72</v>
      </c>
      <c r="B38" s="14" t="s">
        <v>355</v>
      </c>
      <c r="C38" s="1" t="str">
        <f t="shared" si="0"/>
        <v>United Arab Emirates Target Group</v>
      </c>
      <c r="D38" s="1" t="s">
        <v>73</v>
      </c>
      <c r="E38" s="15" t="s">
        <v>339</v>
      </c>
      <c r="F38" s="1" t="s">
        <v>78</v>
      </c>
      <c r="G38" s="1" t="s">
        <v>74</v>
      </c>
      <c r="H38" s="1" t="s">
        <v>92</v>
      </c>
      <c r="I38" s="16">
        <v>34601</v>
      </c>
      <c r="J38" s="16">
        <v>55864</v>
      </c>
      <c r="K38" s="63">
        <v>25.69</v>
      </c>
      <c r="L38" s="16">
        <v>122</v>
      </c>
      <c r="M38" s="16">
        <v>1703</v>
      </c>
      <c r="N38" s="16">
        <v>33</v>
      </c>
      <c r="O38" s="26">
        <f t="shared" si="2"/>
        <v>0.21838751253043104</v>
      </c>
      <c r="P38" s="13" t="str">
        <f t="shared" si="3"/>
        <v>Good</v>
      </c>
      <c r="Q38" s="13">
        <f t="shared" si="4"/>
        <v>3.0484748675354431E-2</v>
      </c>
      <c r="R38" s="16">
        <v>1251</v>
      </c>
      <c r="S38" s="49">
        <v>4.4586699999999996E-3</v>
      </c>
      <c r="T38" s="27">
        <f>IF(Table4[[#This Row],[Link clicks]]=0,0,Table4[[#This Row],[Amount spent ]]/Table4[[#This Row],[Link clicks]])</f>
        <v>0.21057377049180329</v>
      </c>
      <c r="U38" s="62" t="s">
        <v>407</v>
      </c>
      <c r="V38" s="1" t="s">
        <v>413</v>
      </c>
      <c r="W38" s="1">
        <v>3.5259096557902951E-3</v>
      </c>
    </row>
    <row r="39" spans="1:23" x14ac:dyDescent="0.25">
      <c r="A39" s="48" t="s">
        <v>72</v>
      </c>
      <c r="B39" s="14" t="s">
        <v>355</v>
      </c>
      <c r="C39" s="1" t="str">
        <f t="shared" si="0"/>
        <v>United Arab Emirates Target Group</v>
      </c>
      <c r="D39" s="1" t="s">
        <v>130</v>
      </c>
      <c r="E39" s="15" t="s">
        <v>330</v>
      </c>
      <c r="F39" s="1" t="s">
        <v>77</v>
      </c>
      <c r="G39" s="1" t="s">
        <v>98</v>
      </c>
      <c r="H39" s="1" t="s">
        <v>94</v>
      </c>
      <c r="I39" s="16">
        <v>35632</v>
      </c>
      <c r="J39" s="16">
        <v>58768</v>
      </c>
      <c r="K39" s="63">
        <v>25.24</v>
      </c>
      <c r="L39" s="16">
        <v>116</v>
      </c>
      <c r="M39" s="16">
        <v>0</v>
      </c>
      <c r="N39" s="16">
        <v>0</v>
      </c>
      <c r="O39" s="26">
        <f t="shared" si="2"/>
        <v>0.19738633269806696</v>
      </c>
      <c r="P39" s="13" t="str">
        <f t="shared" si="3"/>
        <v>Bad</v>
      </c>
      <c r="Q39" s="13">
        <f t="shared" si="4"/>
        <v>0</v>
      </c>
      <c r="R39" s="16">
        <v>164416</v>
      </c>
      <c r="S39" s="49">
        <v>2.2208774600000001</v>
      </c>
      <c r="T39" s="27">
        <f>IF(Table4[[#This Row],[Link clicks]]=0,0,Table4[[#This Row],[Amount spent ]]/Table4[[#This Row],[Link clicks]])</f>
        <v>0.2175862068965517</v>
      </c>
      <c r="U39" s="62" t="s">
        <v>407</v>
      </c>
      <c r="V39" s="1" t="s">
        <v>414</v>
      </c>
      <c r="W39" s="1">
        <v>3.2555006735518629E-3</v>
      </c>
    </row>
    <row r="40" spans="1:23" x14ac:dyDescent="0.25">
      <c r="A40" s="48" t="s">
        <v>72</v>
      </c>
      <c r="B40" s="14" t="s">
        <v>355</v>
      </c>
      <c r="C40" s="1" t="str">
        <f t="shared" si="0"/>
        <v>United Arab Emirates Target Group</v>
      </c>
      <c r="D40" s="1" t="s">
        <v>73</v>
      </c>
      <c r="E40" s="15" t="s">
        <v>340</v>
      </c>
      <c r="F40" s="1" t="s">
        <v>77</v>
      </c>
      <c r="G40" s="1" t="s">
        <v>74</v>
      </c>
      <c r="H40" s="1" t="s">
        <v>75</v>
      </c>
      <c r="I40" s="16">
        <v>41544</v>
      </c>
      <c r="J40" s="16">
        <v>47723</v>
      </c>
      <c r="K40" s="63">
        <v>23.43</v>
      </c>
      <c r="L40" s="16">
        <v>27</v>
      </c>
      <c r="M40" s="16">
        <v>2052</v>
      </c>
      <c r="N40" s="16">
        <v>25</v>
      </c>
      <c r="O40" s="26">
        <f t="shared" si="2"/>
        <v>5.6576493514657503E-2</v>
      </c>
      <c r="P40" s="13" t="str">
        <f t="shared" si="3"/>
        <v>Bad</v>
      </c>
      <c r="Q40" s="13">
        <f t="shared" si="4"/>
        <v>4.2998135071139705E-2</v>
      </c>
      <c r="R40" s="16">
        <v>28449</v>
      </c>
      <c r="S40" s="49">
        <v>0.11818982</v>
      </c>
      <c r="T40" s="27">
        <f>IF(Table4[[#This Row],[Link clicks]]=0,0,Table4[[#This Row],[Amount spent ]]/Table4[[#This Row],[Link clicks]])</f>
        <v>0.86777777777777776</v>
      </c>
      <c r="U40" s="62" t="s">
        <v>407</v>
      </c>
      <c r="V40" s="1" t="s">
        <v>413</v>
      </c>
      <c r="W40" s="1">
        <v>6.499133448873484E-4</v>
      </c>
    </row>
    <row r="41" spans="1:23" x14ac:dyDescent="0.25">
      <c r="A41" s="48" t="s">
        <v>72</v>
      </c>
      <c r="B41" s="14" t="s">
        <v>355</v>
      </c>
      <c r="C41" s="1" t="str">
        <f t="shared" si="0"/>
        <v>United Arab Emirates Target Group</v>
      </c>
      <c r="D41" s="1" t="s">
        <v>73</v>
      </c>
      <c r="E41" s="15" t="s">
        <v>333</v>
      </c>
      <c r="F41" s="1" t="s">
        <v>78</v>
      </c>
      <c r="G41" s="1" t="s">
        <v>74</v>
      </c>
      <c r="H41" s="1" t="s">
        <v>94</v>
      </c>
      <c r="I41" s="16">
        <v>12480</v>
      </c>
      <c r="J41" s="16">
        <v>14905</v>
      </c>
      <c r="K41" s="63">
        <v>23.4</v>
      </c>
      <c r="L41" s="16">
        <v>71</v>
      </c>
      <c r="M41" s="16">
        <v>3887</v>
      </c>
      <c r="N41" s="16">
        <v>37</v>
      </c>
      <c r="O41" s="26">
        <f t="shared" si="2"/>
        <v>0.476350218047635</v>
      </c>
      <c r="P41" s="13" t="str">
        <f t="shared" si="3"/>
        <v>Good</v>
      </c>
      <c r="Q41" s="13">
        <f t="shared" si="4"/>
        <v>0.26078497148607849</v>
      </c>
      <c r="R41" s="16">
        <v>42093</v>
      </c>
      <c r="S41" s="49">
        <v>0.22877003000000001</v>
      </c>
      <c r="T41" s="27">
        <f>IF(Table4[[#This Row],[Link clicks]]=0,0,Table4[[#This Row],[Amount spent ]]/Table4[[#This Row],[Link clicks]])</f>
        <v>0.3295774647887324</v>
      </c>
      <c r="U41" s="62" t="s">
        <v>407</v>
      </c>
      <c r="V41" s="1" t="s">
        <v>413</v>
      </c>
      <c r="W41" s="1">
        <v>5.6891025641025638E-3</v>
      </c>
    </row>
    <row r="42" spans="1:23" x14ac:dyDescent="0.25">
      <c r="A42" s="48" t="s">
        <v>72</v>
      </c>
      <c r="B42" s="14" t="s">
        <v>355</v>
      </c>
      <c r="C42" s="1" t="str">
        <f t="shared" si="0"/>
        <v>United Arab Emirates Target Group</v>
      </c>
      <c r="D42" s="1" t="s">
        <v>130</v>
      </c>
      <c r="E42" s="15" t="s">
        <v>320</v>
      </c>
      <c r="F42" s="1" t="s">
        <v>77</v>
      </c>
      <c r="G42" s="1" t="s">
        <v>74</v>
      </c>
      <c r="H42" s="1" t="s">
        <v>94</v>
      </c>
      <c r="I42" s="16">
        <v>23105</v>
      </c>
      <c r="J42" s="16">
        <v>47295</v>
      </c>
      <c r="K42" s="63">
        <v>22.01</v>
      </c>
      <c r="L42" s="16">
        <v>209</v>
      </c>
      <c r="M42" s="16">
        <v>1796</v>
      </c>
      <c r="N42" s="16">
        <v>105</v>
      </c>
      <c r="O42" s="26">
        <f t="shared" si="2"/>
        <v>0.44190717834866267</v>
      </c>
      <c r="P42" s="13" t="str">
        <f t="shared" si="3"/>
        <v>Good</v>
      </c>
      <c r="Q42" s="13">
        <f t="shared" si="4"/>
        <v>3.797441590020087E-2</v>
      </c>
      <c r="R42" s="16">
        <v>74652</v>
      </c>
      <c r="S42" s="49">
        <v>0.75914457000000002</v>
      </c>
      <c r="T42" s="27">
        <f>IF(Table4[[#This Row],[Link clicks]]=0,0,Table4[[#This Row],[Amount spent ]]/Table4[[#This Row],[Link clicks]])</f>
        <v>0.10531100478468901</v>
      </c>
      <c r="U42" s="62" t="s">
        <v>407</v>
      </c>
      <c r="V42" s="1" t="s">
        <v>414</v>
      </c>
      <c r="W42" s="1">
        <v>9.0456611123133513E-3</v>
      </c>
    </row>
    <row r="43" spans="1:23" x14ac:dyDescent="0.25">
      <c r="A43" s="48" t="s">
        <v>72</v>
      </c>
      <c r="B43" s="14" t="s">
        <v>355</v>
      </c>
      <c r="C43" s="1" t="str">
        <f t="shared" si="0"/>
        <v>United Arab Emirates Target Group</v>
      </c>
      <c r="D43" s="1" t="s">
        <v>130</v>
      </c>
      <c r="E43" s="15" t="s">
        <v>331</v>
      </c>
      <c r="F43" s="1" t="s">
        <v>78</v>
      </c>
      <c r="G43" s="1" t="s">
        <v>74</v>
      </c>
      <c r="H43" s="1" t="s">
        <v>92</v>
      </c>
      <c r="I43" s="16">
        <v>21016</v>
      </c>
      <c r="J43" s="16">
        <v>47359</v>
      </c>
      <c r="K43" s="63">
        <v>20.8</v>
      </c>
      <c r="L43" s="16">
        <v>174</v>
      </c>
      <c r="M43" s="16">
        <v>2041</v>
      </c>
      <c r="N43" s="16">
        <v>80</v>
      </c>
      <c r="O43" s="26">
        <f t="shared" si="2"/>
        <v>0.36740640638526995</v>
      </c>
      <c r="P43" s="13" t="str">
        <f t="shared" si="3"/>
        <v>Good</v>
      </c>
      <c r="Q43" s="13">
        <f t="shared" si="4"/>
        <v>4.3096349162777929E-2</v>
      </c>
      <c r="R43" s="16">
        <v>128951</v>
      </c>
      <c r="S43" s="49">
        <v>1.31472645</v>
      </c>
      <c r="T43" s="27">
        <f>IF(Table4[[#This Row],[Link clicks]]=0,0,Table4[[#This Row],[Amount spent ]]/Table4[[#This Row],[Link clicks]])</f>
        <v>0.11954022988505747</v>
      </c>
      <c r="U43" s="62" t="s">
        <v>407</v>
      </c>
      <c r="V43" s="1" t="s">
        <v>414</v>
      </c>
      <c r="W43" s="1">
        <v>8.2794061667301102E-3</v>
      </c>
    </row>
    <row r="44" spans="1:23" x14ac:dyDescent="0.25">
      <c r="A44" s="48" t="s">
        <v>72</v>
      </c>
      <c r="B44" s="14" t="s">
        <v>355</v>
      </c>
      <c r="C44" s="1" t="str">
        <f t="shared" si="0"/>
        <v>United Arab Emirates Target Group</v>
      </c>
      <c r="D44" s="1" t="s">
        <v>73</v>
      </c>
      <c r="E44" s="15" t="s">
        <v>327</v>
      </c>
      <c r="F44" s="1" t="s">
        <v>78</v>
      </c>
      <c r="G44" s="1" t="s">
        <v>74</v>
      </c>
      <c r="H44" s="1" t="s">
        <v>94</v>
      </c>
      <c r="I44" s="16">
        <v>11188</v>
      </c>
      <c r="J44" s="16">
        <v>14744</v>
      </c>
      <c r="K44" s="63">
        <v>20.49</v>
      </c>
      <c r="L44" s="16">
        <v>100</v>
      </c>
      <c r="M44" s="16">
        <v>7359</v>
      </c>
      <c r="N44" s="16">
        <v>36</v>
      </c>
      <c r="O44" s="26">
        <f t="shared" si="2"/>
        <v>0.67824199674443841</v>
      </c>
      <c r="P44" s="13" t="str">
        <f t="shared" si="3"/>
        <v>Good</v>
      </c>
      <c r="Q44" s="13">
        <f t="shared" si="4"/>
        <v>0.49911828540423225</v>
      </c>
      <c r="R44" s="16">
        <v>8190</v>
      </c>
      <c r="S44" s="49">
        <v>0.96352941000000003</v>
      </c>
      <c r="T44" s="27">
        <f>IF(Table4[[#This Row],[Link clicks]]=0,0,Table4[[#This Row],[Amount spent ]]/Table4[[#This Row],[Link clicks]])</f>
        <v>0.20489999999999997</v>
      </c>
      <c r="U44" s="62" t="s">
        <v>407</v>
      </c>
      <c r="V44" s="1" t="s">
        <v>413</v>
      </c>
      <c r="W44" s="1">
        <v>8.9381480157311403E-3</v>
      </c>
    </row>
    <row r="45" spans="1:23" x14ac:dyDescent="0.25">
      <c r="A45" s="48" t="s">
        <v>72</v>
      </c>
      <c r="B45" s="14" t="s">
        <v>355</v>
      </c>
      <c r="C45" s="1" t="str">
        <f t="shared" si="0"/>
        <v>United Arab Emirates Target Group</v>
      </c>
      <c r="D45" s="1" t="s">
        <v>73</v>
      </c>
      <c r="E45" s="15" t="s">
        <v>325</v>
      </c>
      <c r="F45" s="1" t="s">
        <v>77</v>
      </c>
      <c r="G45" s="1" t="s">
        <v>74</v>
      </c>
      <c r="H45" s="1" t="s">
        <v>92</v>
      </c>
      <c r="I45" s="16">
        <v>14188</v>
      </c>
      <c r="J45" s="16">
        <v>22386</v>
      </c>
      <c r="K45" s="63">
        <v>18.239999999999998</v>
      </c>
      <c r="L45" s="16">
        <v>73</v>
      </c>
      <c r="M45" s="16">
        <v>3736</v>
      </c>
      <c r="N45" s="16">
        <v>26</v>
      </c>
      <c r="O45" s="26">
        <f t="shared" si="2"/>
        <v>0.32609666756008221</v>
      </c>
      <c r="P45" s="13" t="str">
        <f t="shared" si="3"/>
        <v>Good</v>
      </c>
      <c r="Q45" s="13">
        <f t="shared" si="4"/>
        <v>0.16689002054855714</v>
      </c>
      <c r="R45" s="16">
        <v>34666</v>
      </c>
      <c r="S45" s="49">
        <v>0.18165716000000001</v>
      </c>
      <c r="T45" s="27">
        <f>IF(Table4[[#This Row],[Link clicks]]=0,0,Table4[[#This Row],[Amount spent ]]/Table4[[#This Row],[Link clicks]])</f>
        <v>0.24986301369863012</v>
      </c>
      <c r="U45" s="62" t="s">
        <v>407</v>
      </c>
      <c r="V45" s="1" t="s">
        <v>413</v>
      </c>
      <c r="W45" s="1">
        <v>5.1451931209472793E-3</v>
      </c>
    </row>
    <row r="46" spans="1:23" x14ac:dyDescent="0.25">
      <c r="A46" s="48" t="s">
        <v>72</v>
      </c>
      <c r="B46" s="14" t="s">
        <v>355</v>
      </c>
      <c r="C46" s="1" t="str">
        <f t="shared" si="0"/>
        <v>United Arab Emirates Target Group</v>
      </c>
      <c r="D46" s="1" t="s">
        <v>130</v>
      </c>
      <c r="E46" s="15" t="s">
        <v>337</v>
      </c>
      <c r="F46" s="1" t="s">
        <v>78</v>
      </c>
      <c r="G46" s="1" t="s">
        <v>98</v>
      </c>
      <c r="H46" s="1" t="s">
        <v>94</v>
      </c>
      <c r="I46" s="16">
        <v>26215</v>
      </c>
      <c r="J46" s="16">
        <v>41863</v>
      </c>
      <c r="K46" s="63">
        <v>17.09</v>
      </c>
      <c r="L46" s="16">
        <v>85</v>
      </c>
      <c r="M46" s="16">
        <v>0</v>
      </c>
      <c r="N46" s="16">
        <v>0</v>
      </c>
      <c r="O46" s="26">
        <f t="shared" si="2"/>
        <v>0.20304326015813484</v>
      </c>
      <c r="P46" s="13" t="str">
        <f t="shared" si="3"/>
        <v>Good</v>
      </c>
      <c r="Q46" s="13">
        <f t="shared" si="4"/>
        <v>0</v>
      </c>
      <c r="R46" s="16">
        <v>16179</v>
      </c>
      <c r="S46" s="49">
        <v>2.7010016700000001</v>
      </c>
      <c r="T46" s="27">
        <f>IF(Table4[[#This Row],[Link clicks]]=0,0,Table4[[#This Row],[Amount spent ]]/Table4[[#This Row],[Link clicks]])</f>
        <v>0.20105882352941176</v>
      </c>
      <c r="U46" s="62" t="s">
        <v>407</v>
      </c>
      <c r="V46" s="1" t="s">
        <v>414</v>
      </c>
      <c r="W46" s="1">
        <v>3.242418462712188E-3</v>
      </c>
    </row>
    <row r="47" spans="1:23" x14ac:dyDescent="0.25">
      <c r="A47" s="48" t="s">
        <v>72</v>
      </c>
      <c r="B47" s="14" t="s">
        <v>355</v>
      </c>
      <c r="C47" s="1" t="str">
        <f t="shared" si="0"/>
        <v>United Arab Emirates Target Group</v>
      </c>
      <c r="D47" s="1" t="s">
        <v>130</v>
      </c>
      <c r="E47" s="15" t="s">
        <v>319</v>
      </c>
      <c r="F47" s="1" t="s">
        <v>77</v>
      </c>
      <c r="G47" s="1" t="s">
        <v>74</v>
      </c>
      <c r="H47" s="1" t="s">
        <v>92</v>
      </c>
      <c r="I47" s="16">
        <v>23439</v>
      </c>
      <c r="J47" s="16">
        <v>41138</v>
      </c>
      <c r="K47" s="63">
        <v>16.329999999999998</v>
      </c>
      <c r="L47" s="16">
        <v>127</v>
      </c>
      <c r="M47" s="16">
        <v>1737</v>
      </c>
      <c r="N47" s="16">
        <v>87</v>
      </c>
      <c r="O47" s="26">
        <f t="shared" si="2"/>
        <v>0.30871700131265495</v>
      </c>
      <c r="P47" s="13" t="str">
        <f t="shared" si="3"/>
        <v>Good</v>
      </c>
      <c r="Q47" s="13">
        <f t="shared" si="4"/>
        <v>4.2223734746463126E-2</v>
      </c>
      <c r="R47" s="16">
        <v>26758</v>
      </c>
      <c r="S47" s="49">
        <v>0.1191511</v>
      </c>
      <c r="T47" s="27">
        <f>IF(Table4[[#This Row],[Link clicks]]=0,0,Table4[[#This Row],[Amount spent ]]/Table4[[#This Row],[Link clicks]])</f>
        <v>0.12858267716535432</v>
      </c>
      <c r="U47" s="62" t="s">
        <v>407</v>
      </c>
      <c r="V47" s="1" t="s">
        <v>414</v>
      </c>
      <c r="W47" s="1">
        <v>5.4183198941934376E-3</v>
      </c>
    </row>
    <row r="48" spans="1:23" x14ac:dyDescent="0.25">
      <c r="A48" s="48" t="s">
        <v>72</v>
      </c>
      <c r="B48" s="14" t="s">
        <v>355</v>
      </c>
      <c r="C48" s="1" t="str">
        <f t="shared" si="0"/>
        <v>United Arab Emirates Target Group</v>
      </c>
      <c r="D48" s="1" t="s">
        <v>130</v>
      </c>
      <c r="E48" s="15" t="s">
        <v>335</v>
      </c>
      <c r="F48" s="1" t="s">
        <v>78</v>
      </c>
      <c r="G48" s="1" t="s">
        <v>98</v>
      </c>
      <c r="H48" s="1" t="s">
        <v>94</v>
      </c>
      <c r="I48" s="16">
        <v>24736</v>
      </c>
      <c r="J48" s="16">
        <v>36396</v>
      </c>
      <c r="K48" s="63">
        <v>15.85</v>
      </c>
      <c r="L48" s="16">
        <v>94</v>
      </c>
      <c r="M48" s="16">
        <v>0</v>
      </c>
      <c r="N48" s="16">
        <v>0</v>
      </c>
      <c r="O48" s="26">
        <f t="shared" si="2"/>
        <v>0.25827013957577755</v>
      </c>
      <c r="P48" s="13" t="str">
        <f t="shared" si="3"/>
        <v>Good</v>
      </c>
      <c r="Q48" s="13">
        <f t="shared" si="4"/>
        <v>0</v>
      </c>
      <c r="R48" s="16">
        <v>21353</v>
      </c>
      <c r="S48" s="49">
        <v>0.12715266</v>
      </c>
      <c r="T48" s="27">
        <f>IF(Table4[[#This Row],[Link clicks]]=0,0,Table4[[#This Row],[Amount spent ]]/Table4[[#This Row],[Link clicks]])</f>
        <v>0.16861702127659575</v>
      </c>
      <c r="U48" s="62" t="s">
        <v>407</v>
      </c>
      <c r="V48" s="1" t="s">
        <v>414</v>
      </c>
      <c r="W48" s="1">
        <v>3.8001293661060801E-3</v>
      </c>
    </row>
    <row r="49" spans="1:23" x14ac:dyDescent="0.25">
      <c r="A49" s="48" t="s">
        <v>72</v>
      </c>
      <c r="B49" s="14" t="s">
        <v>355</v>
      </c>
      <c r="C49" s="1" t="str">
        <f t="shared" si="0"/>
        <v>United Arab Emirates Target Group</v>
      </c>
      <c r="D49" s="1" t="s">
        <v>73</v>
      </c>
      <c r="E49" s="15" t="s">
        <v>341</v>
      </c>
      <c r="F49" s="1" t="s">
        <v>77</v>
      </c>
      <c r="G49" s="1" t="s">
        <v>74</v>
      </c>
      <c r="H49" s="1" t="s">
        <v>75</v>
      </c>
      <c r="I49" s="16">
        <v>18427</v>
      </c>
      <c r="J49" s="16">
        <v>29295</v>
      </c>
      <c r="K49" s="63">
        <v>13.6</v>
      </c>
      <c r="L49" s="16">
        <v>4</v>
      </c>
      <c r="M49" s="16">
        <v>644</v>
      </c>
      <c r="N49" s="16">
        <v>4</v>
      </c>
      <c r="O49" s="26">
        <f t="shared" si="2"/>
        <v>1.3654207202594299E-2</v>
      </c>
      <c r="P49" s="13" t="str">
        <f t="shared" si="3"/>
        <v>Bad</v>
      </c>
      <c r="Q49" s="13">
        <f t="shared" si="4"/>
        <v>2.1983273596176821E-2</v>
      </c>
      <c r="R49" s="16">
        <v>44932</v>
      </c>
      <c r="S49" s="49">
        <v>0.18407813000000001</v>
      </c>
      <c r="T49" s="27">
        <f>IF(Table4[[#This Row],[Link clicks]]=0,0,Table4[[#This Row],[Amount spent ]]/Table4[[#This Row],[Link clicks]])</f>
        <v>3.4</v>
      </c>
      <c r="U49" s="62" t="s">
        <v>407</v>
      </c>
      <c r="V49" s="1" t="s">
        <v>413</v>
      </c>
      <c r="W49" s="1">
        <v>2.1707277364736531E-4</v>
      </c>
    </row>
    <row r="50" spans="1:23" x14ac:dyDescent="0.25">
      <c r="A50" s="48" t="s">
        <v>72</v>
      </c>
      <c r="B50" s="14" t="s">
        <v>355</v>
      </c>
      <c r="C50" s="1" t="str">
        <f t="shared" si="0"/>
        <v>United Arab Emirates Target Group</v>
      </c>
      <c r="D50" s="1" t="s">
        <v>130</v>
      </c>
      <c r="E50" s="15" t="s">
        <v>334</v>
      </c>
      <c r="F50" s="1" t="s">
        <v>77</v>
      </c>
      <c r="G50" s="1" t="s">
        <v>74</v>
      </c>
      <c r="H50" s="1" t="s">
        <v>94</v>
      </c>
      <c r="I50" s="16">
        <v>12979</v>
      </c>
      <c r="J50" s="16">
        <v>24467</v>
      </c>
      <c r="K50" s="63">
        <v>12.17</v>
      </c>
      <c r="L50" s="16">
        <v>35</v>
      </c>
      <c r="M50" s="16">
        <v>448</v>
      </c>
      <c r="N50" s="16">
        <v>380</v>
      </c>
      <c r="O50" s="26">
        <f t="shared" si="2"/>
        <v>0.14304982220950668</v>
      </c>
      <c r="P50" s="13" t="str">
        <f t="shared" si="3"/>
        <v>Bad</v>
      </c>
      <c r="Q50" s="13">
        <f t="shared" si="4"/>
        <v>1.8310377242816856E-2</v>
      </c>
      <c r="R50" s="16">
        <v>1634</v>
      </c>
      <c r="S50" s="49">
        <v>6.3716399999999996E-3</v>
      </c>
      <c r="T50" s="27">
        <f>IF(Table4[[#This Row],[Link clicks]]=0,0,Table4[[#This Row],[Amount spent ]]/Table4[[#This Row],[Link clicks]])</f>
        <v>0.3477142857142857</v>
      </c>
      <c r="U50" s="62" t="s">
        <v>407</v>
      </c>
      <c r="V50" s="1" t="s">
        <v>414</v>
      </c>
      <c r="W50" s="1">
        <v>2.6966638415902612E-3</v>
      </c>
    </row>
    <row r="51" spans="1:23" x14ac:dyDescent="0.25">
      <c r="A51" s="48" t="s">
        <v>72</v>
      </c>
      <c r="B51" s="14" t="s">
        <v>355</v>
      </c>
      <c r="C51" s="1" t="str">
        <f t="shared" si="0"/>
        <v>United Arab Emirates Target Group</v>
      </c>
      <c r="D51" s="1" t="s">
        <v>73</v>
      </c>
      <c r="E51" s="15" t="s">
        <v>342</v>
      </c>
      <c r="F51" s="1" t="s">
        <v>78</v>
      </c>
      <c r="G51" s="1" t="s">
        <v>74</v>
      </c>
      <c r="H51" s="1" t="s">
        <v>75</v>
      </c>
      <c r="I51" s="16">
        <v>18592</v>
      </c>
      <c r="J51" s="16">
        <v>24891</v>
      </c>
      <c r="K51" s="63">
        <v>11.42</v>
      </c>
      <c r="L51" s="16">
        <v>7</v>
      </c>
      <c r="M51" s="16">
        <v>741</v>
      </c>
      <c r="N51" s="16">
        <v>4</v>
      </c>
      <c r="O51" s="26">
        <f t="shared" si="2"/>
        <v>2.812261459965449E-2</v>
      </c>
      <c r="P51" s="13" t="str">
        <f t="shared" si="3"/>
        <v>Bad</v>
      </c>
      <c r="Q51" s="13">
        <f t="shared" si="4"/>
        <v>2.976979631191997E-2</v>
      </c>
      <c r="R51" s="16">
        <v>31096</v>
      </c>
      <c r="S51" s="49">
        <v>0.11495068999999999</v>
      </c>
      <c r="T51" s="27">
        <f>IF(Table4[[#This Row],[Link clicks]]=0,0,Table4[[#This Row],[Amount spent ]]/Table4[[#This Row],[Link clicks]])</f>
        <v>1.6314285714285715</v>
      </c>
      <c r="U51" s="62" t="s">
        <v>407</v>
      </c>
      <c r="V51" s="1" t="s">
        <v>413</v>
      </c>
      <c r="W51" s="1">
        <v>3.7650602409638562E-4</v>
      </c>
    </row>
    <row r="52" spans="1:23" x14ac:dyDescent="0.25">
      <c r="A52" s="48" t="s">
        <v>72</v>
      </c>
      <c r="B52" s="14" t="s">
        <v>355</v>
      </c>
      <c r="C52" s="1" t="str">
        <f t="shared" si="0"/>
        <v>United Arab Emirates Target Group</v>
      </c>
      <c r="D52" s="1" t="s">
        <v>73</v>
      </c>
      <c r="E52" s="15" t="s">
        <v>339</v>
      </c>
      <c r="F52" s="1" t="s">
        <v>78</v>
      </c>
      <c r="G52" s="1" t="s">
        <v>74</v>
      </c>
      <c r="H52" s="1" t="s">
        <v>92</v>
      </c>
      <c r="I52" s="16">
        <v>7452</v>
      </c>
      <c r="J52" s="16">
        <v>12246</v>
      </c>
      <c r="K52" s="63">
        <v>10.29</v>
      </c>
      <c r="L52" s="16">
        <v>31</v>
      </c>
      <c r="M52" s="16">
        <v>2643</v>
      </c>
      <c r="N52" s="16">
        <v>10</v>
      </c>
      <c r="O52" s="26">
        <f t="shared" si="2"/>
        <v>0.25314388371713215</v>
      </c>
      <c r="P52" s="13" t="str">
        <f t="shared" si="3"/>
        <v>Good</v>
      </c>
      <c r="Q52" s="13">
        <f t="shared" si="4"/>
        <v>0.21582557569818717</v>
      </c>
      <c r="R52" s="16">
        <v>28456</v>
      </c>
      <c r="S52" s="49">
        <v>0.17701031</v>
      </c>
      <c r="T52" s="27">
        <f>IF(Table4[[#This Row],[Link clicks]]=0,0,Table4[[#This Row],[Amount spent ]]/Table4[[#This Row],[Link clicks]])</f>
        <v>0.33193548387096772</v>
      </c>
      <c r="U52" s="62" t="s">
        <v>407</v>
      </c>
      <c r="V52" s="1" t="s">
        <v>413</v>
      </c>
      <c r="W52" s="1">
        <v>4.1599570585077834E-3</v>
      </c>
    </row>
    <row r="53" spans="1:23" x14ac:dyDescent="0.25">
      <c r="A53" s="48" t="s">
        <v>72</v>
      </c>
      <c r="B53" s="14" t="s">
        <v>355</v>
      </c>
      <c r="C53" s="1" t="str">
        <f t="shared" si="0"/>
        <v>United Arab Emirates Target Group</v>
      </c>
      <c r="D53" s="1" t="s">
        <v>73</v>
      </c>
      <c r="E53" s="15" t="s">
        <v>343</v>
      </c>
      <c r="F53" s="1" t="s">
        <v>78</v>
      </c>
      <c r="G53" s="1" t="s">
        <v>74</v>
      </c>
      <c r="H53" s="1" t="s">
        <v>75</v>
      </c>
      <c r="I53" s="16">
        <v>13223</v>
      </c>
      <c r="J53" s="16">
        <v>21892</v>
      </c>
      <c r="K53" s="63">
        <v>9.77</v>
      </c>
      <c r="L53" s="16">
        <v>4</v>
      </c>
      <c r="M53" s="16">
        <v>674</v>
      </c>
      <c r="N53" s="16">
        <v>17</v>
      </c>
      <c r="O53" s="26">
        <f t="shared" si="2"/>
        <v>1.8271514708569341E-2</v>
      </c>
      <c r="P53" s="13" t="str">
        <f t="shared" si="3"/>
        <v>Bad</v>
      </c>
      <c r="Q53" s="13">
        <f t="shared" si="4"/>
        <v>3.0787502283939339E-2</v>
      </c>
      <c r="R53" s="16">
        <v>23268</v>
      </c>
      <c r="S53" s="49">
        <v>9.1238470000000002E-2</v>
      </c>
      <c r="T53" s="27">
        <f>IF(Table4[[#This Row],[Link clicks]]=0,0,Table4[[#This Row],[Amount spent ]]/Table4[[#This Row],[Link clicks]])</f>
        <v>2.4424999999999999</v>
      </c>
      <c r="U53" s="62" t="s">
        <v>407</v>
      </c>
      <c r="V53" s="1" t="s">
        <v>413</v>
      </c>
      <c r="W53" s="1">
        <v>3.0250321409664978E-4</v>
      </c>
    </row>
    <row r="54" spans="1:23" x14ac:dyDescent="0.25">
      <c r="A54" s="48" t="s">
        <v>72</v>
      </c>
      <c r="B54" s="14" t="s">
        <v>355</v>
      </c>
      <c r="C54" s="1" t="str">
        <f t="shared" si="0"/>
        <v>United Arab Emirates Target Group</v>
      </c>
      <c r="D54" s="1" t="s">
        <v>130</v>
      </c>
      <c r="E54" s="15" t="s">
        <v>332</v>
      </c>
      <c r="F54" s="1" t="s">
        <v>77</v>
      </c>
      <c r="G54" s="1" t="s">
        <v>74</v>
      </c>
      <c r="H54" s="1" t="s">
        <v>94</v>
      </c>
      <c r="I54" s="16">
        <v>11071</v>
      </c>
      <c r="J54" s="16">
        <v>17779</v>
      </c>
      <c r="K54" s="63">
        <v>9.68</v>
      </c>
      <c r="L54" s="16">
        <v>42</v>
      </c>
      <c r="M54" s="16">
        <v>605</v>
      </c>
      <c r="N54" s="16">
        <v>18</v>
      </c>
      <c r="O54" s="26">
        <f t="shared" si="2"/>
        <v>0.23623375892907364</v>
      </c>
      <c r="P54" s="13" t="str">
        <f t="shared" si="3"/>
        <v>Good</v>
      </c>
      <c r="Q54" s="13">
        <f t="shared" si="4"/>
        <v>3.4028910512402269E-2</v>
      </c>
      <c r="R54" s="16">
        <v>34072</v>
      </c>
      <c r="S54" s="49">
        <v>0.17085205000000001</v>
      </c>
      <c r="T54" s="27">
        <f>IF(Table4[[#This Row],[Link clicks]]=0,0,Table4[[#This Row],[Amount spent ]]/Table4[[#This Row],[Link clicks]])</f>
        <v>0.23047619047619047</v>
      </c>
      <c r="U54" s="62" t="s">
        <v>407</v>
      </c>
      <c r="V54" s="1" t="s">
        <v>414</v>
      </c>
      <c r="W54" s="1">
        <v>3.7936952398157351E-3</v>
      </c>
    </row>
    <row r="55" spans="1:23" x14ac:dyDescent="0.25">
      <c r="A55" s="48" t="s">
        <v>72</v>
      </c>
      <c r="B55" s="14" t="s">
        <v>355</v>
      </c>
      <c r="C55" s="1" t="str">
        <f t="shared" si="0"/>
        <v>United Arab Emirates Target Group</v>
      </c>
      <c r="D55" s="1" t="s">
        <v>130</v>
      </c>
      <c r="E55" s="15" t="s">
        <v>318</v>
      </c>
      <c r="F55" s="1" t="s">
        <v>77</v>
      </c>
      <c r="G55" s="1" t="s">
        <v>74</v>
      </c>
      <c r="H55" s="1" t="s">
        <v>92</v>
      </c>
      <c r="I55" s="16">
        <v>11469</v>
      </c>
      <c r="J55" s="16">
        <v>19209</v>
      </c>
      <c r="K55" s="63">
        <v>9.34</v>
      </c>
      <c r="L55" s="16">
        <v>45</v>
      </c>
      <c r="M55" s="16">
        <v>937</v>
      </c>
      <c r="N55" s="16">
        <v>28</v>
      </c>
      <c r="O55" s="26">
        <f t="shared" si="2"/>
        <v>0.23426518819303449</v>
      </c>
      <c r="P55" s="13" t="str">
        <f t="shared" si="3"/>
        <v>Good</v>
      </c>
      <c r="Q55" s="13">
        <f t="shared" si="4"/>
        <v>4.8779218074860742E-2</v>
      </c>
      <c r="R55" s="16">
        <v>1118</v>
      </c>
      <c r="S55" s="49">
        <v>5.6745199999999997E-3</v>
      </c>
      <c r="T55" s="27">
        <f>IF(Table4[[#This Row],[Link clicks]]=0,0,Table4[[#This Row],[Amount spent ]]/Table4[[#This Row],[Link clicks]])</f>
        <v>0.20755555555555555</v>
      </c>
      <c r="U55" s="62" t="s">
        <v>407</v>
      </c>
      <c r="V55" s="1" t="s">
        <v>414</v>
      </c>
      <c r="W55" s="1">
        <v>3.9236201935652628E-3</v>
      </c>
    </row>
    <row r="56" spans="1:23" x14ac:dyDescent="0.25">
      <c r="A56" s="48" t="s">
        <v>72</v>
      </c>
      <c r="B56" s="14" t="s">
        <v>355</v>
      </c>
      <c r="C56" s="1" t="str">
        <f t="shared" si="0"/>
        <v>United Arab Emirates Target Group</v>
      </c>
      <c r="D56" s="1" t="s">
        <v>130</v>
      </c>
      <c r="E56" s="15" t="s">
        <v>328</v>
      </c>
      <c r="F56" s="1" t="s">
        <v>78</v>
      </c>
      <c r="G56" s="1" t="s">
        <v>74</v>
      </c>
      <c r="H56" s="1" t="s">
        <v>92</v>
      </c>
      <c r="I56" s="16">
        <v>7920</v>
      </c>
      <c r="J56" s="16">
        <v>11358</v>
      </c>
      <c r="K56" s="63">
        <v>9.09</v>
      </c>
      <c r="L56" s="16">
        <v>41</v>
      </c>
      <c r="M56" s="16">
        <v>2243</v>
      </c>
      <c r="N56" s="16">
        <v>65</v>
      </c>
      <c r="O56" s="26">
        <f t="shared" si="2"/>
        <v>0.36097904560662092</v>
      </c>
      <c r="P56" s="13" t="str">
        <f t="shared" si="3"/>
        <v>Good</v>
      </c>
      <c r="Q56" s="13">
        <f t="shared" si="4"/>
        <v>0.19748195104771968</v>
      </c>
      <c r="R56" s="16">
        <v>9051</v>
      </c>
      <c r="S56" s="49">
        <v>1.0429822500000001</v>
      </c>
      <c r="T56" s="27">
        <f>IF(Table4[[#This Row],[Link clicks]]=0,0,Table4[[#This Row],[Amount spent ]]/Table4[[#This Row],[Link clicks]])</f>
        <v>0.22170731707317073</v>
      </c>
      <c r="U56" s="62" t="s">
        <v>407</v>
      </c>
      <c r="V56" s="1" t="s">
        <v>414</v>
      </c>
      <c r="W56" s="1">
        <v>5.1767676767676771E-3</v>
      </c>
    </row>
    <row r="57" spans="1:23" x14ac:dyDescent="0.25">
      <c r="A57" s="48" t="s">
        <v>72</v>
      </c>
      <c r="B57" s="14" t="s">
        <v>355</v>
      </c>
      <c r="C57" s="1" t="str">
        <f t="shared" si="0"/>
        <v>United Arab Emirates Target Group</v>
      </c>
      <c r="D57" s="1" t="s">
        <v>130</v>
      </c>
      <c r="E57" s="15" t="s">
        <v>331</v>
      </c>
      <c r="F57" s="1" t="s">
        <v>78</v>
      </c>
      <c r="G57" s="1" t="s">
        <v>74</v>
      </c>
      <c r="H57" s="1" t="s">
        <v>92</v>
      </c>
      <c r="I57" s="16">
        <v>4974</v>
      </c>
      <c r="J57" s="16">
        <v>8494</v>
      </c>
      <c r="K57" s="63">
        <v>8.16</v>
      </c>
      <c r="L57" s="16">
        <v>30</v>
      </c>
      <c r="M57" s="16">
        <v>1797</v>
      </c>
      <c r="N57" s="16">
        <v>31</v>
      </c>
      <c r="O57" s="26">
        <f t="shared" si="2"/>
        <v>0.35319048740287262</v>
      </c>
      <c r="P57" s="13" t="str">
        <f t="shared" si="3"/>
        <v>Good</v>
      </c>
      <c r="Q57" s="13">
        <f t="shared" si="4"/>
        <v>0.21156110195432071</v>
      </c>
      <c r="R57" s="16">
        <v>77246</v>
      </c>
      <c r="S57" s="49">
        <v>0.78209541999999999</v>
      </c>
      <c r="T57" s="27">
        <f>IF(Table4[[#This Row],[Link clicks]]=0,0,Table4[[#This Row],[Amount spent ]]/Table4[[#This Row],[Link clicks]])</f>
        <v>0.27200000000000002</v>
      </c>
      <c r="U57" s="62" t="s">
        <v>407</v>
      </c>
      <c r="V57" s="1" t="s">
        <v>414</v>
      </c>
      <c r="W57" s="1">
        <v>6.0313630880579009E-3</v>
      </c>
    </row>
    <row r="58" spans="1:23" x14ac:dyDescent="0.25">
      <c r="A58" s="48" t="s">
        <v>72</v>
      </c>
      <c r="B58" s="14" t="s">
        <v>355</v>
      </c>
      <c r="C58" s="1" t="str">
        <f t="shared" si="0"/>
        <v>United Arab Emirates Target Group</v>
      </c>
      <c r="D58" s="1" t="s">
        <v>130</v>
      </c>
      <c r="E58" s="15" t="s">
        <v>333</v>
      </c>
      <c r="F58" s="1" t="s">
        <v>78</v>
      </c>
      <c r="G58" s="1" t="s">
        <v>74</v>
      </c>
      <c r="H58" s="1" t="s">
        <v>94</v>
      </c>
      <c r="I58" s="16">
        <v>10435</v>
      </c>
      <c r="J58" s="16">
        <v>16456</v>
      </c>
      <c r="K58" s="63">
        <v>7.95</v>
      </c>
      <c r="L58" s="16">
        <v>49</v>
      </c>
      <c r="M58" s="16">
        <v>353</v>
      </c>
      <c r="N58" s="16">
        <v>15</v>
      </c>
      <c r="O58" s="26">
        <f t="shared" si="2"/>
        <v>0.2977637335926106</v>
      </c>
      <c r="P58" s="13" t="str">
        <f t="shared" si="3"/>
        <v>Good</v>
      </c>
      <c r="Q58" s="13">
        <f t="shared" si="4"/>
        <v>2.1451142440447254E-2</v>
      </c>
      <c r="R58" s="16">
        <v>89625</v>
      </c>
      <c r="S58" s="49">
        <v>0.97673277999999997</v>
      </c>
      <c r="T58" s="27">
        <f>IF(Table4[[#This Row],[Link clicks]]=0,0,Table4[[#This Row],[Amount spent ]]/Table4[[#This Row],[Link clicks]])</f>
        <v>0.16224489795918368</v>
      </c>
      <c r="U58" s="62" t="s">
        <v>407</v>
      </c>
      <c r="V58" s="1" t="s">
        <v>414</v>
      </c>
      <c r="W58" s="1">
        <v>4.6957355055103024E-3</v>
      </c>
    </row>
    <row r="59" spans="1:23" x14ac:dyDescent="0.25">
      <c r="A59" s="48" t="s">
        <v>72</v>
      </c>
      <c r="B59" s="14" t="s">
        <v>355</v>
      </c>
      <c r="C59" s="1" t="str">
        <f t="shared" si="0"/>
        <v>United Arab Emirates Target Group</v>
      </c>
      <c r="D59" s="1" t="s">
        <v>130</v>
      </c>
      <c r="E59" s="15" t="s">
        <v>326</v>
      </c>
      <c r="F59" s="1" t="s">
        <v>78</v>
      </c>
      <c r="G59" s="1" t="s">
        <v>74</v>
      </c>
      <c r="H59" s="1" t="s">
        <v>94</v>
      </c>
      <c r="I59" s="16">
        <v>9954</v>
      </c>
      <c r="J59" s="16">
        <v>14376</v>
      </c>
      <c r="K59" s="63">
        <v>7.27</v>
      </c>
      <c r="L59" s="16">
        <v>34</v>
      </c>
      <c r="M59" s="16">
        <v>422</v>
      </c>
      <c r="N59" s="16">
        <v>21</v>
      </c>
      <c r="O59" s="26">
        <f t="shared" si="2"/>
        <v>0.23650528658875902</v>
      </c>
      <c r="P59" s="13" t="str">
        <f t="shared" si="3"/>
        <v>Good</v>
      </c>
      <c r="Q59" s="13">
        <f t="shared" si="4"/>
        <v>2.9354479688369503E-2</v>
      </c>
      <c r="R59" s="16">
        <v>525</v>
      </c>
      <c r="S59" s="49">
        <v>3.1232199999999999E-3</v>
      </c>
      <c r="T59" s="27">
        <f>IF(Table4[[#This Row],[Link clicks]]=0,0,Table4[[#This Row],[Amount spent ]]/Table4[[#This Row],[Link clicks]])</f>
        <v>0.21382352941176469</v>
      </c>
      <c r="U59" s="62" t="s">
        <v>407</v>
      </c>
      <c r="V59" s="1" t="s">
        <v>414</v>
      </c>
      <c r="W59" s="1">
        <v>3.41571227647177E-3</v>
      </c>
    </row>
    <row r="60" spans="1:23" x14ac:dyDescent="0.25">
      <c r="A60" s="48" t="s">
        <v>72</v>
      </c>
      <c r="B60" s="14" t="s">
        <v>355</v>
      </c>
      <c r="C60" s="1" t="str">
        <f t="shared" si="0"/>
        <v>United Arab Emirates Target Group</v>
      </c>
      <c r="D60" s="1" t="s">
        <v>130</v>
      </c>
      <c r="E60" s="15" t="s">
        <v>323</v>
      </c>
      <c r="F60" s="1" t="s">
        <v>77</v>
      </c>
      <c r="G60" s="1" t="s">
        <v>74</v>
      </c>
      <c r="H60" s="1" t="s">
        <v>94</v>
      </c>
      <c r="I60" s="16">
        <v>8952</v>
      </c>
      <c r="J60" s="16">
        <v>13427</v>
      </c>
      <c r="K60" s="63">
        <v>6.71</v>
      </c>
      <c r="L60" s="16">
        <v>35</v>
      </c>
      <c r="M60" s="16">
        <v>451</v>
      </c>
      <c r="N60" s="16">
        <v>20</v>
      </c>
      <c r="O60" s="26">
        <f t="shared" si="2"/>
        <v>0.26066880166828033</v>
      </c>
      <c r="P60" s="13" t="str">
        <f t="shared" si="3"/>
        <v>Good</v>
      </c>
      <c r="Q60" s="13">
        <f t="shared" si="4"/>
        <v>3.358903701496984E-2</v>
      </c>
      <c r="R60" s="16">
        <v>24100</v>
      </c>
      <c r="S60" s="49">
        <v>3.85353374</v>
      </c>
      <c r="T60" s="27">
        <f>IF(Table4[[#This Row],[Link clicks]]=0,0,Table4[[#This Row],[Amount spent ]]/Table4[[#This Row],[Link clicks]])</f>
        <v>0.19171428571428573</v>
      </c>
      <c r="U60" s="62" t="s">
        <v>407</v>
      </c>
      <c r="V60" s="1" t="s">
        <v>414</v>
      </c>
      <c r="W60" s="1">
        <v>3.9097408400357459E-3</v>
      </c>
    </row>
    <row r="61" spans="1:23" x14ac:dyDescent="0.25">
      <c r="A61" s="48" t="s">
        <v>72</v>
      </c>
      <c r="B61" s="14" t="s">
        <v>355</v>
      </c>
      <c r="C61" s="1" t="str">
        <f t="shared" si="0"/>
        <v>United Arab Emirates Target Group</v>
      </c>
      <c r="D61" s="1" t="s">
        <v>130</v>
      </c>
      <c r="E61" s="15" t="s">
        <v>325</v>
      </c>
      <c r="F61" s="1" t="s">
        <v>77</v>
      </c>
      <c r="G61" s="1" t="s">
        <v>74</v>
      </c>
      <c r="H61" s="1" t="s">
        <v>92</v>
      </c>
      <c r="I61" s="16">
        <v>8550</v>
      </c>
      <c r="J61" s="16">
        <v>13881</v>
      </c>
      <c r="K61" s="63">
        <v>6.57</v>
      </c>
      <c r="L61" s="16">
        <v>40</v>
      </c>
      <c r="M61" s="16">
        <v>582</v>
      </c>
      <c r="N61" s="16">
        <v>20</v>
      </c>
      <c r="O61" s="26">
        <f t="shared" si="2"/>
        <v>0.28816367696851813</v>
      </c>
      <c r="P61" s="13" t="str">
        <f t="shared" si="3"/>
        <v>Good</v>
      </c>
      <c r="Q61" s="13">
        <f t="shared" si="4"/>
        <v>4.1927814998919385E-2</v>
      </c>
      <c r="R61" s="16">
        <v>12605</v>
      </c>
      <c r="S61" s="49">
        <v>0.10649443</v>
      </c>
      <c r="T61" s="27">
        <f>IF(Table4[[#This Row],[Link clicks]]=0,0,Table4[[#This Row],[Amount spent ]]/Table4[[#This Row],[Link clicks]])</f>
        <v>0.16425000000000001</v>
      </c>
      <c r="U61" s="62" t="s">
        <v>407</v>
      </c>
      <c r="V61" s="1" t="s">
        <v>414</v>
      </c>
      <c r="W61" s="1">
        <v>4.6783625730994153E-3</v>
      </c>
    </row>
    <row r="62" spans="1:23" x14ac:dyDescent="0.25">
      <c r="A62" s="48" t="s">
        <v>72</v>
      </c>
      <c r="B62" s="14" t="s">
        <v>355</v>
      </c>
      <c r="C62" s="1" t="str">
        <f t="shared" si="0"/>
        <v>United Arab Emirates Target Group</v>
      </c>
      <c r="D62" s="1" t="s">
        <v>130</v>
      </c>
      <c r="E62" s="15" t="s">
        <v>319</v>
      </c>
      <c r="F62" s="1" t="s">
        <v>77</v>
      </c>
      <c r="G62" s="1" t="s">
        <v>74</v>
      </c>
      <c r="H62" s="1" t="s">
        <v>92</v>
      </c>
      <c r="I62" s="16">
        <v>3096</v>
      </c>
      <c r="J62" s="16">
        <v>4023</v>
      </c>
      <c r="K62" s="63">
        <v>6.42</v>
      </c>
      <c r="L62" s="16">
        <v>24</v>
      </c>
      <c r="M62" s="16">
        <v>1465</v>
      </c>
      <c r="N62" s="16">
        <v>22</v>
      </c>
      <c r="O62" s="26">
        <f t="shared" si="2"/>
        <v>0.59656972408650255</v>
      </c>
      <c r="P62" s="13" t="str">
        <f t="shared" si="3"/>
        <v>Good</v>
      </c>
      <c r="Q62" s="13">
        <f t="shared" si="4"/>
        <v>0.364156102411136</v>
      </c>
      <c r="R62" s="16">
        <v>701</v>
      </c>
      <c r="S62" s="49">
        <v>5.5208999999999996E-3</v>
      </c>
      <c r="T62" s="27">
        <f>IF(Table4[[#This Row],[Link clicks]]=0,0,Table4[[#This Row],[Amount spent ]]/Table4[[#This Row],[Link clicks]])</f>
        <v>0.26750000000000002</v>
      </c>
      <c r="U62" s="62" t="s">
        <v>407</v>
      </c>
      <c r="V62" s="1" t="s">
        <v>414</v>
      </c>
      <c r="W62" s="1">
        <v>7.7519379844961239E-3</v>
      </c>
    </row>
    <row r="63" spans="1:23" x14ac:dyDescent="0.25">
      <c r="A63" s="48" t="s">
        <v>72</v>
      </c>
      <c r="B63" s="14" t="s">
        <v>355</v>
      </c>
      <c r="C63" s="1" t="str">
        <f t="shared" si="0"/>
        <v>United Arab Emirates Target Group</v>
      </c>
      <c r="D63" s="1" t="s">
        <v>73</v>
      </c>
      <c r="E63" s="15" t="s">
        <v>344</v>
      </c>
      <c r="F63" s="1" t="s">
        <v>77</v>
      </c>
      <c r="G63" s="1" t="s">
        <v>118</v>
      </c>
      <c r="H63" s="1" t="s">
        <v>94</v>
      </c>
      <c r="I63" s="16">
        <v>9862</v>
      </c>
      <c r="J63" s="16">
        <v>12336</v>
      </c>
      <c r="K63" s="63">
        <v>6.07</v>
      </c>
      <c r="L63" s="16">
        <v>17</v>
      </c>
      <c r="M63" s="16">
        <v>390</v>
      </c>
      <c r="N63" s="16">
        <v>400</v>
      </c>
      <c r="O63" s="26">
        <f t="shared" si="2"/>
        <v>0.13780804150453957</v>
      </c>
      <c r="P63" s="13" t="str">
        <f t="shared" si="3"/>
        <v>Bad</v>
      </c>
      <c r="Q63" s="13">
        <f t="shared" si="4"/>
        <v>3.1614785992217898E-2</v>
      </c>
      <c r="R63" s="16">
        <v>53972</v>
      </c>
      <c r="S63" s="49">
        <v>0.53645832999999998</v>
      </c>
      <c r="T63" s="27">
        <f>IF(Table4[[#This Row],[Link clicks]]=0,0,Table4[[#This Row],[Amount spent ]]/Table4[[#This Row],[Link clicks]])</f>
        <v>0.35705882352941176</v>
      </c>
      <c r="U63" s="62" t="s">
        <v>407</v>
      </c>
      <c r="V63" s="1" t="s">
        <v>413</v>
      </c>
      <c r="W63" s="1">
        <v>1.7237882782397079E-3</v>
      </c>
    </row>
    <row r="64" spans="1:23" x14ac:dyDescent="0.25">
      <c r="A64" s="48" t="s">
        <v>72</v>
      </c>
      <c r="B64" s="14" t="s">
        <v>355</v>
      </c>
      <c r="C64" s="1" t="str">
        <f t="shared" si="0"/>
        <v>United Arab Emirates Target Group</v>
      </c>
      <c r="D64" s="1" t="s">
        <v>130</v>
      </c>
      <c r="E64" s="15" t="s">
        <v>329</v>
      </c>
      <c r="F64" s="1" t="s">
        <v>78</v>
      </c>
      <c r="G64" s="1" t="s">
        <v>74</v>
      </c>
      <c r="H64" s="1" t="s">
        <v>94</v>
      </c>
      <c r="I64" s="16">
        <v>7006</v>
      </c>
      <c r="J64" s="16">
        <v>10316</v>
      </c>
      <c r="K64" s="63">
        <v>5.22</v>
      </c>
      <c r="L64" s="16">
        <v>18</v>
      </c>
      <c r="M64" s="16">
        <v>207</v>
      </c>
      <c r="N64" s="16">
        <v>172</v>
      </c>
      <c r="O64" s="26">
        <f t="shared" si="2"/>
        <v>0.17448623497479643</v>
      </c>
      <c r="P64" s="13" t="str">
        <f t="shared" si="3"/>
        <v>Bad</v>
      </c>
      <c r="Q64" s="13">
        <f t="shared" si="4"/>
        <v>2.006591702210159E-2</v>
      </c>
      <c r="R64" s="16">
        <v>47722</v>
      </c>
      <c r="S64" s="49">
        <v>0.48347617999999998</v>
      </c>
      <c r="T64" s="27">
        <f>IF(Table4[[#This Row],[Link clicks]]=0,0,Table4[[#This Row],[Amount spent ]]/Table4[[#This Row],[Link clicks]])</f>
        <v>0.28999999999999998</v>
      </c>
      <c r="U64" s="62" t="s">
        <v>407</v>
      </c>
      <c r="V64" s="1" t="s">
        <v>414</v>
      </c>
      <c r="W64" s="1">
        <v>2.5692263773908078E-3</v>
      </c>
    </row>
    <row r="65" spans="1:23" x14ac:dyDescent="0.25">
      <c r="A65" s="48" t="s">
        <v>72</v>
      </c>
      <c r="B65" s="14" t="s">
        <v>355</v>
      </c>
      <c r="C65" s="1" t="str">
        <f t="shared" si="0"/>
        <v>United Arab Emirates Target Group</v>
      </c>
      <c r="D65" s="1" t="s">
        <v>130</v>
      </c>
      <c r="E65" s="15" t="s">
        <v>326</v>
      </c>
      <c r="F65" s="1" t="s">
        <v>78</v>
      </c>
      <c r="G65" s="1" t="s">
        <v>74</v>
      </c>
      <c r="H65" s="1" t="s">
        <v>94</v>
      </c>
      <c r="I65" s="16">
        <v>2420</v>
      </c>
      <c r="J65" s="16">
        <v>2801</v>
      </c>
      <c r="K65" s="63">
        <v>4.91</v>
      </c>
      <c r="L65" s="16">
        <v>15</v>
      </c>
      <c r="M65" s="16">
        <v>2063</v>
      </c>
      <c r="N65" s="16">
        <v>6</v>
      </c>
      <c r="O65" s="26">
        <f t="shared" si="2"/>
        <v>0.5355230274901821</v>
      </c>
      <c r="P65" s="13" t="str">
        <f t="shared" si="3"/>
        <v>Good</v>
      </c>
      <c r="Q65" s="13">
        <f t="shared" si="4"/>
        <v>0.73652267047483044</v>
      </c>
      <c r="R65" s="16">
        <v>23737</v>
      </c>
      <c r="S65" s="49">
        <v>0.18956993999999999</v>
      </c>
      <c r="T65" s="27">
        <f>IF(Table4[[#This Row],[Link clicks]]=0,0,Table4[[#This Row],[Amount spent ]]/Table4[[#This Row],[Link clicks]])</f>
        <v>0.32733333333333337</v>
      </c>
      <c r="U65" s="62" t="s">
        <v>407</v>
      </c>
      <c r="V65" s="1" t="s">
        <v>414</v>
      </c>
      <c r="W65" s="1">
        <v>6.1983471074380167E-3</v>
      </c>
    </row>
    <row r="66" spans="1:23" x14ac:dyDescent="0.25">
      <c r="A66" s="48" t="s">
        <v>72</v>
      </c>
      <c r="B66" s="14" t="s">
        <v>355</v>
      </c>
      <c r="C66" s="1" t="str">
        <f t="shared" ref="C66:C129" si="5">IF(A66 = "AE","United Arab Emirates Target Group",IF(A66 = "BAH","Bahrain Target Group",IF(A66="JED","Jeddah Target Group",IF(A66="KWT","Kuwait Target Group",IF(A66="QAT","Qatar Target Group",IF(A66="RIY","Riyadh Target Group","Oman Target Group"))))))</f>
        <v>United Arab Emirates Target Group</v>
      </c>
      <c r="D66" s="1" t="s">
        <v>130</v>
      </c>
      <c r="E66" s="15" t="s">
        <v>343</v>
      </c>
      <c r="F66" s="1" t="s">
        <v>78</v>
      </c>
      <c r="G66" s="1" t="s">
        <v>74</v>
      </c>
      <c r="H66" s="1" t="s">
        <v>75</v>
      </c>
      <c r="I66" s="16">
        <v>7266</v>
      </c>
      <c r="J66" s="16">
        <v>9418</v>
      </c>
      <c r="K66" s="63">
        <v>4.09</v>
      </c>
      <c r="L66" s="16">
        <v>4</v>
      </c>
      <c r="M66" s="16">
        <v>375</v>
      </c>
      <c r="N66" s="16">
        <v>10</v>
      </c>
      <c r="O66" s="26">
        <f t="shared" si="2"/>
        <v>4.2471862391165856E-2</v>
      </c>
      <c r="P66" s="13" t="str">
        <f t="shared" ref="P66:P129" si="6">IF(O66&gt;0.2,"Good","Bad")</f>
        <v>Bad</v>
      </c>
      <c r="Q66" s="13">
        <f t="shared" ref="Q66:Q89" si="7">M66/J66</f>
        <v>3.981737099171799E-2</v>
      </c>
      <c r="R66" s="16">
        <v>53013</v>
      </c>
      <c r="S66" s="49">
        <v>0.54191668999999998</v>
      </c>
      <c r="T66" s="27">
        <f>IF(Table4[[#This Row],[Link clicks]]=0,0,Table4[[#This Row],[Amount spent ]]/Table4[[#This Row],[Link clicks]])</f>
        <v>1.0225</v>
      </c>
      <c r="U66" s="62" t="s">
        <v>407</v>
      </c>
      <c r="V66" s="1" t="s">
        <v>414</v>
      </c>
      <c r="W66" s="1">
        <v>5.5050922102945225E-4</v>
      </c>
    </row>
    <row r="67" spans="1:23" x14ac:dyDescent="0.25">
      <c r="A67" s="48" t="s">
        <v>72</v>
      </c>
      <c r="B67" s="14" t="s">
        <v>355</v>
      </c>
      <c r="C67" s="1" t="str">
        <f t="shared" si="5"/>
        <v>United Arab Emirates Target Group</v>
      </c>
      <c r="D67" s="1" t="s">
        <v>130</v>
      </c>
      <c r="E67" s="15" t="s">
        <v>341</v>
      </c>
      <c r="F67" s="1" t="s">
        <v>77</v>
      </c>
      <c r="G67" s="1" t="s">
        <v>74</v>
      </c>
      <c r="H67" s="1" t="s">
        <v>75</v>
      </c>
      <c r="I67" s="16">
        <v>5814</v>
      </c>
      <c r="J67" s="16">
        <v>7800</v>
      </c>
      <c r="K67" s="63">
        <v>3.58</v>
      </c>
      <c r="L67" s="16">
        <v>1</v>
      </c>
      <c r="M67" s="16">
        <v>199</v>
      </c>
      <c r="N67" s="16">
        <v>1</v>
      </c>
      <c r="O67" s="26">
        <f t="shared" ref="O67:O130" si="8">IF(J67=0,0,(L67/J67)*100)</f>
        <v>1.282051282051282E-2</v>
      </c>
      <c r="P67" s="13" t="str">
        <f t="shared" si="6"/>
        <v>Bad</v>
      </c>
      <c r="Q67" s="13">
        <f t="shared" si="7"/>
        <v>2.5512820512820514E-2</v>
      </c>
      <c r="R67" s="16">
        <v>11756</v>
      </c>
      <c r="S67" s="49">
        <v>2.4100041000000001</v>
      </c>
      <c r="T67" s="27">
        <f>IF(Table4[[#This Row],[Link clicks]]=0,0,Table4[[#This Row],[Amount spent ]]/Table4[[#This Row],[Link clicks]])</f>
        <v>3.58</v>
      </c>
      <c r="U67" s="62" t="s">
        <v>407</v>
      </c>
      <c r="V67" s="1" t="s">
        <v>414</v>
      </c>
      <c r="W67" s="1">
        <v>1.7199862401100791E-4</v>
      </c>
    </row>
    <row r="68" spans="1:23" x14ac:dyDescent="0.25">
      <c r="A68" s="48" t="s">
        <v>72</v>
      </c>
      <c r="B68" s="14" t="s">
        <v>355</v>
      </c>
      <c r="C68" s="1" t="str">
        <f t="shared" si="5"/>
        <v>United Arab Emirates Target Group</v>
      </c>
      <c r="D68" s="1" t="s">
        <v>130</v>
      </c>
      <c r="E68" s="15" t="s">
        <v>338</v>
      </c>
      <c r="F68" s="1" t="s">
        <v>77</v>
      </c>
      <c r="G68" s="1" t="s">
        <v>74</v>
      </c>
      <c r="H68" s="1" t="s">
        <v>75</v>
      </c>
      <c r="I68" s="16">
        <v>7593</v>
      </c>
      <c r="J68" s="16">
        <v>8653</v>
      </c>
      <c r="K68" s="63">
        <v>3.45</v>
      </c>
      <c r="L68" s="16">
        <v>5</v>
      </c>
      <c r="M68" s="16">
        <v>477</v>
      </c>
      <c r="N68" s="16">
        <v>12</v>
      </c>
      <c r="O68" s="26">
        <f t="shared" si="8"/>
        <v>5.7783427712931934E-2</v>
      </c>
      <c r="P68" s="13" t="str">
        <f t="shared" si="6"/>
        <v>Bad</v>
      </c>
      <c r="Q68" s="13">
        <f t="shared" si="7"/>
        <v>5.5125390038137059E-2</v>
      </c>
      <c r="R68" s="16">
        <v>33061</v>
      </c>
      <c r="S68" s="49">
        <v>0.15706386</v>
      </c>
      <c r="T68" s="27">
        <f>IF(Table4[[#This Row],[Link clicks]]=0,0,Table4[[#This Row],[Amount spent ]]/Table4[[#This Row],[Link clicks]])</f>
        <v>0.69000000000000006</v>
      </c>
      <c r="U68" s="62" t="s">
        <v>407</v>
      </c>
      <c r="V68" s="1" t="s">
        <v>414</v>
      </c>
      <c r="W68" s="1">
        <v>6.5850125115237714E-4</v>
      </c>
    </row>
    <row r="69" spans="1:23" x14ac:dyDescent="0.25">
      <c r="A69" s="48" t="s">
        <v>72</v>
      </c>
      <c r="B69" s="14" t="s">
        <v>355</v>
      </c>
      <c r="C69" s="1" t="str">
        <f t="shared" si="5"/>
        <v>United Arab Emirates Target Group</v>
      </c>
      <c r="D69" s="1" t="s">
        <v>130</v>
      </c>
      <c r="E69" s="15" t="s">
        <v>342</v>
      </c>
      <c r="F69" s="1" t="s">
        <v>78</v>
      </c>
      <c r="G69" s="1" t="s">
        <v>74</v>
      </c>
      <c r="H69" s="1" t="s">
        <v>75</v>
      </c>
      <c r="I69" s="16">
        <v>4957</v>
      </c>
      <c r="J69" s="16">
        <v>6369</v>
      </c>
      <c r="K69" s="63">
        <v>2.99</v>
      </c>
      <c r="L69" s="16">
        <v>4</v>
      </c>
      <c r="M69" s="16">
        <v>213</v>
      </c>
      <c r="N69" s="16">
        <v>3</v>
      </c>
      <c r="O69" s="26">
        <f t="shared" si="8"/>
        <v>6.2804207881928087E-2</v>
      </c>
      <c r="P69" s="13" t="str">
        <f t="shared" si="6"/>
        <v>Bad</v>
      </c>
      <c r="Q69" s="13">
        <f t="shared" si="7"/>
        <v>3.344324069712671E-2</v>
      </c>
      <c r="R69" s="16">
        <v>6378</v>
      </c>
      <c r="S69" s="49">
        <v>0.75676317000000004</v>
      </c>
      <c r="T69" s="27">
        <f>IF(Table4[[#This Row],[Link clicks]]=0,0,Table4[[#This Row],[Amount spent ]]/Table4[[#This Row],[Link clicks]])</f>
        <v>0.74750000000000005</v>
      </c>
      <c r="U69" s="62" t="s">
        <v>407</v>
      </c>
      <c r="V69" s="1" t="s">
        <v>414</v>
      </c>
      <c r="W69" s="1">
        <v>8.0693968125882594E-4</v>
      </c>
    </row>
    <row r="70" spans="1:23" x14ac:dyDescent="0.25">
      <c r="A70" s="48" t="s">
        <v>72</v>
      </c>
      <c r="B70" s="14" t="s">
        <v>355</v>
      </c>
      <c r="C70" s="1" t="str">
        <f t="shared" si="5"/>
        <v>United Arab Emirates Target Group</v>
      </c>
      <c r="D70" s="1" t="s">
        <v>73</v>
      </c>
      <c r="E70" s="15" t="s">
        <v>345</v>
      </c>
      <c r="F70" s="1" t="s">
        <v>78</v>
      </c>
      <c r="G70" s="1" t="s">
        <v>74</v>
      </c>
      <c r="H70" s="1" t="s">
        <v>75</v>
      </c>
      <c r="I70" s="16">
        <v>4605</v>
      </c>
      <c r="J70" s="16">
        <v>6173</v>
      </c>
      <c r="K70" s="63">
        <v>2.8</v>
      </c>
      <c r="L70" s="16">
        <v>0</v>
      </c>
      <c r="M70" s="16">
        <v>133</v>
      </c>
      <c r="N70" s="16">
        <v>0</v>
      </c>
      <c r="O70" s="26">
        <f t="shared" si="8"/>
        <v>0</v>
      </c>
      <c r="P70" s="13" t="str">
        <f t="shared" si="6"/>
        <v>Bad</v>
      </c>
      <c r="Q70" s="13">
        <f t="shared" si="7"/>
        <v>2.1545439818564719E-2</v>
      </c>
      <c r="R70" s="16">
        <v>25747</v>
      </c>
      <c r="S70" s="49">
        <v>0.20520115999999999</v>
      </c>
      <c r="T70" s="27">
        <f>IF(Table4[[#This Row],[Link clicks]]=0,0,Table4[[#This Row],[Amount spent ]]/Table4[[#This Row],[Link clicks]])</f>
        <v>0</v>
      </c>
      <c r="U70" s="62" t="s">
        <v>407</v>
      </c>
      <c r="V70" s="1" t="s">
        <v>413</v>
      </c>
      <c r="W70" s="1">
        <v>0</v>
      </c>
    </row>
    <row r="71" spans="1:23" x14ac:dyDescent="0.25">
      <c r="A71" s="48" t="s">
        <v>72</v>
      </c>
      <c r="B71" s="14" t="s">
        <v>355</v>
      </c>
      <c r="C71" s="1" t="str">
        <f t="shared" si="5"/>
        <v>United Arab Emirates Target Group</v>
      </c>
      <c r="D71" s="1" t="s">
        <v>130</v>
      </c>
      <c r="E71" s="15" t="s">
        <v>323</v>
      </c>
      <c r="F71" s="1" t="s">
        <v>77</v>
      </c>
      <c r="G71" s="1" t="s">
        <v>74</v>
      </c>
      <c r="H71" s="1" t="s">
        <v>94</v>
      </c>
      <c r="I71" s="16">
        <v>1601</v>
      </c>
      <c r="J71" s="16">
        <v>1784</v>
      </c>
      <c r="K71" s="63">
        <v>2.79</v>
      </c>
      <c r="L71" s="16">
        <v>13</v>
      </c>
      <c r="M71" s="16">
        <v>737</v>
      </c>
      <c r="N71" s="16">
        <v>3</v>
      </c>
      <c r="O71" s="26">
        <f t="shared" si="8"/>
        <v>0.72869955156950672</v>
      </c>
      <c r="P71" s="13" t="str">
        <f t="shared" si="6"/>
        <v>Good</v>
      </c>
      <c r="Q71" s="13">
        <f t="shared" si="7"/>
        <v>0.41311659192825112</v>
      </c>
      <c r="R71" s="16">
        <v>74347</v>
      </c>
      <c r="S71" s="49">
        <v>1.17607884</v>
      </c>
      <c r="T71" s="27">
        <f>IF(Table4[[#This Row],[Link clicks]]=0,0,Table4[[#This Row],[Amount spent ]]/Table4[[#This Row],[Link clicks]])</f>
        <v>0.21461538461538462</v>
      </c>
      <c r="U71" s="62" t="s">
        <v>407</v>
      </c>
      <c r="V71" s="1" t="s">
        <v>414</v>
      </c>
      <c r="W71" s="1">
        <v>8.1199250468457218E-3</v>
      </c>
    </row>
    <row r="72" spans="1:23" x14ac:dyDescent="0.25">
      <c r="A72" s="48" t="s">
        <v>72</v>
      </c>
      <c r="B72" s="14" t="s">
        <v>355</v>
      </c>
      <c r="C72" s="1" t="str">
        <f t="shared" si="5"/>
        <v>United Arab Emirates Target Group</v>
      </c>
      <c r="D72" s="1" t="s">
        <v>130</v>
      </c>
      <c r="E72" s="15" t="s">
        <v>327</v>
      </c>
      <c r="F72" s="1" t="s">
        <v>78</v>
      </c>
      <c r="G72" s="1" t="s">
        <v>74</v>
      </c>
      <c r="H72" s="1" t="s">
        <v>94</v>
      </c>
      <c r="I72" s="16">
        <v>1952</v>
      </c>
      <c r="J72" s="16">
        <v>2322</v>
      </c>
      <c r="K72" s="63">
        <v>2.41</v>
      </c>
      <c r="L72" s="16">
        <v>14</v>
      </c>
      <c r="M72" s="16">
        <v>836</v>
      </c>
      <c r="N72" s="16">
        <v>3</v>
      </c>
      <c r="O72" s="26">
        <f t="shared" si="8"/>
        <v>0.60292850990525415</v>
      </c>
      <c r="P72" s="13" t="str">
        <f t="shared" si="6"/>
        <v>Good</v>
      </c>
      <c r="Q72" s="13">
        <f t="shared" si="7"/>
        <v>0.36003445305770887</v>
      </c>
      <c r="R72" s="16">
        <v>15407</v>
      </c>
      <c r="S72" s="49">
        <v>0.11687287</v>
      </c>
      <c r="T72" s="27">
        <f>IF(Table4[[#This Row],[Link clicks]]=0,0,Table4[[#This Row],[Amount spent ]]/Table4[[#This Row],[Link clicks]])</f>
        <v>0.17214285714285715</v>
      </c>
      <c r="U72" s="62" t="s">
        <v>407</v>
      </c>
      <c r="V72" s="1" t="s">
        <v>414</v>
      </c>
      <c r="W72" s="1">
        <v>7.1721311475409838E-3</v>
      </c>
    </row>
    <row r="73" spans="1:23" x14ac:dyDescent="0.25">
      <c r="A73" s="48" t="s">
        <v>72</v>
      </c>
      <c r="B73" s="14" t="s">
        <v>355</v>
      </c>
      <c r="C73" s="1" t="str">
        <f t="shared" si="5"/>
        <v>United Arab Emirates Target Group</v>
      </c>
      <c r="D73" s="1" t="s">
        <v>73</v>
      </c>
      <c r="E73" s="15" t="s">
        <v>329</v>
      </c>
      <c r="F73" s="1" t="s">
        <v>78</v>
      </c>
      <c r="G73" s="1" t="s">
        <v>74</v>
      </c>
      <c r="H73" s="1" t="s">
        <v>94</v>
      </c>
      <c r="I73" s="16">
        <v>2378</v>
      </c>
      <c r="J73" s="16">
        <v>2853</v>
      </c>
      <c r="K73" s="63">
        <v>2.36</v>
      </c>
      <c r="L73" s="16">
        <v>9</v>
      </c>
      <c r="M73" s="16">
        <v>194</v>
      </c>
      <c r="N73" s="16">
        <v>156</v>
      </c>
      <c r="O73" s="26">
        <f t="shared" si="8"/>
        <v>0.31545741324921134</v>
      </c>
      <c r="P73" s="13" t="str">
        <f t="shared" si="6"/>
        <v>Good</v>
      </c>
      <c r="Q73" s="13">
        <f t="shared" si="7"/>
        <v>6.7998597967052224E-2</v>
      </c>
      <c r="R73" s="16">
        <v>58602</v>
      </c>
      <c r="S73" s="49">
        <v>0.62629716999999996</v>
      </c>
      <c r="T73" s="27">
        <f>IF(Table4[[#This Row],[Link clicks]]=0,0,Table4[[#This Row],[Amount spent ]]/Table4[[#This Row],[Link clicks]])</f>
        <v>0.26222222222222219</v>
      </c>
      <c r="U73" s="62" t="s">
        <v>407</v>
      </c>
      <c r="V73" s="1" t="s">
        <v>413</v>
      </c>
      <c r="W73" s="1">
        <v>3.784693019343986E-3</v>
      </c>
    </row>
    <row r="74" spans="1:23" x14ac:dyDescent="0.25">
      <c r="A74" s="48" t="s">
        <v>72</v>
      </c>
      <c r="B74" s="14" t="s">
        <v>355</v>
      </c>
      <c r="C74" s="1" t="str">
        <f t="shared" si="5"/>
        <v>United Arab Emirates Target Group</v>
      </c>
      <c r="D74" s="1" t="s">
        <v>130</v>
      </c>
      <c r="E74" s="15" t="s">
        <v>320</v>
      </c>
      <c r="F74" s="1" t="s">
        <v>77</v>
      </c>
      <c r="G74" s="1" t="s">
        <v>74</v>
      </c>
      <c r="H74" s="1" t="s">
        <v>94</v>
      </c>
      <c r="I74" s="16">
        <v>1549</v>
      </c>
      <c r="J74" s="16">
        <v>1775</v>
      </c>
      <c r="K74" s="63">
        <v>2.21</v>
      </c>
      <c r="L74" s="16">
        <v>7</v>
      </c>
      <c r="M74" s="16">
        <v>719</v>
      </c>
      <c r="N74" s="16">
        <v>7</v>
      </c>
      <c r="O74" s="26">
        <f t="shared" si="8"/>
        <v>0.39436619718309857</v>
      </c>
      <c r="P74" s="13" t="str">
        <f t="shared" si="6"/>
        <v>Good</v>
      </c>
      <c r="Q74" s="13">
        <f t="shared" si="7"/>
        <v>0.40507042253521125</v>
      </c>
      <c r="R74" s="16">
        <v>16964</v>
      </c>
      <c r="S74" s="49">
        <v>9.0110380000000004E-2</v>
      </c>
      <c r="T74" s="27">
        <f>IF(Table4[[#This Row],[Link clicks]]=0,0,Table4[[#This Row],[Amount spent ]]/Table4[[#This Row],[Link clicks]])</f>
        <v>0.31571428571428573</v>
      </c>
      <c r="U74" s="62" t="s">
        <v>407</v>
      </c>
      <c r="V74" s="1" t="s">
        <v>414</v>
      </c>
      <c r="W74" s="1">
        <v>4.5190445448676569E-3</v>
      </c>
    </row>
    <row r="75" spans="1:23" x14ac:dyDescent="0.25">
      <c r="A75" s="48" t="s">
        <v>72</v>
      </c>
      <c r="B75" s="14" t="s">
        <v>355</v>
      </c>
      <c r="C75" s="1" t="str">
        <f t="shared" si="5"/>
        <v>United Arab Emirates Target Group</v>
      </c>
      <c r="D75" s="1" t="s">
        <v>130</v>
      </c>
      <c r="E75" s="15" t="s">
        <v>339</v>
      </c>
      <c r="F75" s="1" t="s">
        <v>78</v>
      </c>
      <c r="G75" s="1" t="s">
        <v>74</v>
      </c>
      <c r="H75" s="1" t="s">
        <v>92</v>
      </c>
      <c r="I75" s="16">
        <v>1443</v>
      </c>
      <c r="J75" s="16">
        <v>2345</v>
      </c>
      <c r="K75" s="63">
        <v>2.04</v>
      </c>
      <c r="L75" s="16">
        <v>9</v>
      </c>
      <c r="M75" s="16">
        <v>566</v>
      </c>
      <c r="N75" s="16">
        <v>1</v>
      </c>
      <c r="O75" s="26">
        <f t="shared" si="8"/>
        <v>0.38379530916844351</v>
      </c>
      <c r="P75" s="13" t="str">
        <f t="shared" si="6"/>
        <v>Good</v>
      </c>
      <c r="Q75" s="13">
        <f t="shared" si="7"/>
        <v>0.24136460554371003</v>
      </c>
      <c r="R75" s="16">
        <v>23662</v>
      </c>
      <c r="S75" s="49">
        <v>0.11247962</v>
      </c>
      <c r="T75" s="27">
        <f>IF(Table4[[#This Row],[Link clicks]]=0,0,Table4[[#This Row],[Amount spent ]]/Table4[[#This Row],[Link clicks]])</f>
        <v>0.22666666666666668</v>
      </c>
      <c r="U75" s="62" t="s">
        <v>407</v>
      </c>
      <c r="V75" s="1" t="s">
        <v>414</v>
      </c>
      <c r="W75" s="1">
        <v>6.2370062370062374E-3</v>
      </c>
    </row>
    <row r="76" spans="1:23" x14ac:dyDescent="0.25">
      <c r="A76" s="48" t="s">
        <v>72</v>
      </c>
      <c r="B76" s="14" t="s">
        <v>355</v>
      </c>
      <c r="C76" s="1" t="str">
        <f t="shared" si="5"/>
        <v>United Arab Emirates Target Group</v>
      </c>
      <c r="D76" s="1" t="s">
        <v>130</v>
      </c>
      <c r="E76" s="15" t="s">
        <v>340</v>
      </c>
      <c r="F76" s="1" t="s">
        <v>77</v>
      </c>
      <c r="G76" s="1" t="s">
        <v>74</v>
      </c>
      <c r="H76" s="1" t="s">
        <v>75</v>
      </c>
      <c r="I76" s="16">
        <v>3682</v>
      </c>
      <c r="J76" s="16">
        <v>4491</v>
      </c>
      <c r="K76" s="63">
        <v>1.99</v>
      </c>
      <c r="L76" s="16">
        <v>1</v>
      </c>
      <c r="M76" s="16">
        <v>170</v>
      </c>
      <c r="N76" s="16">
        <v>1</v>
      </c>
      <c r="O76" s="26">
        <f t="shared" si="8"/>
        <v>2.2266755733689601E-2</v>
      </c>
      <c r="P76" s="13" t="str">
        <f t="shared" si="6"/>
        <v>Bad</v>
      </c>
      <c r="Q76" s="13">
        <f t="shared" si="7"/>
        <v>3.785348474727232E-2</v>
      </c>
      <c r="R76" s="16">
        <v>74535</v>
      </c>
      <c r="S76" s="49">
        <v>1.2182106399999999</v>
      </c>
      <c r="T76" s="27">
        <f>IF(Table4[[#This Row],[Link clicks]]=0,0,Table4[[#This Row],[Amount spent ]]/Table4[[#This Row],[Link clicks]])</f>
        <v>1.99</v>
      </c>
      <c r="U76" s="62" t="s">
        <v>407</v>
      </c>
      <c r="V76" s="1" t="s">
        <v>414</v>
      </c>
      <c r="W76" s="1">
        <v>2.7159152634437798E-4</v>
      </c>
    </row>
    <row r="77" spans="1:23" x14ac:dyDescent="0.25">
      <c r="A77" s="48" t="s">
        <v>72</v>
      </c>
      <c r="B77" s="14" t="s">
        <v>355</v>
      </c>
      <c r="C77" s="1" t="str">
        <f t="shared" si="5"/>
        <v>United Arab Emirates Target Group</v>
      </c>
      <c r="D77" s="1" t="s">
        <v>130</v>
      </c>
      <c r="E77" s="15" t="s">
        <v>336</v>
      </c>
      <c r="F77" s="1" t="s">
        <v>78</v>
      </c>
      <c r="G77" s="1" t="s">
        <v>118</v>
      </c>
      <c r="H77" s="1" t="s">
        <v>94</v>
      </c>
      <c r="I77" s="16">
        <v>2804</v>
      </c>
      <c r="J77" s="16">
        <v>4196</v>
      </c>
      <c r="K77" s="63">
        <v>1.82</v>
      </c>
      <c r="L77" s="16">
        <v>7</v>
      </c>
      <c r="M77" s="16">
        <v>197</v>
      </c>
      <c r="N77" s="16">
        <v>195</v>
      </c>
      <c r="O77" s="26">
        <f t="shared" si="8"/>
        <v>0.16682554814108674</v>
      </c>
      <c r="P77" s="13" t="str">
        <f t="shared" si="6"/>
        <v>Bad</v>
      </c>
      <c r="Q77" s="13">
        <f t="shared" si="7"/>
        <v>4.6949475691134411E-2</v>
      </c>
      <c r="R77" s="16">
        <v>12345</v>
      </c>
      <c r="S77" s="49">
        <v>0.13792834000000001</v>
      </c>
      <c r="T77" s="27">
        <f>IF(Table4[[#This Row],[Link clicks]]=0,0,Table4[[#This Row],[Amount spent ]]/Table4[[#This Row],[Link clicks]])</f>
        <v>0.26</v>
      </c>
      <c r="U77" s="62" t="s">
        <v>407</v>
      </c>
      <c r="V77" s="1" t="s">
        <v>414</v>
      </c>
      <c r="W77" s="1">
        <v>2.4964336661911549E-3</v>
      </c>
    </row>
    <row r="78" spans="1:23" x14ac:dyDescent="0.25">
      <c r="A78" s="48" t="s">
        <v>72</v>
      </c>
      <c r="B78" s="14" t="s">
        <v>355</v>
      </c>
      <c r="C78" s="1" t="str">
        <f t="shared" si="5"/>
        <v>United Arab Emirates Target Group</v>
      </c>
      <c r="D78" s="1" t="s">
        <v>130</v>
      </c>
      <c r="E78" s="15" t="s">
        <v>332</v>
      </c>
      <c r="F78" s="1" t="s">
        <v>77</v>
      </c>
      <c r="G78" s="1" t="s">
        <v>74</v>
      </c>
      <c r="H78" s="1" t="s">
        <v>94</v>
      </c>
      <c r="I78" s="16">
        <v>940</v>
      </c>
      <c r="J78" s="16">
        <v>1013</v>
      </c>
      <c r="K78" s="63">
        <v>1.49</v>
      </c>
      <c r="L78" s="16">
        <v>5</v>
      </c>
      <c r="M78" s="16">
        <v>428</v>
      </c>
      <c r="N78" s="16">
        <v>2</v>
      </c>
      <c r="O78" s="26">
        <f t="shared" si="8"/>
        <v>0.4935834155972359</v>
      </c>
      <c r="P78" s="13" t="str">
        <f t="shared" si="6"/>
        <v>Good</v>
      </c>
      <c r="Q78" s="13">
        <f t="shared" si="7"/>
        <v>0.42250740375123397</v>
      </c>
      <c r="R78" s="16">
        <v>47855</v>
      </c>
      <c r="S78" s="49">
        <v>0.76827369000000001</v>
      </c>
      <c r="T78" s="27">
        <f>IF(Table4[[#This Row],[Link clicks]]=0,0,Table4[[#This Row],[Amount spent ]]/Table4[[#This Row],[Link clicks]])</f>
        <v>0.29799999999999999</v>
      </c>
      <c r="U78" s="62" t="s">
        <v>407</v>
      </c>
      <c r="V78" s="1" t="s">
        <v>414</v>
      </c>
      <c r="W78" s="1">
        <v>5.3191489361702126E-3</v>
      </c>
    </row>
    <row r="79" spans="1:23" x14ac:dyDescent="0.25">
      <c r="A79" s="48" t="s">
        <v>72</v>
      </c>
      <c r="B79" s="14" t="s">
        <v>355</v>
      </c>
      <c r="C79" s="1" t="str">
        <f t="shared" si="5"/>
        <v>United Arab Emirates Target Group</v>
      </c>
      <c r="D79" s="1" t="s">
        <v>130</v>
      </c>
      <c r="E79" s="15" t="s">
        <v>333</v>
      </c>
      <c r="F79" s="1" t="s">
        <v>78</v>
      </c>
      <c r="G79" s="1" t="s">
        <v>74</v>
      </c>
      <c r="H79" s="1" t="s">
        <v>94</v>
      </c>
      <c r="I79" s="16">
        <v>381</v>
      </c>
      <c r="J79" s="16">
        <v>405</v>
      </c>
      <c r="K79" s="63">
        <v>1.46</v>
      </c>
      <c r="L79" s="16">
        <v>8</v>
      </c>
      <c r="M79" s="16">
        <v>277</v>
      </c>
      <c r="N79" s="16">
        <v>0</v>
      </c>
      <c r="O79" s="26">
        <f t="shared" si="8"/>
        <v>1.9753086419753085</v>
      </c>
      <c r="P79" s="13" t="str">
        <f t="shared" si="6"/>
        <v>Good</v>
      </c>
      <c r="Q79" s="13">
        <f t="shared" si="7"/>
        <v>0.68395061728395057</v>
      </c>
      <c r="R79" s="16">
        <v>656</v>
      </c>
      <c r="S79" s="49">
        <v>5.54654E-3</v>
      </c>
      <c r="T79" s="27">
        <f>IF(Table4[[#This Row],[Link clicks]]=0,0,Table4[[#This Row],[Amount spent ]]/Table4[[#This Row],[Link clicks]])</f>
        <v>0.1825</v>
      </c>
      <c r="U79" s="62" t="s">
        <v>407</v>
      </c>
      <c r="V79" s="1" t="s">
        <v>414</v>
      </c>
      <c r="W79" s="1">
        <v>2.0997375328083989E-2</v>
      </c>
    </row>
    <row r="80" spans="1:23" x14ac:dyDescent="0.25">
      <c r="A80" s="48" t="s">
        <v>72</v>
      </c>
      <c r="B80" s="14" t="s">
        <v>355</v>
      </c>
      <c r="C80" s="1" t="str">
        <f t="shared" si="5"/>
        <v>United Arab Emirates Target Group</v>
      </c>
      <c r="D80" s="1" t="s">
        <v>130</v>
      </c>
      <c r="E80" s="15" t="s">
        <v>345</v>
      </c>
      <c r="F80" s="1" t="s">
        <v>78</v>
      </c>
      <c r="G80" s="1" t="s">
        <v>74</v>
      </c>
      <c r="H80" s="1" t="s">
        <v>75</v>
      </c>
      <c r="I80" s="16">
        <v>2670</v>
      </c>
      <c r="J80" s="16">
        <v>3208</v>
      </c>
      <c r="K80" s="63">
        <v>1.41</v>
      </c>
      <c r="L80" s="16">
        <v>1</v>
      </c>
      <c r="M80" s="16">
        <v>76</v>
      </c>
      <c r="N80" s="16">
        <v>1</v>
      </c>
      <c r="O80" s="26">
        <f t="shared" si="8"/>
        <v>3.1172069825436407E-2</v>
      </c>
      <c r="P80" s="13" t="str">
        <f t="shared" si="6"/>
        <v>Bad</v>
      </c>
      <c r="Q80" s="13">
        <f t="shared" si="7"/>
        <v>2.369077306733167E-2</v>
      </c>
      <c r="R80" s="16">
        <v>8555</v>
      </c>
      <c r="S80" s="49">
        <v>2.4317794199999998</v>
      </c>
      <c r="T80" s="27">
        <f>IF(Table4[[#This Row],[Link clicks]]=0,0,Table4[[#This Row],[Amount spent ]]/Table4[[#This Row],[Link clicks]])</f>
        <v>1.41</v>
      </c>
      <c r="U80" s="62" t="s">
        <v>407</v>
      </c>
      <c r="V80" s="1" t="s">
        <v>414</v>
      </c>
      <c r="W80" s="1">
        <v>3.7453183520599252E-4</v>
      </c>
    </row>
    <row r="81" spans="1:23" x14ac:dyDescent="0.25">
      <c r="A81" s="48" t="s">
        <v>72</v>
      </c>
      <c r="B81" s="14" t="s">
        <v>355</v>
      </c>
      <c r="C81" s="1" t="str">
        <f t="shared" si="5"/>
        <v>United Arab Emirates Target Group</v>
      </c>
      <c r="D81" s="1" t="s">
        <v>130</v>
      </c>
      <c r="E81" s="15" t="s">
        <v>325</v>
      </c>
      <c r="F81" s="1" t="s">
        <v>77</v>
      </c>
      <c r="G81" s="1" t="s">
        <v>74</v>
      </c>
      <c r="H81" s="1" t="s">
        <v>92</v>
      </c>
      <c r="I81" s="16">
        <v>1007</v>
      </c>
      <c r="J81" s="16">
        <v>1188</v>
      </c>
      <c r="K81" s="63">
        <v>1.23</v>
      </c>
      <c r="L81" s="16">
        <v>7</v>
      </c>
      <c r="M81" s="16">
        <v>316</v>
      </c>
      <c r="N81" s="16">
        <v>1</v>
      </c>
      <c r="O81" s="26">
        <f t="shared" si="8"/>
        <v>0.58922558922558921</v>
      </c>
      <c r="P81" s="13" t="str">
        <f t="shared" si="6"/>
        <v>Good</v>
      </c>
      <c r="Q81" s="13">
        <f t="shared" si="7"/>
        <v>0.265993265993266</v>
      </c>
      <c r="R81" s="16">
        <v>14319</v>
      </c>
      <c r="S81" s="49">
        <v>2.4518835600000002</v>
      </c>
      <c r="T81" s="27">
        <f>IF(Table4[[#This Row],[Link clicks]]=0,0,Table4[[#This Row],[Amount spent ]]/Table4[[#This Row],[Link clicks]])</f>
        <v>0.17571428571428571</v>
      </c>
      <c r="U81" s="62" t="s">
        <v>407</v>
      </c>
      <c r="V81" s="1" t="s">
        <v>414</v>
      </c>
      <c r="W81" s="1">
        <v>6.9513406156901684E-3</v>
      </c>
    </row>
    <row r="82" spans="1:23" x14ac:dyDescent="0.25">
      <c r="A82" s="48" t="s">
        <v>72</v>
      </c>
      <c r="B82" s="14" t="s">
        <v>355</v>
      </c>
      <c r="C82" s="1" t="str">
        <f t="shared" si="5"/>
        <v>United Arab Emirates Target Group</v>
      </c>
      <c r="D82" s="1" t="s">
        <v>73</v>
      </c>
      <c r="E82" s="15" t="s">
        <v>334</v>
      </c>
      <c r="F82" s="1" t="s">
        <v>77</v>
      </c>
      <c r="G82" s="1" t="s">
        <v>74</v>
      </c>
      <c r="H82" s="1" t="s">
        <v>94</v>
      </c>
      <c r="I82" s="16">
        <v>553</v>
      </c>
      <c r="J82" s="16">
        <v>641</v>
      </c>
      <c r="K82" s="63">
        <v>0.66</v>
      </c>
      <c r="L82" s="16">
        <v>4</v>
      </c>
      <c r="M82" s="16">
        <v>53</v>
      </c>
      <c r="N82" s="16">
        <v>44</v>
      </c>
      <c r="O82" s="26">
        <f t="shared" si="8"/>
        <v>0.62402496099843996</v>
      </c>
      <c r="P82" s="13" t="str">
        <f t="shared" si="6"/>
        <v>Good</v>
      </c>
      <c r="Q82" s="13">
        <f t="shared" si="7"/>
        <v>8.2683307332293288E-2</v>
      </c>
      <c r="R82" s="16">
        <v>562</v>
      </c>
      <c r="S82" s="49">
        <v>3.4681099999999999E-3</v>
      </c>
      <c r="T82" s="27">
        <f>IF(Table4[[#This Row],[Link clicks]]=0,0,Table4[[#This Row],[Amount spent ]]/Table4[[#This Row],[Link clicks]])</f>
        <v>0.16500000000000001</v>
      </c>
      <c r="U82" s="62" t="s">
        <v>407</v>
      </c>
      <c r="V82" s="1" t="s">
        <v>413</v>
      </c>
      <c r="W82" s="1">
        <v>7.2332730560578659E-3</v>
      </c>
    </row>
    <row r="83" spans="1:23" x14ac:dyDescent="0.25">
      <c r="A83" s="48" t="s">
        <v>72</v>
      </c>
      <c r="B83" s="14" t="s">
        <v>355</v>
      </c>
      <c r="C83" s="1" t="str">
        <f t="shared" si="5"/>
        <v>United Arab Emirates Target Group</v>
      </c>
      <c r="D83" s="1" t="s">
        <v>130</v>
      </c>
      <c r="E83" s="15" t="s">
        <v>344</v>
      </c>
      <c r="F83" s="1" t="s">
        <v>77</v>
      </c>
      <c r="G83" s="1" t="s">
        <v>118</v>
      </c>
      <c r="H83" s="1" t="s">
        <v>118</v>
      </c>
      <c r="I83" s="16">
        <v>698</v>
      </c>
      <c r="J83" s="16">
        <v>890</v>
      </c>
      <c r="K83" s="63">
        <v>0.32</v>
      </c>
      <c r="L83" s="16">
        <v>1</v>
      </c>
      <c r="M83" s="16">
        <v>43</v>
      </c>
      <c r="N83" s="16">
        <v>40</v>
      </c>
      <c r="O83" s="26">
        <f t="shared" si="8"/>
        <v>0.11235955056179776</v>
      </c>
      <c r="P83" s="13" t="str">
        <f t="shared" si="6"/>
        <v>Bad</v>
      </c>
      <c r="Q83" s="13">
        <f t="shared" si="7"/>
        <v>4.8314606741573035E-2</v>
      </c>
      <c r="R83" s="16">
        <v>31104</v>
      </c>
      <c r="S83" s="49">
        <v>0.60579620000000001</v>
      </c>
      <c r="T83" s="27">
        <f>IF(Table4[[#This Row],[Link clicks]]=0,0,Table4[[#This Row],[Amount spent ]]/Table4[[#This Row],[Link clicks]])</f>
        <v>0.32</v>
      </c>
      <c r="U83" s="62" t="s">
        <v>407</v>
      </c>
      <c r="V83" s="1" t="s">
        <v>414</v>
      </c>
      <c r="W83" s="1">
        <v>1.4326647564469909E-3</v>
      </c>
    </row>
    <row r="84" spans="1:23" x14ac:dyDescent="0.25">
      <c r="A84" s="48" t="s">
        <v>72</v>
      </c>
      <c r="B84" s="14" t="s">
        <v>355</v>
      </c>
      <c r="C84" s="1" t="str">
        <f t="shared" si="5"/>
        <v>United Arab Emirates Target Group</v>
      </c>
      <c r="D84" s="1" t="s">
        <v>73</v>
      </c>
      <c r="E84" s="15" t="s">
        <v>338</v>
      </c>
      <c r="F84" s="1" t="s">
        <v>77</v>
      </c>
      <c r="G84" s="1" t="s">
        <v>74</v>
      </c>
      <c r="H84" s="1" t="s">
        <v>75</v>
      </c>
      <c r="I84" s="16">
        <v>1</v>
      </c>
      <c r="J84" s="16">
        <v>1</v>
      </c>
      <c r="K84" s="63">
        <v>0.13</v>
      </c>
      <c r="L84" s="16">
        <v>0</v>
      </c>
      <c r="M84" s="16">
        <v>0</v>
      </c>
      <c r="N84" s="16">
        <v>0</v>
      </c>
      <c r="O84" s="26">
        <f t="shared" si="8"/>
        <v>0</v>
      </c>
      <c r="P84" s="13" t="str">
        <f t="shared" si="6"/>
        <v>Bad</v>
      </c>
      <c r="Q84" s="13">
        <f t="shared" si="7"/>
        <v>0</v>
      </c>
      <c r="R84" s="16">
        <v>65083</v>
      </c>
      <c r="S84" s="49">
        <v>1.0284761600000001</v>
      </c>
      <c r="T84" s="27">
        <f>IF(Table4[[#This Row],[Link clicks]]=0,0,Table4[[#This Row],[Amount spent ]]/Table4[[#This Row],[Link clicks]])</f>
        <v>0</v>
      </c>
      <c r="U84" s="62" t="s">
        <v>407</v>
      </c>
      <c r="V84" s="1" t="s">
        <v>413</v>
      </c>
      <c r="W84" s="1">
        <v>0</v>
      </c>
    </row>
    <row r="85" spans="1:23" x14ac:dyDescent="0.25">
      <c r="A85" s="48" t="s">
        <v>72</v>
      </c>
      <c r="B85" s="14" t="s">
        <v>355</v>
      </c>
      <c r="C85" s="1" t="str">
        <f t="shared" si="5"/>
        <v>United Arab Emirates Target Group</v>
      </c>
      <c r="D85" s="1" t="s">
        <v>130</v>
      </c>
      <c r="E85" s="15" t="s">
        <v>329</v>
      </c>
      <c r="F85" s="1" t="s">
        <v>78</v>
      </c>
      <c r="G85" s="1" t="s">
        <v>74</v>
      </c>
      <c r="H85" s="1" t="s">
        <v>94</v>
      </c>
      <c r="I85" s="16">
        <v>130</v>
      </c>
      <c r="J85" s="16">
        <v>164</v>
      </c>
      <c r="K85" s="63">
        <v>0.1</v>
      </c>
      <c r="L85" s="16">
        <v>0</v>
      </c>
      <c r="M85" s="16">
        <v>25</v>
      </c>
      <c r="N85" s="16">
        <v>20</v>
      </c>
      <c r="O85" s="26">
        <f t="shared" si="8"/>
        <v>0</v>
      </c>
      <c r="P85" s="13" t="str">
        <f t="shared" si="6"/>
        <v>Bad</v>
      </c>
      <c r="Q85" s="13">
        <f t="shared" si="7"/>
        <v>0.1524390243902439</v>
      </c>
      <c r="R85" s="16">
        <v>589</v>
      </c>
      <c r="S85" s="49">
        <v>4.9625499999999996E-3</v>
      </c>
      <c r="T85" s="27">
        <f>IF(Table4[[#This Row],[Link clicks]]=0,0,Table4[[#This Row],[Amount spent ]]/Table4[[#This Row],[Link clicks]])</f>
        <v>0</v>
      </c>
      <c r="U85" s="62" t="s">
        <v>407</v>
      </c>
      <c r="V85" s="1" t="s">
        <v>414</v>
      </c>
      <c r="W85" s="1">
        <v>0</v>
      </c>
    </row>
    <row r="86" spans="1:23" x14ac:dyDescent="0.25">
      <c r="A86" s="48" t="s">
        <v>72</v>
      </c>
      <c r="B86" s="14" t="s">
        <v>355</v>
      </c>
      <c r="C86" s="1" t="str">
        <f t="shared" si="5"/>
        <v>United Arab Emirates Target Group</v>
      </c>
      <c r="D86" s="1" t="s">
        <v>130</v>
      </c>
      <c r="E86" s="15" t="s">
        <v>338</v>
      </c>
      <c r="F86" s="1" t="s">
        <v>77</v>
      </c>
      <c r="G86" s="1" t="s">
        <v>74</v>
      </c>
      <c r="H86" s="1" t="s">
        <v>75</v>
      </c>
      <c r="I86" s="16">
        <v>1</v>
      </c>
      <c r="J86" s="16">
        <v>1</v>
      </c>
      <c r="K86" s="63">
        <v>0.05</v>
      </c>
      <c r="L86" s="16">
        <v>0</v>
      </c>
      <c r="M86" s="16">
        <v>0</v>
      </c>
      <c r="N86" s="16">
        <v>0</v>
      </c>
      <c r="O86" s="26">
        <f t="shared" si="8"/>
        <v>0</v>
      </c>
      <c r="P86" s="13" t="str">
        <f t="shared" si="6"/>
        <v>Bad</v>
      </c>
      <c r="Q86" s="13">
        <f t="shared" si="7"/>
        <v>0</v>
      </c>
      <c r="R86" s="16">
        <v>27611</v>
      </c>
      <c r="S86" s="49">
        <v>0.56319096000000002</v>
      </c>
      <c r="T86" s="27">
        <f>IF(Table4[[#This Row],[Link clicks]]=0,0,Table4[[#This Row],[Amount spent ]]/Table4[[#This Row],[Link clicks]])</f>
        <v>0</v>
      </c>
      <c r="U86" s="62" t="s">
        <v>407</v>
      </c>
      <c r="V86" s="1" t="s">
        <v>414</v>
      </c>
      <c r="W86" s="1">
        <v>0</v>
      </c>
    </row>
    <row r="87" spans="1:23" x14ac:dyDescent="0.25">
      <c r="A87" s="48" t="s">
        <v>72</v>
      </c>
      <c r="B87" s="14" t="s">
        <v>355</v>
      </c>
      <c r="C87" s="1" t="str">
        <f t="shared" si="5"/>
        <v>United Arab Emirates Target Group</v>
      </c>
      <c r="D87" s="1" t="s">
        <v>73</v>
      </c>
      <c r="E87" s="15" t="s">
        <v>342</v>
      </c>
      <c r="F87" s="1" t="s">
        <v>78</v>
      </c>
      <c r="G87" s="1" t="s">
        <v>74</v>
      </c>
      <c r="H87" s="1" t="s">
        <v>75</v>
      </c>
      <c r="I87" s="16">
        <v>2</v>
      </c>
      <c r="J87" s="16">
        <v>2</v>
      </c>
      <c r="K87" s="63">
        <v>0.02</v>
      </c>
      <c r="L87" s="16">
        <v>0</v>
      </c>
      <c r="M87" s="16">
        <v>1</v>
      </c>
      <c r="N87" s="16">
        <v>0</v>
      </c>
      <c r="O87" s="26">
        <f t="shared" si="8"/>
        <v>0</v>
      </c>
      <c r="P87" s="13" t="str">
        <f t="shared" si="6"/>
        <v>Bad</v>
      </c>
      <c r="Q87" s="13">
        <f t="shared" si="7"/>
        <v>0.5</v>
      </c>
      <c r="R87" s="16">
        <v>480</v>
      </c>
      <c r="S87" s="49">
        <v>3.4666300000000001E-3</v>
      </c>
      <c r="T87" s="27">
        <f>IF(Table4[[#This Row],[Link clicks]]=0,0,Table4[[#This Row],[Amount spent ]]/Table4[[#This Row],[Link clicks]])</f>
        <v>0</v>
      </c>
      <c r="U87" s="62" t="s">
        <v>407</v>
      </c>
      <c r="V87" s="1" t="s">
        <v>413</v>
      </c>
      <c r="W87" s="1">
        <v>0</v>
      </c>
    </row>
    <row r="88" spans="1:23" x14ac:dyDescent="0.25">
      <c r="A88" s="48" t="s">
        <v>72</v>
      </c>
      <c r="B88" s="14" t="s">
        <v>355</v>
      </c>
      <c r="C88" s="1" t="str">
        <f t="shared" si="5"/>
        <v>United Arab Emirates Target Group</v>
      </c>
      <c r="D88" s="1" t="s">
        <v>130</v>
      </c>
      <c r="E88" s="15" t="s">
        <v>334</v>
      </c>
      <c r="F88" s="1" t="s">
        <v>77</v>
      </c>
      <c r="G88" s="1" t="s">
        <v>74</v>
      </c>
      <c r="H88" s="1" t="s">
        <v>94</v>
      </c>
      <c r="I88" s="16">
        <v>77</v>
      </c>
      <c r="J88" s="16">
        <v>83</v>
      </c>
      <c r="K88" s="63">
        <v>0.02</v>
      </c>
      <c r="L88" s="16">
        <v>0</v>
      </c>
      <c r="M88" s="16">
        <v>8</v>
      </c>
      <c r="N88" s="16">
        <v>7</v>
      </c>
      <c r="O88" s="26">
        <f t="shared" si="8"/>
        <v>0</v>
      </c>
      <c r="P88" s="13" t="str">
        <f t="shared" si="6"/>
        <v>Bad</v>
      </c>
      <c r="Q88" s="13">
        <f t="shared" si="7"/>
        <v>9.6385542168674704E-2</v>
      </c>
      <c r="R88" s="16">
        <v>43476</v>
      </c>
      <c r="S88" s="49">
        <v>0.62955775999999997</v>
      </c>
      <c r="T88" s="27">
        <f>IF(Table4[[#This Row],[Link clicks]]=0,0,Table4[[#This Row],[Amount spent ]]/Table4[[#This Row],[Link clicks]])</f>
        <v>0</v>
      </c>
      <c r="U88" s="62" t="s">
        <v>407</v>
      </c>
      <c r="V88" s="1" t="s">
        <v>414</v>
      </c>
      <c r="W88" s="1">
        <v>0</v>
      </c>
    </row>
    <row r="89" spans="1:23" x14ac:dyDescent="0.25">
      <c r="A89" s="48" t="s">
        <v>72</v>
      </c>
      <c r="B89" s="14" t="s">
        <v>355</v>
      </c>
      <c r="C89" s="1" t="str">
        <f t="shared" si="5"/>
        <v>United Arab Emirates Target Group</v>
      </c>
      <c r="D89" s="1" t="s">
        <v>130</v>
      </c>
      <c r="E89" s="15" t="s">
        <v>340</v>
      </c>
      <c r="F89" s="1" t="s">
        <v>77</v>
      </c>
      <c r="G89" s="1" t="s">
        <v>74</v>
      </c>
      <c r="H89" s="1" t="s">
        <v>75</v>
      </c>
      <c r="I89" s="16">
        <v>1</v>
      </c>
      <c r="J89" s="16">
        <v>1</v>
      </c>
      <c r="K89" s="63">
        <v>0.01</v>
      </c>
      <c r="L89" s="16">
        <v>0</v>
      </c>
      <c r="M89" s="16">
        <v>0</v>
      </c>
      <c r="N89" s="16">
        <v>0</v>
      </c>
      <c r="O89" s="26">
        <f t="shared" si="8"/>
        <v>0</v>
      </c>
      <c r="P89" s="13" t="str">
        <f t="shared" si="6"/>
        <v>Bad</v>
      </c>
      <c r="Q89" s="13">
        <f t="shared" si="7"/>
        <v>0</v>
      </c>
      <c r="R89" s="16">
        <v>8140</v>
      </c>
      <c r="S89" s="49">
        <v>7.4011439999999998E-2</v>
      </c>
      <c r="T89" s="27">
        <f>IF(Table4[[#This Row],[Link clicks]]=0,0,Table4[[#This Row],[Amount spent ]]/Table4[[#This Row],[Link clicks]])</f>
        <v>0</v>
      </c>
      <c r="U89" s="62" t="s">
        <v>407</v>
      </c>
      <c r="V89" s="1" t="s">
        <v>414</v>
      </c>
      <c r="W89" s="1">
        <v>0</v>
      </c>
    </row>
    <row r="90" spans="1:23" x14ac:dyDescent="0.25">
      <c r="A90" s="48" t="s">
        <v>72</v>
      </c>
      <c r="B90" s="14" t="s">
        <v>355</v>
      </c>
      <c r="C90" s="1" t="str">
        <f t="shared" si="5"/>
        <v>United Arab Emirates Target Group</v>
      </c>
      <c r="D90" s="1" t="s">
        <v>130</v>
      </c>
      <c r="E90" s="15" t="s">
        <v>349</v>
      </c>
      <c r="F90" s="1" t="s">
        <v>78</v>
      </c>
      <c r="G90" s="1" t="s">
        <v>118</v>
      </c>
      <c r="H90" s="1" t="s">
        <v>75</v>
      </c>
      <c r="I90" s="16">
        <v>0</v>
      </c>
      <c r="J90" s="16">
        <v>0</v>
      </c>
      <c r="K90" s="63">
        <v>0</v>
      </c>
      <c r="L90" s="16">
        <v>0</v>
      </c>
      <c r="M90" s="16">
        <v>0</v>
      </c>
      <c r="N90" s="16">
        <v>0</v>
      </c>
      <c r="O90" s="26">
        <f t="shared" si="8"/>
        <v>0</v>
      </c>
      <c r="P90" s="13" t="str">
        <f t="shared" si="6"/>
        <v>Bad</v>
      </c>
      <c r="Q90" s="13">
        <v>0</v>
      </c>
      <c r="R90" s="16">
        <v>12108</v>
      </c>
      <c r="S90" s="49">
        <v>9.0028330000000004E-2</v>
      </c>
      <c r="T90" s="27">
        <f>IF(Table4[[#This Row],[Link clicks]]=0,0,Table4[[#This Row],[Amount spent ]]/Table4[[#This Row],[Link clicks]])</f>
        <v>0</v>
      </c>
      <c r="U90" s="62" t="s">
        <v>407</v>
      </c>
      <c r="V90" s="1" t="s">
        <v>414</v>
      </c>
      <c r="W90" s="1"/>
    </row>
    <row r="91" spans="1:23" x14ac:dyDescent="0.25">
      <c r="A91" s="48" t="s">
        <v>72</v>
      </c>
      <c r="B91" s="14" t="s">
        <v>355</v>
      </c>
      <c r="C91" s="1" t="str">
        <f t="shared" si="5"/>
        <v>United Arab Emirates Target Group</v>
      </c>
      <c r="D91" s="1" t="s">
        <v>73</v>
      </c>
      <c r="E91" s="15" t="s">
        <v>349</v>
      </c>
      <c r="F91" s="1" t="s">
        <v>78</v>
      </c>
      <c r="G91" s="1" t="s">
        <v>118</v>
      </c>
      <c r="H91" s="1" t="s">
        <v>75</v>
      </c>
      <c r="I91" s="16">
        <v>0</v>
      </c>
      <c r="J91" s="16">
        <v>0</v>
      </c>
      <c r="K91" s="63">
        <v>0</v>
      </c>
      <c r="L91" s="16">
        <v>0</v>
      </c>
      <c r="M91" s="16">
        <v>0</v>
      </c>
      <c r="N91" s="16">
        <v>0</v>
      </c>
      <c r="O91" s="26">
        <f t="shared" si="8"/>
        <v>0</v>
      </c>
      <c r="P91" s="13" t="str">
        <f t="shared" si="6"/>
        <v>Bad</v>
      </c>
      <c r="Q91" s="13">
        <v>0</v>
      </c>
      <c r="R91" s="16">
        <v>9829</v>
      </c>
      <c r="S91" s="49">
        <v>1.5950989900000001</v>
      </c>
      <c r="T91" s="27">
        <f>IF(Table4[[#This Row],[Link clicks]]=0,0,Table4[[#This Row],[Amount spent ]]/Table4[[#This Row],[Link clicks]])</f>
        <v>0</v>
      </c>
      <c r="U91" s="62" t="s">
        <v>407</v>
      </c>
      <c r="V91" s="1" t="s">
        <v>413</v>
      </c>
      <c r="W91" s="1"/>
    </row>
    <row r="92" spans="1:23" x14ac:dyDescent="0.25">
      <c r="A92" s="48" t="s">
        <v>72</v>
      </c>
      <c r="B92" s="14" t="s">
        <v>355</v>
      </c>
      <c r="C92" s="1" t="str">
        <f t="shared" si="5"/>
        <v>United Arab Emirates Target Group</v>
      </c>
      <c r="D92" s="1" t="s">
        <v>73</v>
      </c>
      <c r="E92" s="15" t="s">
        <v>343</v>
      </c>
      <c r="F92" s="1" t="s">
        <v>78</v>
      </c>
      <c r="G92" s="1" t="s">
        <v>74</v>
      </c>
      <c r="H92" s="1" t="s">
        <v>75</v>
      </c>
      <c r="I92" s="16">
        <v>1</v>
      </c>
      <c r="J92" s="16">
        <v>1</v>
      </c>
      <c r="K92" s="63">
        <v>0</v>
      </c>
      <c r="L92" s="16">
        <v>0</v>
      </c>
      <c r="M92" s="16">
        <v>0</v>
      </c>
      <c r="N92" s="16">
        <v>0</v>
      </c>
      <c r="O92" s="26">
        <f t="shared" si="8"/>
        <v>0</v>
      </c>
      <c r="P92" s="13" t="str">
        <f t="shared" si="6"/>
        <v>Bad</v>
      </c>
      <c r="Q92" s="13">
        <f>M92/J92</f>
        <v>0</v>
      </c>
      <c r="R92" s="16">
        <v>59467</v>
      </c>
      <c r="S92" s="49">
        <v>1.1502988599999999</v>
      </c>
      <c r="T92" s="27">
        <f>IF(Table4[[#This Row],[Link clicks]]=0,0,Table4[[#This Row],[Amount spent ]]/Table4[[#This Row],[Link clicks]])</f>
        <v>0</v>
      </c>
      <c r="U92" s="62" t="s">
        <v>407</v>
      </c>
      <c r="V92" s="1" t="s">
        <v>413</v>
      </c>
      <c r="W92" s="1">
        <v>0</v>
      </c>
    </row>
    <row r="93" spans="1:23" x14ac:dyDescent="0.25">
      <c r="A93" s="48" t="s">
        <v>72</v>
      </c>
      <c r="B93" s="14" t="s">
        <v>355</v>
      </c>
      <c r="C93" s="1" t="str">
        <f t="shared" si="5"/>
        <v>United Arab Emirates Target Group</v>
      </c>
      <c r="D93" s="1" t="s">
        <v>73</v>
      </c>
      <c r="E93" s="15" t="s">
        <v>341</v>
      </c>
      <c r="F93" s="1" t="s">
        <v>77</v>
      </c>
      <c r="G93" s="1" t="s">
        <v>74</v>
      </c>
      <c r="H93" s="1" t="s">
        <v>75</v>
      </c>
      <c r="I93" s="16">
        <v>1</v>
      </c>
      <c r="J93" s="16">
        <v>1</v>
      </c>
      <c r="K93" s="63">
        <v>0</v>
      </c>
      <c r="L93" s="16">
        <v>0</v>
      </c>
      <c r="M93" s="16">
        <v>1</v>
      </c>
      <c r="N93" s="16">
        <v>0</v>
      </c>
      <c r="O93" s="26">
        <f t="shared" si="8"/>
        <v>0</v>
      </c>
      <c r="P93" s="13" t="str">
        <f t="shared" si="6"/>
        <v>Bad</v>
      </c>
      <c r="Q93" s="13">
        <f>M93/J93</f>
        <v>1</v>
      </c>
      <c r="R93" s="16">
        <v>39451</v>
      </c>
      <c r="S93" s="49">
        <v>0.41840068000000002</v>
      </c>
      <c r="T93" s="27">
        <f>IF(Table4[[#This Row],[Link clicks]]=0,0,Table4[[#This Row],[Amount spent ]]/Table4[[#This Row],[Link clicks]])</f>
        <v>0</v>
      </c>
      <c r="U93" s="62" t="s">
        <v>407</v>
      </c>
      <c r="V93" s="1" t="s">
        <v>413</v>
      </c>
      <c r="W93" s="1">
        <v>0</v>
      </c>
    </row>
    <row r="94" spans="1:23" x14ac:dyDescent="0.25">
      <c r="A94" s="48" t="s">
        <v>72</v>
      </c>
      <c r="B94" s="14" t="s">
        <v>355</v>
      </c>
      <c r="C94" s="1" t="str">
        <f t="shared" si="5"/>
        <v>United Arab Emirates Target Group</v>
      </c>
      <c r="D94" s="1" t="s">
        <v>73</v>
      </c>
      <c r="E94" s="15" t="s">
        <v>350</v>
      </c>
      <c r="F94" s="1" t="s">
        <v>77</v>
      </c>
      <c r="G94" s="1" t="s">
        <v>118</v>
      </c>
      <c r="H94" s="1" t="s">
        <v>75</v>
      </c>
      <c r="I94" s="16">
        <v>0</v>
      </c>
      <c r="J94" s="16">
        <v>0</v>
      </c>
      <c r="K94" s="63">
        <v>0</v>
      </c>
      <c r="L94" s="16">
        <v>0</v>
      </c>
      <c r="M94" s="16">
        <v>0</v>
      </c>
      <c r="N94" s="16">
        <v>0</v>
      </c>
      <c r="O94" s="26">
        <f t="shared" si="8"/>
        <v>0</v>
      </c>
      <c r="P94" s="13" t="str">
        <f t="shared" si="6"/>
        <v>Bad</v>
      </c>
      <c r="Q94" s="13">
        <v>0</v>
      </c>
      <c r="R94" s="16">
        <v>14518</v>
      </c>
      <c r="S94" s="49">
        <v>0.13367339</v>
      </c>
      <c r="T94" s="27">
        <f>IF(Table4[[#This Row],[Link clicks]]=0,0,Table4[[#This Row],[Amount spent ]]/Table4[[#This Row],[Link clicks]])</f>
        <v>0</v>
      </c>
      <c r="U94" s="62" t="s">
        <v>407</v>
      </c>
      <c r="V94" s="1" t="s">
        <v>413</v>
      </c>
      <c r="W94" s="1"/>
    </row>
    <row r="95" spans="1:23" x14ac:dyDescent="0.25">
      <c r="A95" s="48" t="s">
        <v>72</v>
      </c>
      <c r="B95" s="14" t="s">
        <v>355</v>
      </c>
      <c r="C95" s="1" t="str">
        <f t="shared" si="5"/>
        <v>United Arab Emirates Target Group</v>
      </c>
      <c r="D95" s="1" t="s">
        <v>130</v>
      </c>
      <c r="E95" s="15" t="s">
        <v>345</v>
      </c>
      <c r="F95" s="1" t="s">
        <v>78</v>
      </c>
      <c r="G95" s="1" t="s">
        <v>74</v>
      </c>
      <c r="H95" s="1" t="s">
        <v>75</v>
      </c>
      <c r="I95" s="16">
        <v>1</v>
      </c>
      <c r="J95" s="16">
        <v>1</v>
      </c>
      <c r="K95" s="63">
        <v>0</v>
      </c>
      <c r="L95" s="16">
        <v>0</v>
      </c>
      <c r="M95" s="16">
        <v>0</v>
      </c>
      <c r="N95" s="16">
        <v>0</v>
      </c>
      <c r="O95" s="26">
        <f t="shared" si="8"/>
        <v>0</v>
      </c>
      <c r="P95" s="13" t="str">
        <f t="shared" si="6"/>
        <v>Bad</v>
      </c>
      <c r="Q95" s="13">
        <f>M95/J95</f>
        <v>0</v>
      </c>
      <c r="R95" s="16">
        <v>12144</v>
      </c>
      <c r="S95" s="49">
        <v>3.2803889800000001</v>
      </c>
      <c r="T95" s="27">
        <f>IF(Table4[[#This Row],[Link clicks]]=0,0,Table4[[#This Row],[Amount spent ]]/Table4[[#This Row],[Link clicks]])</f>
        <v>0</v>
      </c>
      <c r="U95" s="62" t="s">
        <v>407</v>
      </c>
      <c r="V95" s="1" t="s">
        <v>414</v>
      </c>
      <c r="W95" s="1">
        <v>0</v>
      </c>
    </row>
    <row r="96" spans="1:23" x14ac:dyDescent="0.25">
      <c r="A96" s="48" t="s">
        <v>72</v>
      </c>
      <c r="B96" s="14" t="s">
        <v>355</v>
      </c>
      <c r="C96" s="1" t="str">
        <f t="shared" si="5"/>
        <v>United Arab Emirates Target Group</v>
      </c>
      <c r="D96" s="1" t="s">
        <v>130</v>
      </c>
      <c r="E96" s="15" t="s">
        <v>350</v>
      </c>
      <c r="F96" s="1" t="s">
        <v>77</v>
      </c>
      <c r="G96" s="1" t="s">
        <v>118</v>
      </c>
      <c r="H96" s="1" t="s">
        <v>75</v>
      </c>
      <c r="I96" s="16">
        <v>0</v>
      </c>
      <c r="J96" s="16">
        <v>0</v>
      </c>
      <c r="K96" s="63">
        <v>0</v>
      </c>
      <c r="L96" s="16">
        <v>0</v>
      </c>
      <c r="M96" s="16">
        <v>0</v>
      </c>
      <c r="N96" s="16">
        <v>0</v>
      </c>
      <c r="O96" s="26">
        <f t="shared" si="8"/>
        <v>0</v>
      </c>
      <c r="P96" s="13" t="str">
        <f t="shared" si="6"/>
        <v>Bad</v>
      </c>
      <c r="Q96" s="13">
        <v>0</v>
      </c>
      <c r="R96" s="16">
        <v>14728</v>
      </c>
      <c r="S96" s="49">
        <v>0.16555942000000001</v>
      </c>
      <c r="T96" s="27">
        <f>IF(Table4[[#This Row],[Link clicks]]=0,0,Table4[[#This Row],[Amount spent ]]/Table4[[#This Row],[Link clicks]])</f>
        <v>0</v>
      </c>
      <c r="U96" s="62" t="s">
        <v>407</v>
      </c>
      <c r="V96" s="1" t="s">
        <v>414</v>
      </c>
      <c r="W96" s="1"/>
    </row>
    <row r="97" spans="1:23" x14ac:dyDescent="0.25">
      <c r="A97" s="48" t="s">
        <v>72</v>
      </c>
      <c r="B97" s="14" t="s">
        <v>355</v>
      </c>
      <c r="C97" s="1" t="str">
        <f t="shared" si="5"/>
        <v>United Arab Emirates Target Group</v>
      </c>
      <c r="D97" s="1" t="s">
        <v>130</v>
      </c>
      <c r="E97" s="15" t="s">
        <v>343</v>
      </c>
      <c r="F97" s="1" t="s">
        <v>78</v>
      </c>
      <c r="G97" s="1" t="s">
        <v>74</v>
      </c>
      <c r="H97" s="1" t="s">
        <v>75</v>
      </c>
      <c r="I97" s="16">
        <v>0</v>
      </c>
      <c r="J97" s="16">
        <v>0</v>
      </c>
      <c r="K97" s="63">
        <v>0</v>
      </c>
      <c r="L97" s="16">
        <v>0</v>
      </c>
      <c r="M97" s="16">
        <v>0</v>
      </c>
      <c r="N97" s="16">
        <v>0</v>
      </c>
      <c r="O97" s="26">
        <f t="shared" si="8"/>
        <v>0</v>
      </c>
      <c r="P97" s="13" t="str">
        <f t="shared" si="6"/>
        <v>Bad</v>
      </c>
      <c r="Q97" s="13">
        <v>0</v>
      </c>
      <c r="R97" s="16">
        <v>39230</v>
      </c>
      <c r="S97" s="49">
        <v>0.74434577999999996</v>
      </c>
      <c r="T97" s="27">
        <f>IF(Table4[[#This Row],[Link clicks]]=0,0,Table4[[#This Row],[Amount spent ]]/Table4[[#This Row],[Link clicks]])</f>
        <v>0</v>
      </c>
      <c r="U97" s="62" t="s">
        <v>407</v>
      </c>
      <c r="V97" s="1" t="s">
        <v>414</v>
      </c>
      <c r="W97" s="1"/>
    </row>
    <row r="98" spans="1:23" x14ac:dyDescent="0.25">
      <c r="A98" s="48" t="s">
        <v>72</v>
      </c>
      <c r="B98" s="14" t="s">
        <v>355</v>
      </c>
      <c r="C98" s="1" t="str">
        <f t="shared" si="5"/>
        <v>United Arab Emirates Target Group</v>
      </c>
      <c r="D98" s="1" t="s">
        <v>130</v>
      </c>
      <c r="E98" s="15" t="s">
        <v>342</v>
      </c>
      <c r="F98" s="1" t="s">
        <v>78</v>
      </c>
      <c r="G98" s="1" t="s">
        <v>74</v>
      </c>
      <c r="H98" s="1" t="s">
        <v>75</v>
      </c>
      <c r="I98" s="16">
        <v>0</v>
      </c>
      <c r="J98" s="16">
        <v>0</v>
      </c>
      <c r="K98" s="63">
        <v>0</v>
      </c>
      <c r="L98" s="16">
        <v>0</v>
      </c>
      <c r="M98" s="16">
        <v>0</v>
      </c>
      <c r="N98" s="16">
        <v>0</v>
      </c>
      <c r="O98" s="26">
        <f t="shared" si="8"/>
        <v>0</v>
      </c>
      <c r="P98" s="13" t="str">
        <f t="shared" si="6"/>
        <v>Bad</v>
      </c>
      <c r="Q98" s="13">
        <v>0</v>
      </c>
      <c r="R98" s="16">
        <v>7257</v>
      </c>
      <c r="S98" s="49">
        <v>6.9913290000000003E-2</v>
      </c>
      <c r="T98" s="27">
        <f>IF(Table4[[#This Row],[Link clicks]]=0,0,Table4[[#This Row],[Amount spent ]]/Table4[[#This Row],[Link clicks]])</f>
        <v>0</v>
      </c>
      <c r="U98" s="62" t="s">
        <v>407</v>
      </c>
      <c r="V98" s="1" t="s">
        <v>414</v>
      </c>
      <c r="W98" s="1"/>
    </row>
    <row r="99" spans="1:23" x14ac:dyDescent="0.25">
      <c r="A99" s="48" t="s">
        <v>72</v>
      </c>
      <c r="B99" s="14" t="s">
        <v>355</v>
      </c>
      <c r="C99" s="1" t="str">
        <f t="shared" si="5"/>
        <v>United Arab Emirates Target Group</v>
      </c>
      <c r="D99" s="1" t="s">
        <v>73</v>
      </c>
      <c r="E99" s="15" t="s">
        <v>340</v>
      </c>
      <c r="F99" s="1" t="s">
        <v>77</v>
      </c>
      <c r="G99" s="1" t="s">
        <v>74</v>
      </c>
      <c r="H99" s="1" t="s">
        <v>75</v>
      </c>
      <c r="I99" s="16">
        <v>3</v>
      </c>
      <c r="J99" s="16">
        <v>3</v>
      </c>
      <c r="K99" s="63">
        <v>0</v>
      </c>
      <c r="L99" s="16">
        <v>0</v>
      </c>
      <c r="M99" s="16">
        <v>1</v>
      </c>
      <c r="N99" s="16">
        <v>0</v>
      </c>
      <c r="O99" s="26">
        <f t="shared" si="8"/>
        <v>0</v>
      </c>
      <c r="P99" s="13" t="str">
        <f t="shared" si="6"/>
        <v>Bad</v>
      </c>
      <c r="Q99" s="13">
        <f>M99/J99</f>
        <v>0.33333333333333331</v>
      </c>
      <c r="R99" s="16">
        <v>77</v>
      </c>
      <c r="S99" s="49">
        <v>2.0710059999999999E-2</v>
      </c>
      <c r="T99" s="27">
        <f>IF(Table4[[#This Row],[Link clicks]]=0,0,Table4[[#This Row],[Amount spent ]]/Table4[[#This Row],[Link clicks]])</f>
        <v>0</v>
      </c>
      <c r="U99" s="62" t="s">
        <v>407</v>
      </c>
      <c r="V99" s="1" t="s">
        <v>413</v>
      </c>
      <c r="W99" s="1">
        <v>0</v>
      </c>
    </row>
    <row r="100" spans="1:23" x14ac:dyDescent="0.25">
      <c r="A100" s="48" t="s">
        <v>72</v>
      </c>
      <c r="B100" s="14" t="s">
        <v>355</v>
      </c>
      <c r="C100" s="1" t="str">
        <f t="shared" si="5"/>
        <v>United Arab Emirates Target Group</v>
      </c>
      <c r="D100" s="1" t="s">
        <v>130</v>
      </c>
      <c r="E100" s="15" t="s">
        <v>341</v>
      </c>
      <c r="F100" s="1" t="s">
        <v>77</v>
      </c>
      <c r="G100" s="1" t="s">
        <v>74</v>
      </c>
      <c r="H100" s="1" t="s">
        <v>75</v>
      </c>
      <c r="I100" s="16">
        <v>0</v>
      </c>
      <c r="J100" s="16">
        <v>0</v>
      </c>
      <c r="K100" s="63">
        <v>0</v>
      </c>
      <c r="L100" s="16">
        <v>0</v>
      </c>
      <c r="M100" s="16">
        <v>0</v>
      </c>
      <c r="N100" s="16">
        <v>0</v>
      </c>
      <c r="O100" s="26">
        <f t="shared" si="8"/>
        <v>0</v>
      </c>
      <c r="P100" s="13" t="str">
        <f t="shared" si="6"/>
        <v>Bad</v>
      </c>
      <c r="Q100" s="13">
        <v>0</v>
      </c>
      <c r="R100" s="16">
        <v>13931</v>
      </c>
      <c r="S100" s="49">
        <v>0.13343103000000001</v>
      </c>
      <c r="T100" s="27">
        <f>IF(Table4[[#This Row],[Link clicks]]=0,0,Table4[[#This Row],[Amount spent ]]/Table4[[#This Row],[Link clicks]])</f>
        <v>0</v>
      </c>
      <c r="U100" s="62" t="s">
        <v>407</v>
      </c>
      <c r="V100" s="1" t="s">
        <v>414</v>
      </c>
      <c r="W100" s="1"/>
    </row>
    <row r="101" spans="1:23" x14ac:dyDescent="0.25">
      <c r="A101" s="48" t="s">
        <v>72</v>
      </c>
      <c r="B101" s="14" t="s">
        <v>355</v>
      </c>
      <c r="C101" s="1" t="str">
        <f t="shared" si="5"/>
        <v>United Arab Emirates Target Group</v>
      </c>
      <c r="D101" s="1" t="s">
        <v>73</v>
      </c>
      <c r="E101" s="15" t="s">
        <v>345</v>
      </c>
      <c r="F101" s="1" t="s">
        <v>78</v>
      </c>
      <c r="G101" s="1" t="s">
        <v>74</v>
      </c>
      <c r="H101" s="1" t="s">
        <v>75</v>
      </c>
      <c r="I101" s="16">
        <v>1</v>
      </c>
      <c r="J101" s="16">
        <v>1</v>
      </c>
      <c r="K101" s="63">
        <v>0</v>
      </c>
      <c r="L101" s="16">
        <v>0</v>
      </c>
      <c r="M101" s="16">
        <v>1</v>
      </c>
      <c r="N101" s="16">
        <v>0</v>
      </c>
      <c r="O101" s="26">
        <f t="shared" si="8"/>
        <v>0</v>
      </c>
      <c r="P101" s="13" t="str">
        <f t="shared" si="6"/>
        <v>Bad</v>
      </c>
      <c r="Q101" s="13">
        <f t="shared" ref="Q101:Q164" si="9">M101/J101</f>
        <v>1</v>
      </c>
      <c r="R101" s="16">
        <v>11794</v>
      </c>
      <c r="S101" s="49">
        <v>0.13472544</v>
      </c>
      <c r="T101" s="27">
        <f>IF(Table4[[#This Row],[Link clicks]]=0,0,Table4[[#This Row],[Amount spent ]]/Table4[[#This Row],[Link clicks]])</f>
        <v>0</v>
      </c>
      <c r="U101" s="62" t="s">
        <v>407</v>
      </c>
      <c r="V101" s="1" t="s">
        <v>413</v>
      </c>
      <c r="W101" s="1">
        <v>0</v>
      </c>
    </row>
    <row r="102" spans="1:23" x14ac:dyDescent="0.25">
      <c r="A102" s="48" t="s">
        <v>71</v>
      </c>
      <c r="B102" s="12" t="s">
        <v>356</v>
      </c>
      <c r="C102" s="1" t="str">
        <f t="shared" si="5"/>
        <v>Bahrain Target Group</v>
      </c>
      <c r="D102" s="1" t="s">
        <v>73</v>
      </c>
      <c r="E102" s="12" t="s">
        <v>91</v>
      </c>
      <c r="F102" s="1" t="s">
        <v>77</v>
      </c>
      <c r="G102" s="1" t="s">
        <v>74</v>
      </c>
      <c r="H102" s="1" t="s">
        <v>92</v>
      </c>
      <c r="I102" s="16">
        <v>199617</v>
      </c>
      <c r="J102" s="16">
        <v>917627</v>
      </c>
      <c r="K102" s="63">
        <v>447.62</v>
      </c>
      <c r="L102" s="16">
        <v>4333</v>
      </c>
      <c r="M102" s="16">
        <v>181384</v>
      </c>
      <c r="N102" s="16">
        <v>2742</v>
      </c>
      <c r="O102" s="26">
        <f t="shared" si="8"/>
        <v>0.47219621916094451</v>
      </c>
      <c r="P102" s="13" t="str">
        <f t="shared" si="6"/>
        <v>Good</v>
      </c>
      <c r="Q102" s="13">
        <f t="shared" si="9"/>
        <v>0.19766637206620991</v>
      </c>
      <c r="R102" s="16">
        <v>9265</v>
      </c>
      <c r="S102" s="49">
        <v>7.4720750000000002E-2</v>
      </c>
      <c r="T102" s="27">
        <f>IF(Table4[[#This Row],[Link clicks]]=0,0,Table4[[#This Row],[Amount spent ]]/Table4[[#This Row],[Link clicks]])</f>
        <v>0.10330486960535426</v>
      </c>
      <c r="U102" s="62" t="s">
        <v>407</v>
      </c>
      <c r="V102" s="1" t="s">
        <v>413</v>
      </c>
      <c r="W102" s="1">
        <v>2.170656807786912E-2</v>
      </c>
    </row>
    <row r="103" spans="1:23" x14ac:dyDescent="0.25">
      <c r="A103" s="48" t="s">
        <v>71</v>
      </c>
      <c r="B103" s="12" t="s">
        <v>356</v>
      </c>
      <c r="C103" s="1" t="str">
        <f t="shared" si="5"/>
        <v>Bahrain Target Group</v>
      </c>
      <c r="D103" s="1" t="s">
        <v>73</v>
      </c>
      <c r="E103" s="12" t="s">
        <v>93</v>
      </c>
      <c r="F103" s="1" t="s">
        <v>78</v>
      </c>
      <c r="G103" s="1" t="s">
        <v>74</v>
      </c>
      <c r="H103" s="1" t="s">
        <v>94</v>
      </c>
      <c r="I103" s="16">
        <v>74032</v>
      </c>
      <c r="J103" s="16">
        <v>211900</v>
      </c>
      <c r="K103" s="63">
        <v>219.21</v>
      </c>
      <c r="L103" s="16">
        <v>2192</v>
      </c>
      <c r="M103" s="16">
        <v>162292</v>
      </c>
      <c r="N103" s="16">
        <v>271</v>
      </c>
      <c r="O103" s="26">
        <f t="shared" si="8"/>
        <v>1.0344502123643229</v>
      </c>
      <c r="P103" s="13" t="str">
        <f t="shared" si="6"/>
        <v>Good</v>
      </c>
      <c r="Q103" s="13">
        <f t="shared" si="9"/>
        <v>0.76588957055214724</v>
      </c>
      <c r="R103" s="16">
        <v>10352</v>
      </c>
      <c r="S103" s="49">
        <v>8.6198430000000006E-2</v>
      </c>
      <c r="T103" s="27">
        <f>IF(Table4[[#This Row],[Link clicks]]=0,0,Table4[[#This Row],[Amount spent ]]/Table4[[#This Row],[Link clicks]])</f>
        <v>0.10000456204379563</v>
      </c>
      <c r="U103" s="62" t="s">
        <v>407</v>
      </c>
      <c r="V103" s="1" t="s">
        <v>413</v>
      </c>
      <c r="W103" s="1">
        <v>2.960881780851524E-2</v>
      </c>
    </row>
    <row r="104" spans="1:23" x14ac:dyDescent="0.25">
      <c r="A104" s="48" t="s">
        <v>71</v>
      </c>
      <c r="B104" s="12" t="s">
        <v>356</v>
      </c>
      <c r="C104" s="1" t="str">
        <f t="shared" si="5"/>
        <v>Bahrain Target Group</v>
      </c>
      <c r="D104" s="1" t="s">
        <v>73</v>
      </c>
      <c r="E104" s="12" t="s">
        <v>93</v>
      </c>
      <c r="F104" s="1" t="s">
        <v>78</v>
      </c>
      <c r="G104" s="1" t="s">
        <v>74</v>
      </c>
      <c r="H104" s="1" t="s">
        <v>94</v>
      </c>
      <c r="I104" s="16">
        <v>183997</v>
      </c>
      <c r="J104" s="16">
        <v>712777</v>
      </c>
      <c r="K104" s="63">
        <v>197.06</v>
      </c>
      <c r="L104" s="16">
        <v>2690</v>
      </c>
      <c r="M104" s="16">
        <v>41795</v>
      </c>
      <c r="N104" s="16">
        <v>1498</v>
      </c>
      <c r="O104" s="26">
        <f t="shared" si="8"/>
        <v>0.37739713823538074</v>
      </c>
      <c r="P104" s="13" t="str">
        <f t="shared" si="6"/>
        <v>Good</v>
      </c>
      <c r="Q104" s="13">
        <f t="shared" si="9"/>
        <v>5.8636852760400517E-2</v>
      </c>
      <c r="R104" s="16">
        <v>14487</v>
      </c>
      <c r="S104" s="49">
        <v>9.5610509999999996E-2</v>
      </c>
      <c r="T104" s="27">
        <f>IF(Table4[[#This Row],[Link clicks]]=0,0,Table4[[#This Row],[Amount spent ]]/Table4[[#This Row],[Link clicks]])</f>
        <v>7.3256505576208178E-2</v>
      </c>
      <c r="U104" s="62" t="s">
        <v>407</v>
      </c>
      <c r="V104" s="1" t="s">
        <v>413</v>
      </c>
      <c r="W104" s="1">
        <v>1.461980358375408E-2</v>
      </c>
    </row>
    <row r="105" spans="1:23" x14ac:dyDescent="0.25">
      <c r="A105" s="48" t="s">
        <v>71</v>
      </c>
      <c r="B105" s="12" t="s">
        <v>356</v>
      </c>
      <c r="C105" s="1" t="str">
        <f t="shared" si="5"/>
        <v>Bahrain Target Group</v>
      </c>
      <c r="D105" s="1" t="s">
        <v>73</v>
      </c>
      <c r="E105" s="12" t="s">
        <v>95</v>
      </c>
      <c r="F105" s="1" t="s">
        <v>78</v>
      </c>
      <c r="G105" s="1" t="s">
        <v>74</v>
      </c>
      <c r="H105" s="1" t="s">
        <v>92</v>
      </c>
      <c r="I105" s="16">
        <v>98337</v>
      </c>
      <c r="J105" s="16">
        <v>449651</v>
      </c>
      <c r="K105" s="63">
        <v>195.85</v>
      </c>
      <c r="L105" s="16">
        <v>1631</v>
      </c>
      <c r="M105" s="16">
        <v>73604</v>
      </c>
      <c r="N105" s="16">
        <v>1944</v>
      </c>
      <c r="O105" s="26">
        <f t="shared" si="8"/>
        <v>0.36272575842153137</v>
      </c>
      <c r="P105" s="13" t="str">
        <f t="shared" si="6"/>
        <v>Good</v>
      </c>
      <c r="Q105" s="13">
        <f t="shared" si="9"/>
        <v>0.16369139621617654</v>
      </c>
      <c r="R105" s="16">
        <v>2316</v>
      </c>
      <c r="S105" s="49">
        <v>0.49318569000000001</v>
      </c>
      <c r="T105" s="27">
        <f>IF(Table4[[#This Row],[Link clicks]]=0,0,Table4[[#This Row],[Amount spent ]]/Table4[[#This Row],[Link clicks]])</f>
        <v>0.1200797057020233</v>
      </c>
      <c r="U105" s="62" t="s">
        <v>407</v>
      </c>
      <c r="V105" s="1" t="s">
        <v>413</v>
      </c>
      <c r="W105" s="1">
        <v>1.6585822223578101E-2</v>
      </c>
    </row>
    <row r="106" spans="1:23" x14ac:dyDescent="0.25">
      <c r="A106" s="48" t="s">
        <v>71</v>
      </c>
      <c r="B106" s="12" t="s">
        <v>356</v>
      </c>
      <c r="C106" s="1" t="str">
        <f t="shared" si="5"/>
        <v>Bahrain Target Group</v>
      </c>
      <c r="D106" s="1" t="s">
        <v>73</v>
      </c>
      <c r="E106" s="12" t="s">
        <v>96</v>
      </c>
      <c r="F106" s="1" t="s">
        <v>77</v>
      </c>
      <c r="G106" s="1" t="s">
        <v>74</v>
      </c>
      <c r="H106" s="1" t="s">
        <v>94</v>
      </c>
      <c r="I106" s="16">
        <v>91760</v>
      </c>
      <c r="J106" s="16">
        <v>194144</v>
      </c>
      <c r="K106" s="63">
        <v>143.31</v>
      </c>
      <c r="L106" s="16">
        <v>1354</v>
      </c>
      <c r="M106" s="16">
        <v>88318</v>
      </c>
      <c r="N106" s="16">
        <v>838</v>
      </c>
      <c r="O106" s="26">
        <f t="shared" si="8"/>
        <v>0.69742047140267016</v>
      </c>
      <c r="P106" s="13" t="str">
        <f t="shared" si="6"/>
        <v>Good</v>
      </c>
      <c r="Q106" s="13">
        <f t="shared" si="9"/>
        <v>0.45490975770562059</v>
      </c>
      <c r="R106" s="16">
        <v>9488</v>
      </c>
      <c r="S106" s="49">
        <v>0.10245556</v>
      </c>
      <c r="T106" s="27">
        <f>IF(Table4[[#This Row],[Link clicks]]=0,0,Table4[[#This Row],[Amount spent ]]/Table4[[#This Row],[Link clicks]])</f>
        <v>0.10584194977843427</v>
      </c>
      <c r="U106" s="62" t="s">
        <v>407</v>
      </c>
      <c r="V106" s="1" t="s">
        <v>413</v>
      </c>
      <c r="W106" s="1">
        <v>1.4755884917175241E-2</v>
      </c>
    </row>
    <row r="107" spans="1:23" x14ac:dyDescent="0.25">
      <c r="A107" s="48" t="s">
        <v>71</v>
      </c>
      <c r="B107" s="12" t="s">
        <v>356</v>
      </c>
      <c r="C107" s="1" t="str">
        <f t="shared" si="5"/>
        <v>Bahrain Target Group</v>
      </c>
      <c r="D107" s="1" t="s">
        <v>73</v>
      </c>
      <c r="E107" s="12" t="s">
        <v>97</v>
      </c>
      <c r="F107" s="1" t="s">
        <v>77</v>
      </c>
      <c r="G107" s="1" t="s">
        <v>98</v>
      </c>
      <c r="H107" s="1" t="s">
        <v>94</v>
      </c>
      <c r="I107" s="16">
        <v>126972</v>
      </c>
      <c r="J107" s="16">
        <v>476494</v>
      </c>
      <c r="K107" s="63">
        <v>129.66999999999999</v>
      </c>
      <c r="L107" s="16">
        <v>1212</v>
      </c>
      <c r="M107" s="16">
        <v>0</v>
      </c>
      <c r="N107" s="16">
        <v>0</v>
      </c>
      <c r="O107" s="26">
        <f t="shared" si="8"/>
        <v>0.25435787229220097</v>
      </c>
      <c r="P107" s="13" t="str">
        <f t="shared" si="6"/>
        <v>Good</v>
      </c>
      <c r="Q107" s="13">
        <f t="shared" si="9"/>
        <v>0</v>
      </c>
      <c r="R107" s="16">
        <v>3949</v>
      </c>
      <c r="S107" s="49">
        <v>0.7318384</v>
      </c>
      <c r="T107" s="27">
        <f>IF(Table4[[#This Row],[Link clicks]]=0,0,Table4[[#This Row],[Amount spent ]]/Table4[[#This Row],[Link clicks]])</f>
        <v>0.10698844884488448</v>
      </c>
      <c r="U107" s="62" t="s">
        <v>407</v>
      </c>
      <c r="V107" s="1" t="s">
        <v>413</v>
      </c>
      <c r="W107" s="1">
        <v>9.5454115868065393E-3</v>
      </c>
    </row>
    <row r="108" spans="1:23" x14ac:dyDescent="0.25">
      <c r="A108" s="48" t="s">
        <v>71</v>
      </c>
      <c r="B108" s="12" t="s">
        <v>356</v>
      </c>
      <c r="C108" s="1" t="str">
        <f t="shared" si="5"/>
        <v>Bahrain Target Group</v>
      </c>
      <c r="D108" s="1" t="s">
        <v>73</v>
      </c>
      <c r="E108" s="12" t="s">
        <v>99</v>
      </c>
      <c r="F108" s="1" t="s">
        <v>77</v>
      </c>
      <c r="G108" s="1" t="s">
        <v>74</v>
      </c>
      <c r="H108" s="1" t="s">
        <v>92</v>
      </c>
      <c r="I108" s="16">
        <v>98706</v>
      </c>
      <c r="J108" s="16">
        <v>259766</v>
      </c>
      <c r="K108" s="63">
        <v>122.72</v>
      </c>
      <c r="L108" s="16">
        <v>1290</v>
      </c>
      <c r="M108" s="16">
        <v>46834</v>
      </c>
      <c r="N108" s="16">
        <v>1308</v>
      </c>
      <c r="O108" s="26">
        <f t="shared" si="8"/>
        <v>0.49660078686202197</v>
      </c>
      <c r="P108" s="13" t="str">
        <f t="shared" si="6"/>
        <v>Good</v>
      </c>
      <c r="Q108" s="13">
        <f t="shared" si="9"/>
        <v>0.18029303296043361</v>
      </c>
      <c r="R108" s="16">
        <v>598</v>
      </c>
      <c r="S108" s="49">
        <v>4.5457300000000004E-3</v>
      </c>
      <c r="T108" s="27">
        <f>IF(Table4[[#This Row],[Link clicks]]=0,0,Table4[[#This Row],[Amount spent ]]/Table4[[#This Row],[Link clicks]])</f>
        <v>9.5131782945736432E-2</v>
      </c>
      <c r="U108" s="62" t="s">
        <v>407</v>
      </c>
      <c r="V108" s="1" t="s">
        <v>413</v>
      </c>
      <c r="W108" s="1">
        <v>1.3069114339553829E-2</v>
      </c>
    </row>
    <row r="109" spans="1:23" x14ac:dyDescent="0.25">
      <c r="A109" s="48" t="s">
        <v>71</v>
      </c>
      <c r="B109" s="12" t="s">
        <v>356</v>
      </c>
      <c r="C109" s="1" t="str">
        <f t="shared" si="5"/>
        <v>Bahrain Target Group</v>
      </c>
      <c r="D109" s="1" t="s">
        <v>73</v>
      </c>
      <c r="E109" s="12" t="s">
        <v>100</v>
      </c>
      <c r="F109" s="1" t="s">
        <v>78</v>
      </c>
      <c r="G109" s="1" t="s">
        <v>74</v>
      </c>
      <c r="H109" s="1" t="s">
        <v>94</v>
      </c>
      <c r="I109" s="16">
        <v>125215</v>
      </c>
      <c r="J109" s="16">
        <v>439064</v>
      </c>
      <c r="K109" s="63">
        <v>122.43</v>
      </c>
      <c r="L109" s="16">
        <v>1584</v>
      </c>
      <c r="M109" s="16">
        <v>23431</v>
      </c>
      <c r="N109" s="16">
        <v>1173</v>
      </c>
      <c r="O109" s="26">
        <f t="shared" si="8"/>
        <v>0.36076745075888711</v>
      </c>
      <c r="P109" s="13" t="str">
        <f t="shared" si="6"/>
        <v>Good</v>
      </c>
      <c r="Q109" s="13">
        <f t="shared" si="9"/>
        <v>5.3365796330375526E-2</v>
      </c>
      <c r="R109" s="16">
        <v>437</v>
      </c>
      <c r="S109" s="49">
        <v>6.1710100000000002E-3</v>
      </c>
      <c r="T109" s="27">
        <f>IF(Table4[[#This Row],[Link clicks]]=0,0,Table4[[#This Row],[Amount spent ]]/Table4[[#This Row],[Link clicks]])</f>
        <v>7.7291666666666675E-2</v>
      </c>
      <c r="U109" s="62" t="s">
        <v>407</v>
      </c>
      <c r="V109" s="1" t="s">
        <v>413</v>
      </c>
      <c r="W109" s="1">
        <v>1.2650241584474701E-2</v>
      </c>
    </row>
    <row r="110" spans="1:23" x14ac:dyDescent="0.25">
      <c r="A110" s="48" t="s">
        <v>71</v>
      </c>
      <c r="B110" s="12" t="s">
        <v>356</v>
      </c>
      <c r="C110" s="1" t="str">
        <f t="shared" si="5"/>
        <v>Bahrain Target Group</v>
      </c>
      <c r="D110" s="1" t="s">
        <v>73</v>
      </c>
      <c r="E110" s="12" t="s">
        <v>91</v>
      </c>
      <c r="F110" s="1" t="s">
        <v>77</v>
      </c>
      <c r="G110" s="1" t="s">
        <v>74</v>
      </c>
      <c r="H110" s="1" t="s">
        <v>92</v>
      </c>
      <c r="I110" s="16">
        <v>125472</v>
      </c>
      <c r="J110" s="16">
        <v>403255</v>
      </c>
      <c r="K110" s="63">
        <v>113.71</v>
      </c>
      <c r="L110" s="16">
        <v>1418</v>
      </c>
      <c r="M110" s="16">
        <v>25334</v>
      </c>
      <c r="N110" s="16">
        <v>846</v>
      </c>
      <c r="O110" s="26">
        <f t="shared" si="8"/>
        <v>0.35163854136960482</v>
      </c>
      <c r="P110" s="13" t="str">
        <f t="shared" si="6"/>
        <v>Good</v>
      </c>
      <c r="Q110" s="13">
        <f t="shared" si="9"/>
        <v>6.2823771558939132E-2</v>
      </c>
      <c r="R110" s="16">
        <v>9933</v>
      </c>
      <c r="S110" s="49">
        <v>0.10023209</v>
      </c>
      <c r="T110" s="27">
        <f>IF(Table4[[#This Row],[Link clicks]]=0,0,Table4[[#This Row],[Amount spent ]]/Table4[[#This Row],[Link clicks]])</f>
        <v>8.0190409026798304E-2</v>
      </c>
      <c r="U110" s="62" t="s">
        <v>407</v>
      </c>
      <c r="V110" s="1" t="s">
        <v>413</v>
      </c>
      <c r="W110" s="1">
        <v>1.1301326192297879E-2</v>
      </c>
    </row>
    <row r="111" spans="1:23" x14ac:dyDescent="0.25">
      <c r="A111" s="48" t="s">
        <v>71</v>
      </c>
      <c r="B111" s="12" t="s">
        <v>356</v>
      </c>
      <c r="C111" s="1" t="str">
        <f t="shared" si="5"/>
        <v>Bahrain Target Group</v>
      </c>
      <c r="D111" s="1" t="s">
        <v>73</v>
      </c>
      <c r="E111" s="12" t="s">
        <v>101</v>
      </c>
      <c r="F111" s="1" t="s">
        <v>77</v>
      </c>
      <c r="G111" s="1" t="s">
        <v>74</v>
      </c>
      <c r="H111" s="1" t="s">
        <v>94</v>
      </c>
      <c r="I111" s="16">
        <v>62289</v>
      </c>
      <c r="J111" s="16">
        <v>195501</v>
      </c>
      <c r="K111" s="63">
        <v>107.1</v>
      </c>
      <c r="L111" s="16">
        <v>1205</v>
      </c>
      <c r="M111" s="16">
        <v>46955</v>
      </c>
      <c r="N111" s="16">
        <v>955</v>
      </c>
      <c r="O111" s="26">
        <f t="shared" si="8"/>
        <v>0.61636513368218071</v>
      </c>
      <c r="P111" s="13" t="str">
        <f t="shared" si="6"/>
        <v>Good</v>
      </c>
      <c r="Q111" s="13">
        <f t="shared" si="9"/>
        <v>0.24017779960204808</v>
      </c>
      <c r="R111" s="16">
        <v>468</v>
      </c>
      <c r="S111" s="49">
        <v>3.3631300000000002E-3</v>
      </c>
      <c r="T111" s="27">
        <f>IF(Table4[[#This Row],[Link clicks]]=0,0,Table4[[#This Row],[Amount spent ]]/Table4[[#This Row],[Link clicks]])</f>
        <v>8.8879668049792526E-2</v>
      </c>
      <c r="U111" s="62" t="s">
        <v>407</v>
      </c>
      <c r="V111" s="1" t="s">
        <v>413</v>
      </c>
      <c r="W111" s="1">
        <v>1.9345309765769241E-2</v>
      </c>
    </row>
    <row r="112" spans="1:23" x14ac:dyDescent="0.25">
      <c r="A112" s="48" t="s">
        <v>71</v>
      </c>
      <c r="B112" s="12" t="s">
        <v>356</v>
      </c>
      <c r="C112" s="1" t="str">
        <f t="shared" si="5"/>
        <v>Bahrain Target Group</v>
      </c>
      <c r="D112" s="1" t="s">
        <v>73</v>
      </c>
      <c r="E112" s="12" t="s">
        <v>101</v>
      </c>
      <c r="F112" s="1" t="s">
        <v>77</v>
      </c>
      <c r="G112" s="1" t="s">
        <v>74</v>
      </c>
      <c r="H112" s="1" t="s">
        <v>94</v>
      </c>
      <c r="I112" s="16">
        <v>108608</v>
      </c>
      <c r="J112" s="16">
        <v>269378</v>
      </c>
      <c r="K112" s="63">
        <v>76.66</v>
      </c>
      <c r="L112" s="16">
        <v>819</v>
      </c>
      <c r="M112" s="16">
        <v>14251</v>
      </c>
      <c r="N112" s="16">
        <v>411</v>
      </c>
      <c r="O112" s="26">
        <f t="shared" si="8"/>
        <v>0.30403373697926334</v>
      </c>
      <c r="P112" s="13" t="str">
        <f t="shared" si="6"/>
        <v>Good</v>
      </c>
      <c r="Q112" s="13">
        <f t="shared" si="9"/>
        <v>5.2903355136648129E-2</v>
      </c>
      <c r="R112" s="16">
        <v>7917</v>
      </c>
      <c r="S112" s="49">
        <v>2.12822581</v>
      </c>
      <c r="T112" s="27">
        <f>IF(Table4[[#This Row],[Link clicks]]=0,0,Table4[[#This Row],[Amount spent ]]/Table4[[#This Row],[Link clicks]])</f>
        <v>9.36019536019536E-2</v>
      </c>
      <c r="U112" s="62" t="s">
        <v>407</v>
      </c>
      <c r="V112" s="1" t="s">
        <v>413</v>
      </c>
      <c r="W112" s="1">
        <v>7.5408809664113136E-3</v>
      </c>
    </row>
    <row r="113" spans="1:23" x14ac:dyDescent="0.25">
      <c r="A113" s="48" t="s">
        <v>71</v>
      </c>
      <c r="B113" s="12" t="s">
        <v>356</v>
      </c>
      <c r="C113" s="1" t="str">
        <f t="shared" si="5"/>
        <v>Bahrain Target Group</v>
      </c>
      <c r="D113" s="1" t="s">
        <v>73</v>
      </c>
      <c r="E113" s="12" t="s">
        <v>102</v>
      </c>
      <c r="F113" s="1" t="s">
        <v>78</v>
      </c>
      <c r="G113" s="1" t="s">
        <v>74</v>
      </c>
      <c r="H113" s="1" t="s">
        <v>92</v>
      </c>
      <c r="I113" s="16">
        <v>88959</v>
      </c>
      <c r="J113" s="16">
        <v>257183</v>
      </c>
      <c r="K113" s="63">
        <v>73.05</v>
      </c>
      <c r="L113" s="16">
        <v>881</v>
      </c>
      <c r="M113" s="16">
        <v>14436</v>
      </c>
      <c r="N113" s="16">
        <v>633</v>
      </c>
      <c r="O113" s="26">
        <f t="shared" si="8"/>
        <v>0.34255763405823869</v>
      </c>
      <c r="P113" s="13" t="str">
        <f t="shared" si="6"/>
        <v>Good</v>
      </c>
      <c r="Q113" s="13">
        <f t="shared" si="9"/>
        <v>5.613123729017859E-2</v>
      </c>
      <c r="R113" s="16">
        <v>6845</v>
      </c>
      <c r="S113" s="49">
        <v>6.3624109999999998E-2</v>
      </c>
      <c r="T113" s="27">
        <f>IF(Table4[[#This Row],[Link clicks]]=0,0,Table4[[#This Row],[Amount spent ]]/Table4[[#This Row],[Link clicks]])</f>
        <v>8.2917139614074917E-2</v>
      </c>
      <c r="U113" s="62" t="s">
        <v>407</v>
      </c>
      <c r="V113" s="1" t="s">
        <v>413</v>
      </c>
      <c r="W113" s="1">
        <v>9.9034386627547526E-3</v>
      </c>
    </row>
    <row r="114" spans="1:23" x14ac:dyDescent="0.25">
      <c r="A114" s="48" t="s">
        <v>71</v>
      </c>
      <c r="B114" s="12" t="s">
        <v>356</v>
      </c>
      <c r="C114" s="1" t="str">
        <f t="shared" si="5"/>
        <v>Bahrain Target Group</v>
      </c>
      <c r="D114" s="1" t="s">
        <v>73</v>
      </c>
      <c r="E114" s="12" t="s">
        <v>102</v>
      </c>
      <c r="F114" s="1" t="s">
        <v>78</v>
      </c>
      <c r="G114" s="1" t="s">
        <v>74</v>
      </c>
      <c r="H114" s="1" t="s">
        <v>92</v>
      </c>
      <c r="I114" s="16">
        <v>52704</v>
      </c>
      <c r="J114" s="16">
        <v>116927</v>
      </c>
      <c r="K114" s="63">
        <v>72.91</v>
      </c>
      <c r="L114" s="16">
        <v>601</v>
      </c>
      <c r="M114" s="16">
        <v>38730</v>
      </c>
      <c r="N114" s="16">
        <v>252</v>
      </c>
      <c r="O114" s="26">
        <f t="shared" si="8"/>
        <v>0.51399591197926908</v>
      </c>
      <c r="P114" s="13" t="str">
        <f t="shared" si="6"/>
        <v>Good</v>
      </c>
      <c r="Q114" s="13">
        <f t="shared" si="9"/>
        <v>0.33123230733705644</v>
      </c>
      <c r="R114" s="16">
        <v>10240</v>
      </c>
      <c r="S114" s="49">
        <v>9.0014860000000002E-2</v>
      </c>
      <c r="T114" s="27">
        <f>IF(Table4[[#This Row],[Link clicks]]=0,0,Table4[[#This Row],[Amount spent ]]/Table4[[#This Row],[Link clicks]])</f>
        <v>0.12131447587354409</v>
      </c>
      <c r="U114" s="62" t="s">
        <v>407</v>
      </c>
      <c r="V114" s="1" t="s">
        <v>413</v>
      </c>
      <c r="W114" s="1">
        <v>1.1403309046751671E-2</v>
      </c>
    </row>
    <row r="115" spans="1:23" x14ac:dyDescent="0.25">
      <c r="A115" s="48" t="s">
        <v>71</v>
      </c>
      <c r="B115" s="12" t="s">
        <v>356</v>
      </c>
      <c r="C115" s="1" t="str">
        <f t="shared" si="5"/>
        <v>Bahrain Target Group</v>
      </c>
      <c r="D115" s="1" t="s">
        <v>73</v>
      </c>
      <c r="E115" s="12" t="s">
        <v>103</v>
      </c>
      <c r="F115" s="1" t="s">
        <v>77</v>
      </c>
      <c r="G115" s="1" t="s">
        <v>74</v>
      </c>
      <c r="H115" s="1" t="s">
        <v>94</v>
      </c>
      <c r="I115" s="16">
        <v>103800</v>
      </c>
      <c r="J115" s="16">
        <v>246369</v>
      </c>
      <c r="K115" s="63">
        <v>72.27</v>
      </c>
      <c r="L115" s="16">
        <v>588</v>
      </c>
      <c r="M115" s="16">
        <v>7223</v>
      </c>
      <c r="N115" s="16">
        <v>6199</v>
      </c>
      <c r="O115" s="26">
        <f t="shared" si="8"/>
        <v>0.23866639065791556</v>
      </c>
      <c r="P115" s="13" t="str">
        <f t="shared" si="6"/>
        <v>Good</v>
      </c>
      <c r="Q115" s="13">
        <f t="shared" si="9"/>
        <v>2.9317811900036125E-2</v>
      </c>
      <c r="R115" s="16">
        <v>7851</v>
      </c>
      <c r="S115" s="49">
        <v>0.11288281999999999</v>
      </c>
      <c r="T115" s="27">
        <f>IF(Table4[[#This Row],[Link clicks]]=0,0,Table4[[#This Row],[Amount spent ]]/Table4[[#This Row],[Link clicks]])</f>
        <v>0.12290816326530611</v>
      </c>
      <c r="U115" s="62" t="s">
        <v>407</v>
      </c>
      <c r="V115" s="1" t="s">
        <v>413</v>
      </c>
      <c r="W115" s="1">
        <v>5.6647398843930634E-3</v>
      </c>
    </row>
    <row r="116" spans="1:23" x14ac:dyDescent="0.25">
      <c r="A116" s="48" t="s">
        <v>71</v>
      </c>
      <c r="B116" s="12" t="s">
        <v>356</v>
      </c>
      <c r="C116" s="1" t="str">
        <f t="shared" si="5"/>
        <v>Bahrain Target Group</v>
      </c>
      <c r="D116" s="1" t="s">
        <v>73</v>
      </c>
      <c r="E116" s="12" t="s">
        <v>104</v>
      </c>
      <c r="F116" s="1" t="s">
        <v>77</v>
      </c>
      <c r="G116" s="1" t="s">
        <v>98</v>
      </c>
      <c r="H116" s="1" t="s">
        <v>94</v>
      </c>
      <c r="I116" s="16">
        <v>70815</v>
      </c>
      <c r="J116" s="16">
        <v>207642</v>
      </c>
      <c r="K116" s="63">
        <v>58.09</v>
      </c>
      <c r="L116" s="16">
        <v>630</v>
      </c>
      <c r="M116" s="16">
        <v>0</v>
      </c>
      <c r="N116" s="16">
        <v>0</v>
      </c>
      <c r="O116" s="26">
        <f t="shared" si="8"/>
        <v>0.30340682520877277</v>
      </c>
      <c r="P116" s="13" t="str">
        <f t="shared" si="6"/>
        <v>Good</v>
      </c>
      <c r="Q116" s="13">
        <f t="shared" si="9"/>
        <v>0</v>
      </c>
      <c r="R116" s="16">
        <v>247</v>
      </c>
      <c r="S116" s="49">
        <v>3.30497E-3</v>
      </c>
      <c r="T116" s="27">
        <f>IF(Table4[[#This Row],[Link clicks]]=0,0,Table4[[#This Row],[Amount spent ]]/Table4[[#This Row],[Link clicks]])</f>
        <v>9.2206349206349209E-2</v>
      </c>
      <c r="U116" s="62" t="s">
        <v>407</v>
      </c>
      <c r="V116" s="1" t="s">
        <v>413</v>
      </c>
      <c r="W116" s="1">
        <v>8.8964202499470443E-3</v>
      </c>
    </row>
    <row r="117" spans="1:23" x14ac:dyDescent="0.25">
      <c r="A117" s="48" t="s">
        <v>71</v>
      </c>
      <c r="B117" s="12" t="s">
        <v>356</v>
      </c>
      <c r="C117" s="1" t="str">
        <f t="shared" si="5"/>
        <v>Bahrain Target Group</v>
      </c>
      <c r="D117" s="1" t="s">
        <v>73</v>
      </c>
      <c r="E117" s="12" t="s">
        <v>105</v>
      </c>
      <c r="F117" s="1" t="s">
        <v>78</v>
      </c>
      <c r="G117" s="1" t="s">
        <v>98</v>
      </c>
      <c r="H117" s="1" t="s">
        <v>94</v>
      </c>
      <c r="I117" s="16">
        <v>74736</v>
      </c>
      <c r="J117" s="16">
        <v>175079</v>
      </c>
      <c r="K117" s="63">
        <v>49.94</v>
      </c>
      <c r="L117" s="16">
        <v>380</v>
      </c>
      <c r="M117" s="16">
        <v>0</v>
      </c>
      <c r="N117" s="16">
        <v>0</v>
      </c>
      <c r="O117" s="26">
        <f t="shared" si="8"/>
        <v>0.21704487688414945</v>
      </c>
      <c r="P117" s="13" t="str">
        <f t="shared" si="6"/>
        <v>Good</v>
      </c>
      <c r="Q117" s="13">
        <f t="shared" si="9"/>
        <v>0</v>
      </c>
      <c r="R117" s="16">
        <v>7337</v>
      </c>
      <c r="S117" s="49">
        <v>7.1900359999999996E-2</v>
      </c>
      <c r="T117" s="27">
        <f>IF(Table4[[#This Row],[Link clicks]]=0,0,Table4[[#This Row],[Amount spent ]]/Table4[[#This Row],[Link clicks]])</f>
        <v>0.13142105263157894</v>
      </c>
      <c r="U117" s="62" t="s">
        <v>407</v>
      </c>
      <c r="V117" s="1" t="s">
        <v>413</v>
      </c>
      <c r="W117" s="1">
        <v>5.0845643331192463E-3</v>
      </c>
    </row>
    <row r="118" spans="1:23" x14ac:dyDescent="0.25">
      <c r="A118" s="48" t="s">
        <v>71</v>
      </c>
      <c r="B118" s="12" t="s">
        <v>356</v>
      </c>
      <c r="C118" s="1" t="str">
        <f t="shared" si="5"/>
        <v>Bahrain Target Group</v>
      </c>
      <c r="D118" s="1" t="s">
        <v>73</v>
      </c>
      <c r="E118" s="12" t="s">
        <v>100</v>
      </c>
      <c r="F118" s="1" t="s">
        <v>78</v>
      </c>
      <c r="G118" s="1" t="s">
        <v>74</v>
      </c>
      <c r="H118" s="1" t="s">
        <v>94</v>
      </c>
      <c r="I118" s="16">
        <v>31512</v>
      </c>
      <c r="J118" s="16">
        <v>51773</v>
      </c>
      <c r="K118" s="63">
        <v>48.4</v>
      </c>
      <c r="L118" s="16">
        <v>538</v>
      </c>
      <c r="M118" s="16">
        <v>32971</v>
      </c>
      <c r="N118" s="16">
        <v>143</v>
      </c>
      <c r="O118" s="26">
        <f t="shared" si="8"/>
        <v>1.0391516813783246</v>
      </c>
      <c r="P118" s="13" t="str">
        <f t="shared" si="6"/>
        <v>Good</v>
      </c>
      <c r="Q118" s="13">
        <f t="shared" si="9"/>
        <v>0.63683773395399146</v>
      </c>
      <c r="R118" s="16">
        <v>33479</v>
      </c>
      <c r="S118" s="49">
        <v>1.0624206700000001</v>
      </c>
      <c r="T118" s="27">
        <f>IF(Table4[[#This Row],[Link clicks]]=0,0,Table4[[#This Row],[Amount spent ]]/Table4[[#This Row],[Link clicks]])</f>
        <v>8.9962825278810402E-2</v>
      </c>
      <c r="U118" s="62" t="s">
        <v>407</v>
      </c>
      <c r="V118" s="1" t="s">
        <v>413</v>
      </c>
      <c r="W118" s="1">
        <v>1.707286113226707E-2</v>
      </c>
    </row>
    <row r="119" spans="1:23" x14ac:dyDescent="0.25">
      <c r="A119" s="48" t="s">
        <v>71</v>
      </c>
      <c r="B119" s="12" t="s">
        <v>356</v>
      </c>
      <c r="C119" s="1" t="str">
        <f t="shared" si="5"/>
        <v>Bahrain Target Group</v>
      </c>
      <c r="D119" s="1" t="s">
        <v>73</v>
      </c>
      <c r="E119" s="12" t="s">
        <v>106</v>
      </c>
      <c r="F119" s="1" t="s">
        <v>78</v>
      </c>
      <c r="G119" s="1" t="s">
        <v>74</v>
      </c>
      <c r="H119" s="1" t="s">
        <v>92</v>
      </c>
      <c r="I119" s="16">
        <v>54686</v>
      </c>
      <c r="J119" s="16">
        <v>128492</v>
      </c>
      <c r="K119" s="63">
        <v>35.21</v>
      </c>
      <c r="L119" s="16">
        <v>378</v>
      </c>
      <c r="M119" s="16">
        <v>5532</v>
      </c>
      <c r="N119" s="16">
        <v>193</v>
      </c>
      <c r="O119" s="26">
        <f t="shared" si="8"/>
        <v>0.29418173894094574</v>
      </c>
      <c r="P119" s="13" t="str">
        <f t="shared" si="6"/>
        <v>Good</v>
      </c>
      <c r="Q119" s="13">
        <f t="shared" si="9"/>
        <v>4.3053264016436818E-2</v>
      </c>
      <c r="R119" s="16">
        <v>7891</v>
      </c>
      <c r="S119" s="49">
        <v>3.5180561699999999</v>
      </c>
      <c r="T119" s="27">
        <f>IF(Table4[[#This Row],[Link clicks]]=0,0,Table4[[#This Row],[Amount spent ]]/Table4[[#This Row],[Link clicks]])</f>
        <v>9.3148148148148147E-2</v>
      </c>
      <c r="U119" s="62" t="s">
        <v>407</v>
      </c>
      <c r="V119" s="1" t="s">
        <v>413</v>
      </c>
      <c r="W119" s="1">
        <v>6.9121895914859366E-3</v>
      </c>
    </row>
    <row r="120" spans="1:23" x14ac:dyDescent="0.25">
      <c r="A120" s="48" t="s">
        <v>71</v>
      </c>
      <c r="B120" s="12" t="s">
        <v>356</v>
      </c>
      <c r="C120" s="1" t="str">
        <f t="shared" si="5"/>
        <v>Bahrain Target Group</v>
      </c>
      <c r="D120" s="1" t="s">
        <v>73</v>
      </c>
      <c r="E120" s="12" t="s">
        <v>96</v>
      </c>
      <c r="F120" s="1" t="s">
        <v>77</v>
      </c>
      <c r="G120" s="1" t="s">
        <v>74</v>
      </c>
      <c r="H120" s="1" t="s">
        <v>94</v>
      </c>
      <c r="I120" s="16">
        <v>55777</v>
      </c>
      <c r="J120" s="16">
        <v>102987</v>
      </c>
      <c r="K120" s="63">
        <v>28.39</v>
      </c>
      <c r="L120" s="16">
        <v>246</v>
      </c>
      <c r="M120" s="16">
        <v>5387</v>
      </c>
      <c r="N120" s="16">
        <v>228</v>
      </c>
      <c r="O120" s="26">
        <f t="shared" si="8"/>
        <v>0.23886509947857498</v>
      </c>
      <c r="P120" s="13" t="str">
        <f t="shared" si="6"/>
        <v>Good</v>
      </c>
      <c r="Q120" s="13">
        <f t="shared" si="9"/>
        <v>5.2307572800450543E-2</v>
      </c>
      <c r="R120" s="16">
        <v>1603</v>
      </c>
      <c r="S120" s="49">
        <v>0.28122807</v>
      </c>
      <c r="T120" s="27">
        <f>IF(Table4[[#This Row],[Link clicks]]=0,0,Table4[[#This Row],[Amount spent ]]/Table4[[#This Row],[Link clicks]])</f>
        <v>0.11540650406504065</v>
      </c>
      <c r="U120" s="62" t="s">
        <v>407</v>
      </c>
      <c r="V120" s="1" t="s">
        <v>413</v>
      </c>
      <c r="W120" s="1">
        <v>4.4104200656184447E-3</v>
      </c>
    </row>
    <row r="121" spans="1:23" x14ac:dyDescent="0.25">
      <c r="A121" s="48" t="s">
        <v>71</v>
      </c>
      <c r="B121" s="12" t="s">
        <v>356</v>
      </c>
      <c r="C121" s="1" t="str">
        <f t="shared" si="5"/>
        <v>Bahrain Target Group</v>
      </c>
      <c r="D121" s="1" t="s">
        <v>73</v>
      </c>
      <c r="E121" s="12" t="s">
        <v>107</v>
      </c>
      <c r="F121" s="1" t="s">
        <v>78</v>
      </c>
      <c r="G121" s="1" t="s">
        <v>74</v>
      </c>
      <c r="H121" s="1" t="s">
        <v>75</v>
      </c>
      <c r="I121" s="16">
        <v>32792</v>
      </c>
      <c r="J121" s="16">
        <v>94339</v>
      </c>
      <c r="K121" s="63">
        <v>26.83</v>
      </c>
      <c r="L121" s="16">
        <v>24</v>
      </c>
      <c r="M121" s="16">
        <v>3747</v>
      </c>
      <c r="N121" s="16">
        <v>38</v>
      </c>
      <c r="O121" s="26">
        <f t="shared" si="8"/>
        <v>2.5440167905108172E-2</v>
      </c>
      <c r="P121" s="13" t="str">
        <f t="shared" si="6"/>
        <v>Bad</v>
      </c>
      <c r="Q121" s="13">
        <f t="shared" si="9"/>
        <v>3.9718462141850139E-2</v>
      </c>
      <c r="R121" s="16">
        <v>3606</v>
      </c>
      <c r="S121" s="49">
        <v>4.4895980000000002E-2</v>
      </c>
      <c r="T121" s="27">
        <f>IF(Table4[[#This Row],[Link clicks]]=0,0,Table4[[#This Row],[Amount spent ]]/Table4[[#This Row],[Link clicks]])</f>
        <v>1.1179166666666667</v>
      </c>
      <c r="U121" s="62" t="s">
        <v>407</v>
      </c>
      <c r="V121" s="1" t="s">
        <v>413</v>
      </c>
      <c r="W121" s="1">
        <v>7.318858258111735E-4</v>
      </c>
    </row>
    <row r="122" spans="1:23" x14ac:dyDescent="0.25">
      <c r="A122" s="48" t="s">
        <v>71</v>
      </c>
      <c r="B122" s="12" t="s">
        <v>356</v>
      </c>
      <c r="C122" s="1" t="str">
        <f t="shared" si="5"/>
        <v>Bahrain Target Group</v>
      </c>
      <c r="D122" s="1" t="s">
        <v>73</v>
      </c>
      <c r="E122" s="12" t="s">
        <v>108</v>
      </c>
      <c r="F122" s="1" t="s">
        <v>77</v>
      </c>
      <c r="G122" s="1" t="s">
        <v>98</v>
      </c>
      <c r="H122" s="1" t="s">
        <v>94</v>
      </c>
      <c r="I122" s="16">
        <v>43544</v>
      </c>
      <c r="J122" s="16">
        <v>87119</v>
      </c>
      <c r="K122" s="63">
        <v>24.89</v>
      </c>
      <c r="L122" s="16">
        <v>179</v>
      </c>
      <c r="M122" s="16">
        <v>0</v>
      </c>
      <c r="N122" s="16">
        <v>0</v>
      </c>
      <c r="O122" s="26">
        <f t="shared" si="8"/>
        <v>0.20546608661715585</v>
      </c>
      <c r="P122" s="13" t="str">
        <f t="shared" si="6"/>
        <v>Good</v>
      </c>
      <c r="Q122" s="13">
        <f t="shared" si="9"/>
        <v>0</v>
      </c>
      <c r="R122" s="16">
        <v>4830</v>
      </c>
      <c r="S122" s="49">
        <v>5.4876389999999997E-2</v>
      </c>
      <c r="T122" s="27">
        <f>IF(Table4[[#This Row],[Link clicks]]=0,0,Table4[[#This Row],[Amount spent ]]/Table4[[#This Row],[Link clicks]])</f>
        <v>0.13905027932960895</v>
      </c>
      <c r="U122" s="62" t="s">
        <v>407</v>
      </c>
      <c r="V122" s="1" t="s">
        <v>413</v>
      </c>
      <c r="W122" s="1">
        <v>4.1107844938453059E-3</v>
      </c>
    </row>
    <row r="123" spans="1:23" x14ac:dyDescent="0.25">
      <c r="A123" s="48" t="s">
        <v>71</v>
      </c>
      <c r="B123" s="12" t="s">
        <v>356</v>
      </c>
      <c r="C123" s="1" t="str">
        <f t="shared" si="5"/>
        <v>Bahrain Target Group</v>
      </c>
      <c r="D123" s="1" t="s">
        <v>73</v>
      </c>
      <c r="E123" s="12" t="s">
        <v>109</v>
      </c>
      <c r="F123" s="1" t="s">
        <v>78</v>
      </c>
      <c r="G123" s="1" t="s">
        <v>74</v>
      </c>
      <c r="H123" s="1" t="s">
        <v>94</v>
      </c>
      <c r="I123" s="16">
        <v>36360</v>
      </c>
      <c r="J123" s="16">
        <v>85579</v>
      </c>
      <c r="K123" s="63">
        <v>24.11</v>
      </c>
      <c r="L123" s="16">
        <v>154</v>
      </c>
      <c r="M123" s="16">
        <v>2442</v>
      </c>
      <c r="N123" s="16">
        <v>2086</v>
      </c>
      <c r="O123" s="26">
        <f t="shared" si="8"/>
        <v>0.17995068883721474</v>
      </c>
      <c r="P123" s="13" t="str">
        <f t="shared" si="6"/>
        <v>Bad</v>
      </c>
      <c r="Q123" s="13">
        <f t="shared" si="9"/>
        <v>2.8535037801329766E-2</v>
      </c>
      <c r="R123" s="16">
        <v>4773</v>
      </c>
      <c r="S123" s="49">
        <v>1.19924623</v>
      </c>
      <c r="T123" s="27">
        <f>IF(Table4[[#This Row],[Link clicks]]=0,0,Table4[[#This Row],[Amount spent ]]/Table4[[#This Row],[Link clicks]])</f>
        <v>0.15655844155844156</v>
      </c>
      <c r="U123" s="62" t="s">
        <v>407</v>
      </c>
      <c r="V123" s="1" t="s">
        <v>413</v>
      </c>
      <c r="W123" s="1">
        <v>4.2354235423542356E-3</v>
      </c>
    </row>
    <row r="124" spans="1:23" x14ac:dyDescent="0.25">
      <c r="A124" s="48" t="s">
        <v>71</v>
      </c>
      <c r="B124" s="12" t="s">
        <v>356</v>
      </c>
      <c r="C124" s="1" t="str">
        <f t="shared" si="5"/>
        <v>Bahrain Target Group</v>
      </c>
      <c r="D124" s="1" t="s">
        <v>73</v>
      </c>
      <c r="E124" s="12" t="s">
        <v>110</v>
      </c>
      <c r="F124" s="1" t="s">
        <v>77</v>
      </c>
      <c r="G124" s="1" t="s">
        <v>74</v>
      </c>
      <c r="H124" s="1" t="s">
        <v>94</v>
      </c>
      <c r="I124" s="16">
        <v>35647</v>
      </c>
      <c r="J124" s="16">
        <v>67183</v>
      </c>
      <c r="K124" s="63">
        <v>18.420000000000002</v>
      </c>
      <c r="L124" s="16">
        <v>221</v>
      </c>
      <c r="M124" s="16">
        <v>2596</v>
      </c>
      <c r="N124" s="16">
        <v>87</v>
      </c>
      <c r="O124" s="26">
        <f t="shared" si="8"/>
        <v>0.32895226470982242</v>
      </c>
      <c r="P124" s="13" t="str">
        <f t="shared" si="6"/>
        <v>Good</v>
      </c>
      <c r="Q124" s="13">
        <f t="shared" si="9"/>
        <v>3.8640727565009005E-2</v>
      </c>
      <c r="R124" s="16">
        <v>19008</v>
      </c>
      <c r="S124" s="49">
        <v>0.54557979000000001</v>
      </c>
      <c r="T124" s="27">
        <f>IF(Table4[[#This Row],[Link clicks]]=0,0,Table4[[#This Row],[Amount spent ]]/Table4[[#This Row],[Link clicks]])</f>
        <v>8.3348416289592761E-2</v>
      </c>
      <c r="U124" s="62" t="s">
        <v>407</v>
      </c>
      <c r="V124" s="1" t="s">
        <v>413</v>
      </c>
      <c r="W124" s="1">
        <v>6.1996801974920747E-3</v>
      </c>
    </row>
    <row r="125" spans="1:23" x14ac:dyDescent="0.25">
      <c r="A125" s="48" t="s">
        <v>71</v>
      </c>
      <c r="B125" s="12" t="s">
        <v>356</v>
      </c>
      <c r="C125" s="1" t="str">
        <f t="shared" si="5"/>
        <v>Bahrain Target Group</v>
      </c>
      <c r="D125" s="1" t="s">
        <v>73</v>
      </c>
      <c r="E125" s="12" t="s">
        <v>111</v>
      </c>
      <c r="F125" s="1" t="s">
        <v>78</v>
      </c>
      <c r="G125" s="1" t="s">
        <v>98</v>
      </c>
      <c r="H125" s="1" t="s">
        <v>94</v>
      </c>
      <c r="I125" s="16">
        <v>36344</v>
      </c>
      <c r="J125" s="16">
        <v>64790</v>
      </c>
      <c r="K125" s="63">
        <v>17.510000000000002</v>
      </c>
      <c r="L125" s="16">
        <v>104</v>
      </c>
      <c r="M125" s="16">
        <v>0</v>
      </c>
      <c r="N125" s="16">
        <v>0</v>
      </c>
      <c r="O125" s="26">
        <f t="shared" si="8"/>
        <v>0.16051859854915881</v>
      </c>
      <c r="P125" s="13" t="str">
        <f t="shared" si="6"/>
        <v>Bad</v>
      </c>
      <c r="Q125" s="13">
        <f t="shared" si="9"/>
        <v>0</v>
      </c>
      <c r="R125" s="16">
        <v>4509</v>
      </c>
      <c r="S125" s="49">
        <v>1.96899563</v>
      </c>
      <c r="T125" s="27">
        <f>IF(Table4[[#This Row],[Link clicks]]=0,0,Table4[[#This Row],[Amount spent ]]/Table4[[#This Row],[Link clicks]])</f>
        <v>0.16836538461538464</v>
      </c>
      <c r="U125" s="62" t="s">
        <v>407</v>
      </c>
      <c r="V125" s="1" t="s">
        <v>413</v>
      </c>
      <c r="W125" s="1">
        <v>2.8615452344265902E-3</v>
      </c>
    </row>
    <row r="126" spans="1:23" x14ac:dyDescent="0.25">
      <c r="A126" s="48" t="s">
        <v>71</v>
      </c>
      <c r="B126" s="12" t="s">
        <v>356</v>
      </c>
      <c r="C126" s="1" t="str">
        <f t="shared" si="5"/>
        <v>Bahrain Target Group</v>
      </c>
      <c r="D126" s="1" t="s">
        <v>73</v>
      </c>
      <c r="E126" s="12" t="s">
        <v>112</v>
      </c>
      <c r="F126" s="1" t="s">
        <v>78</v>
      </c>
      <c r="G126" s="1" t="s">
        <v>74</v>
      </c>
      <c r="H126" s="1" t="s">
        <v>94</v>
      </c>
      <c r="I126" s="16">
        <v>13756</v>
      </c>
      <c r="J126" s="16">
        <v>18147</v>
      </c>
      <c r="K126" s="63">
        <v>17.440000000000001</v>
      </c>
      <c r="L126" s="16">
        <v>349</v>
      </c>
      <c r="M126" s="16">
        <v>12799</v>
      </c>
      <c r="N126" s="16">
        <v>18</v>
      </c>
      <c r="O126" s="26">
        <f t="shared" si="8"/>
        <v>1.9231828952443928</v>
      </c>
      <c r="P126" s="13" t="str">
        <f t="shared" si="6"/>
        <v>Good</v>
      </c>
      <c r="Q126" s="13">
        <f t="shared" si="9"/>
        <v>0.70529564115280763</v>
      </c>
      <c r="R126" s="16">
        <v>22611</v>
      </c>
      <c r="S126" s="49">
        <v>0.45897612999999998</v>
      </c>
      <c r="T126" s="27">
        <f>IF(Table4[[#This Row],[Link clicks]]=0,0,Table4[[#This Row],[Amount spent ]]/Table4[[#This Row],[Link clicks]])</f>
        <v>4.9971346704871064E-2</v>
      </c>
      <c r="U126" s="62" t="s">
        <v>407</v>
      </c>
      <c r="V126" s="1" t="s">
        <v>413</v>
      </c>
      <c r="W126" s="1">
        <v>2.5370747310264612E-2</v>
      </c>
    </row>
    <row r="127" spans="1:23" x14ac:dyDescent="0.25">
      <c r="A127" s="48" t="s">
        <v>71</v>
      </c>
      <c r="B127" s="12" t="s">
        <v>356</v>
      </c>
      <c r="C127" s="1" t="str">
        <f t="shared" si="5"/>
        <v>Bahrain Target Group</v>
      </c>
      <c r="D127" s="1" t="s">
        <v>73</v>
      </c>
      <c r="E127" s="12" t="s">
        <v>99</v>
      </c>
      <c r="F127" s="1" t="s">
        <v>77</v>
      </c>
      <c r="G127" s="1" t="s">
        <v>74</v>
      </c>
      <c r="H127" s="1" t="s">
        <v>92</v>
      </c>
      <c r="I127" s="16">
        <v>27600</v>
      </c>
      <c r="J127" s="16">
        <v>57045</v>
      </c>
      <c r="K127" s="63">
        <v>15.63</v>
      </c>
      <c r="L127" s="16">
        <v>157</v>
      </c>
      <c r="M127" s="16">
        <v>3350</v>
      </c>
      <c r="N127" s="16">
        <v>134</v>
      </c>
      <c r="O127" s="26">
        <f t="shared" si="8"/>
        <v>0.27522131650451398</v>
      </c>
      <c r="P127" s="13" t="str">
        <f t="shared" si="6"/>
        <v>Good</v>
      </c>
      <c r="Q127" s="13">
        <f t="shared" si="9"/>
        <v>5.8725567534402667E-2</v>
      </c>
      <c r="R127" s="16">
        <v>18201</v>
      </c>
      <c r="S127" s="49">
        <v>1.0020370000000001</v>
      </c>
      <c r="T127" s="27">
        <f>IF(Table4[[#This Row],[Link clicks]]=0,0,Table4[[#This Row],[Amount spent ]]/Table4[[#This Row],[Link clicks]])</f>
        <v>9.9554140127388543E-2</v>
      </c>
      <c r="U127" s="62" t="s">
        <v>407</v>
      </c>
      <c r="V127" s="1" t="s">
        <v>413</v>
      </c>
      <c r="W127" s="1">
        <v>5.6884057971014496E-3</v>
      </c>
    </row>
    <row r="128" spans="1:23" x14ac:dyDescent="0.25">
      <c r="A128" s="48" t="s">
        <v>71</v>
      </c>
      <c r="B128" s="12" t="s">
        <v>356</v>
      </c>
      <c r="C128" s="1" t="str">
        <f t="shared" si="5"/>
        <v>Bahrain Target Group</v>
      </c>
      <c r="D128" s="1" t="s">
        <v>73</v>
      </c>
      <c r="E128" s="12" t="s">
        <v>113</v>
      </c>
      <c r="F128" s="1" t="s">
        <v>77</v>
      </c>
      <c r="G128" s="1" t="s">
        <v>74</v>
      </c>
      <c r="H128" s="1" t="s">
        <v>75</v>
      </c>
      <c r="I128" s="16">
        <v>21963</v>
      </c>
      <c r="J128" s="16">
        <v>55635</v>
      </c>
      <c r="K128" s="63">
        <v>15.02</v>
      </c>
      <c r="L128" s="16">
        <v>17</v>
      </c>
      <c r="M128" s="16">
        <v>1948</v>
      </c>
      <c r="N128" s="16">
        <v>10</v>
      </c>
      <c r="O128" s="26">
        <f t="shared" si="8"/>
        <v>3.055630448458704E-2</v>
      </c>
      <c r="P128" s="13" t="str">
        <f t="shared" si="6"/>
        <v>Bad</v>
      </c>
      <c r="Q128" s="13">
        <f t="shared" si="9"/>
        <v>3.5013930079985621E-2</v>
      </c>
      <c r="R128" s="16">
        <v>34644</v>
      </c>
      <c r="S128" s="49">
        <v>0.79504302999999998</v>
      </c>
      <c r="T128" s="27">
        <f>IF(Table4[[#This Row],[Link clicks]]=0,0,Table4[[#This Row],[Amount spent ]]/Table4[[#This Row],[Link clicks]])</f>
        <v>0.8835294117647059</v>
      </c>
      <c r="U128" s="62" t="s">
        <v>407</v>
      </c>
      <c r="V128" s="1" t="s">
        <v>413</v>
      </c>
      <c r="W128" s="1">
        <v>7.7402904885489233E-4</v>
      </c>
    </row>
    <row r="129" spans="1:23" x14ac:dyDescent="0.25">
      <c r="A129" s="48" t="s">
        <v>71</v>
      </c>
      <c r="B129" s="12" t="s">
        <v>356</v>
      </c>
      <c r="C129" s="1" t="str">
        <f t="shared" si="5"/>
        <v>Bahrain Target Group</v>
      </c>
      <c r="D129" s="1" t="s">
        <v>73</v>
      </c>
      <c r="E129" s="12" t="s">
        <v>114</v>
      </c>
      <c r="F129" s="1" t="s">
        <v>77</v>
      </c>
      <c r="G129" s="1" t="s">
        <v>74</v>
      </c>
      <c r="H129" s="1" t="s">
        <v>92</v>
      </c>
      <c r="I129" s="16">
        <v>30973</v>
      </c>
      <c r="J129" s="16">
        <v>51496</v>
      </c>
      <c r="K129" s="63">
        <v>14.02</v>
      </c>
      <c r="L129" s="16">
        <v>112</v>
      </c>
      <c r="M129" s="16">
        <v>2260</v>
      </c>
      <c r="N129" s="16">
        <v>47</v>
      </c>
      <c r="O129" s="26">
        <f t="shared" si="8"/>
        <v>0.21749262078608048</v>
      </c>
      <c r="P129" s="13" t="str">
        <f t="shared" si="6"/>
        <v>Good</v>
      </c>
      <c r="Q129" s="13">
        <f t="shared" si="9"/>
        <v>4.3886903837191238E-2</v>
      </c>
      <c r="R129" s="16">
        <v>2710</v>
      </c>
      <c r="S129" s="49">
        <v>0.48237806999999999</v>
      </c>
      <c r="T129" s="27">
        <f>IF(Table4[[#This Row],[Link clicks]]=0,0,Table4[[#This Row],[Amount spent ]]/Table4[[#This Row],[Link clicks]])</f>
        <v>0.12517857142857142</v>
      </c>
      <c r="U129" s="62" t="s">
        <v>407</v>
      </c>
      <c r="V129" s="1" t="s">
        <v>413</v>
      </c>
      <c r="W129" s="1">
        <v>3.6160526910534981E-3</v>
      </c>
    </row>
    <row r="130" spans="1:23" x14ac:dyDescent="0.25">
      <c r="A130" s="48" t="s">
        <v>71</v>
      </c>
      <c r="B130" s="12" t="s">
        <v>356</v>
      </c>
      <c r="C130" s="1" t="str">
        <f t="shared" ref="C130:C193" si="10">IF(A130 = "AE","United Arab Emirates Target Group",IF(A130 = "BAH","Bahrain Target Group",IF(A130="JED","Jeddah Target Group",IF(A130="KWT","Kuwait Target Group",IF(A130="QAT","Qatar Target Group",IF(A130="RIY","Riyadh Target Group","Oman Target Group"))))))</f>
        <v>Bahrain Target Group</v>
      </c>
      <c r="D130" s="1" t="s">
        <v>73</v>
      </c>
      <c r="E130" s="12" t="s">
        <v>115</v>
      </c>
      <c r="F130" s="1" t="s">
        <v>78</v>
      </c>
      <c r="G130" s="1" t="s">
        <v>98</v>
      </c>
      <c r="H130" s="1" t="s">
        <v>94</v>
      </c>
      <c r="I130" s="16">
        <v>26736</v>
      </c>
      <c r="J130" s="16">
        <v>46831</v>
      </c>
      <c r="K130" s="63">
        <v>13.24</v>
      </c>
      <c r="L130" s="16">
        <v>96</v>
      </c>
      <c r="M130" s="16">
        <v>0</v>
      </c>
      <c r="N130" s="16">
        <v>0</v>
      </c>
      <c r="O130" s="26">
        <f t="shared" si="8"/>
        <v>0.20499241955115199</v>
      </c>
      <c r="P130" s="13" t="str">
        <f t="shared" ref="P130:P193" si="11">IF(O130&gt;0.2,"Good","Bad")</f>
        <v>Good</v>
      </c>
      <c r="Q130" s="13">
        <f t="shared" si="9"/>
        <v>0</v>
      </c>
      <c r="R130" s="16">
        <v>5382</v>
      </c>
      <c r="S130" s="49">
        <v>8.5767560000000007E-2</v>
      </c>
      <c r="T130" s="27">
        <f>IF(Table4[[#This Row],[Link clicks]]=0,0,Table4[[#This Row],[Amount spent ]]/Table4[[#This Row],[Link clicks]])</f>
        <v>0.13791666666666666</v>
      </c>
      <c r="U130" s="62" t="s">
        <v>407</v>
      </c>
      <c r="V130" s="1" t="s">
        <v>413</v>
      </c>
      <c r="W130" s="1">
        <v>3.5906642728904849E-3</v>
      </c>
    </row>
    <row r="131" spans="1:23" x14ac:dyDescent="0.25">
      <c r="A131" s="48" t="s">
        <v>71</v>
      </c>
      <c r="B131" s="12" t="s">
        <v>356</v>
      </c>
      <c r="C131" s="1" t="str">
        <f t="shared" si="10"/>
        <v>Bahrain Target Group</v>
      </c>
      <c r="D131" s="1" t="s">
        <v>73</v>
      </c>
      <c r="E131" s="12" t="s">
        <v>95</v>
      </c>
      <c r="F131" s="1" t="s">
        <v>78</v>
      </c>
      <c r="G131" s="1" t="s">
        <v>74</v>
      </c>
      <c r="H131" s="1" t="s">
        <v>92</v>
      </c>
      <c r="I131" s="16">
        <v>27480</v>
      </c>
      <c r="J131" s="16">
        <v>47601</v>
      </c>
      <c r="K131" s="63">
        <v>12.72</v>
      </c>
      <c r="L131" s="16">
        <v>137</v>
      </c>
      <c r="M131" s="16">
        <v>2915</v>
      </c>
      <c r="N131" s="16">
        <v>120</v>
      </c>
      <c r="O131" s="26">
        <f t="shared" ref="O131:O194" si="12">IF(J131=0,0,(L131/J131)*100)</f>
        <v>0.28780907964118402</v>
      </c>
      <c r="P131" s="13" t="str">
        <f t="shared" si="11"/>
        <v>Good</v>
      </c>
      <c r="Q131" s="13">
        <f t="shared" si="9"/>
        <v>6.1238209281317617E-2</v>
      </c>
      <c r="R131" s="16">
        <v>261</v>
      </c>
      <c r="S131" s="49">
        <v>3.7006600000000001E-3</v>
      </c>
      <c r="T131" s="27">
        <f>IF(Table4[[#This Row],[Link clicks]]=0,0,Table4[[#This Row],[Amount spent ]]/Table4[[#This Row],[Link clicks]])</f>
        <v>9.2846715328467153E-2</v>
      </c>
      <c r="U131" s="62" t="s">
        <v>407</v>
      </c>
      <c r="V131" s="1" t="s">
        <v>413</v>
      </c>
      <c r="W131" s="1">
        <v>4.985443959243086E-3</v>
      </c>
    </row>
    <row r="132" spans="1:23" x14ac:dyDescent="0.25">
      <c r="A132" s="48" t="s">
        <v>71</v>
      </c>
      <c r="B132" s="12" t="s">
        <v>356</v>
      </c>
      <c r="C132" s="1" t="str">
        <f t="shared" si="10"/>
        <v>Bahrain Target Group</v>
      </c>
      <c r="D132" s="1" t="s">
        <v>73</v>
      </c>
      <c r="E132" s="12" t="s">
        <v>112</v>
      </c>
      <c r="F132" s="1" t="s">
        <v>78</v>
      </c>
      <c r="G132" s="1" t="s">
        <v>74</v>
      </c>
      <c r="H132" s="1" t="s">
        <v>94</v>
      </c>
      <c r="I132" s="16">
        <v>22323</v>
      </c>
      <c r="J132" s="16">
        <v>42431</v>
      </c>
      <c r="K132" s="63">
        <v>11.38</v>
      </c>
      <c r="L132" s="16">
        <v>126</v>
      </c>
      <c r="M132" s="16">
        <v>1482</v>
      </c>
      <c r="N132" s="16">
        <v>68</v>
      </c>
      <c r="O132" s="26">
        <f t="shared" si="12"/>
        <v>0.29695269967712284</v>
      </c>
      <c r="P132" s="13" t="str">
        <f t="shared" si="11"/>
        <v>Good</v>
      </c>
      <c r="Q132" s="13">
        <f t="shared" si="9"/>
        <v>3.4927293723928263E-2</v>
      </c>
      <c r="R132" s="16">
        <v>6445</v>
      </c>
      <c r="S132" s="49">
        <v>0.12311601</v>
      </c>
      <c r="T132" s="27">
        <f>IF(Table4[[#This Row],[Link clicks]]=0,0,Table4[[#This Row],[Amount spent ]]/Table4[[#This Row],[Link clicks]])</f>
        <v>9.0317460317460324E-2</v>
      </c>
      <c r="U132" s="62" t="s">
        <v>407</v>
      </c>
      <c r="V132" s="1" t="s">
        <v>413</v>
      </c>
      <c r="W132" s="1">
        <v>5.6444026340545629E-3</v>
      </c>
    </row>
    <row r="133" spans="1:23" x14ac:dyDescent="0.25">
      <c r="A133" s="48" t="s">
        <v>71</v>
      </c>
      <c r="B133" s="12" t="s">
        <v>356</v>
      </c>
      <c r="C133" s="1" t="str">
        <f t="shared" si="10"/>
        <v>Bahrain Target Group</v>
      </c>
      <c r="D133" s="1" t="s">
        <v>73</v>
      </c>
      <c r="E133" s="12" t="s">
        <v>116</v>
      </c>
      <c r="F133" s="1" t="s">
        <v>78</v>
      </c>
      <c r="G133" s="1" t="s">
        <v>74</v>
      </c>
      <c r="H133" s="1" t="s">
        <v>75</v>
      </c>
      <c r="I133" s="16">
        <v>23088</v>
      </c>
      <c r="J133" s="16">
        <v>40191</v>
      </c>
      <c r="K133" s="63">
        <v>11.35</v>
      </c>
      <c r="L133" s="16">
        <v>15</v>
      </c>
      <c r="M133" s="16">
        <v>2015</v>
      </c>
      <c r="N133" s="16">
        <v>35</v>
      </c>
      <c r="O133" s="26">
        <f t="shared" si="12"/>
        <v>3.7321788460103006E-2</v>
      </c>
      <c r="P133" s="13" t="str">
        <f t="shared" si="11"/>
        <v>Bad</v>
      </c>
      <c r="Q133" s="13">
        <f t="shared" si="9"/>
        <v>5.013560249807171E-2</v>
      </c>
      <c r="R133" s="16">
        <v>2213</v>
      </c>
      <c r="S133" s="49">
        <v>0.55352676000000001</v>
      </c>
      <c r="T133" s="27">
        <f>IF(Table4[[#This Row],[Link clicks]]=0,0,Table4[[#This Row],[Amount spent ]]/Table4[[#This Row],[Link clicks]])</f>
        <v>0.7566666666666666</v>
      </c>
      <c r="U133" s="62" t="s">
        <v>407</v>
      </c>
      <c r="V133" s="1" t="s">
        <v>413</v>
      </c>
      <c r="W133" s="1">
        <v>6.4968814968814972E-4</v>
      </c>
    </row>
    <row r="134" spans="1:23" x14ac:dyDescent="0.25">
      <c r="A134" s="48" t="s">
        <v>71</v>
      </c>
      <c r="B134" s="12" t="s">
        <v>356</v>
      </c>
      <c r="C134" s="1" t="str">
        <f t="shared" si="10"/>
        <v>Bahrain Target Group</v>
      </c>
      <c r="D134" s="1" t="s">
        <v>73</v>
      </c>
      <c r="E134" s="12" t="s">
        <v>117</v>
      </c>
      <c r="F134" s="1" t="s">
        <v>78</v>
      </c>
      <c r="G134" s="1" t="s">
        <v>118</v>
      </c>
      <c r="H134" s="1" t="s">
        <v>94</v>
      </c>
      <c r="I134" s="16">
        <v>22296</v>
      </c>
      <c r="J134" s="16">
        <v>33841</v>
      </c>
      <c r="K134" s="63">
        <v>10.19</v>
      </c>
      <c r="L134" s="16">
        <v>39</v>
      </c>
      <c r="M134" s="16">
        <v>1690</v>
      </c>
      <c r="N134" s="16">
        <v>1708</v>
      </c>
      <c r="O134" s="26">
        <f t="shared" si="12"/>
        <v>0.11524482137052687</v>
      </c>
      <c r="P134" s="13" t="str">
        <f t="shared" si="11"/>
        <v>Bad</v>
      </c>
      <c r="Q134" s="13">
        <f t="shared" si="9"/>
        <v>4.9939422593894979E-2</v>
      </c>
      <c r="R134" s="16">
        <v>2394</v>
      </c>
      <c r="S134" s="49">
        <v>5.448091E-2</v>
      </c>
      <c r="T134" s="27">
        <f>IF(Table4[[#This Row],[Link clicks]]=0,0,Table4[[#This Row],[Amount spent ]]/Table4[[#This Row],[Link clicks]])</f>
        <v>0.26128205128205129</v>
      </c>
      <c r="U134" s="62" t="s">
        <v>407</v>
      </c>
      <c r="V134" s="1" t="s">
        <v>413</v>
      </c>
      <c r="W134" s="1">
        <v>1.7491926803013991E-3</v>
      </c>
    </row>
    <row r="135" spans="1:23" x14ac:dyDescent="0.25">
      <c r="A135" s="48" t="s">
        <v>71</v>
      </c>
      <c r="B135" s="12" t="s">
        <v>356</v>
      </c>
      <c r="C135" s="1" t="str">
        <f t="shared" si="10"/>
        <v>Bahrain Target Group</v>
      </c>
      <c r="D135" s="1" t="s">
        <v>73</v>
      </c>
      <c r="E135" s="12" t="s">
        <v>119</v>
      </c>
      <c r="F135" s="1" t="s">
        <v>77</v>
      </c>
      <c r="G135" s="1" t="s">
        <v>74</v>
      </c>
      <c r="H135" s="1" t="s">
        <v>75</v>
      </c>
      <c r="I135" s="16">
        <v>16319</v>
      </c>
      <c r="J135" s="16">
        <v>34405</v>
      </c>
      <c r="K135" s="63">
        <v>9.4600000000000009</v>
      </c>
      <c r="L135" s="16">
        <v>16</v>
      </c>
      <c r="M135" s="16">
        <v>1832</v>
      </c>
      <c r="N135" s="16">
        <v>11</v>
      </c>
      <c r="O135" s="26">
        <f t="shared" si="12"/>
        <v>4.6504868478418837E-2</v>
      </c>
      <c r="P135" s="13" t="str">
        <f t="shared" si="11"/>
        <v>Bad</v>
      </c>
      <c r="Q135" s="13">
        <f t="shared" si="9"/>
        <v>5.3248074407789565E-2</v>
      </c>
      <c r="R135" s="16">
        <v>2077</v>
      </c>
      <c r="S135" s="49">
        <v>0.58871881999999998</v>
      </c>
      <c r="T135" s="27">
        <f>IF(Table4[[#This Row],[Link clicks]]=0,0,Table4[[#This Row],[Amount spent ]]/Table4[[#This Row],[Link clicks]])</f>
        <v>0.59125000000000005</v>
      </c>
      <c r="U135" s="62" t="s">
        <v>407</v>
      </c>
      <c r="V135" s="1" t="s">
        <v>413</v>
      </c>
      <c r="W135" s="1">
        <v>9.8045223359274469E-4</v>
      </c>
    </row>
    <row r="136" spans="1:23" x14ac:dyDescent="0.25">
      <c r="A136" s="48" t="s">
        <v>71</v>
      </c>
      <c r="B136" s="12" t="s">
        <v>356</v>
      </c>
      <c r="C136" s="1" t="str">
        <f t="shared" si="10"/>
        <v>Bahrain Target Group</v>
      </c>
      <c r="D136" s="1" t="s">
        <v>73</v>
      </c>
      <c r="E136" s="12" t="s">
        <v>114</v>
      </c>
      <c r="F136" s="1" t="s">
        <v>77</v>
      </c>
      <c r="G136" s="1" t="s">
        <v>74</v>
      </c>
      <c r="H136" s="1" t="s">
        <v>92</v>
      </c>
      <c r="I136" s="16">
        <v>8085</v>
      </c>
      <c r="J136" s="16">
        <v>12771</v>
      </c>
      <c r="K136" s="63">
        <v>6.9</v>
      </c>
      <c r="L136" s="16">
        <v>71</v>
      </c>
      <c r="M136" s="16">
        <v>3831</v>
      </c>
      <c r="N136" s="16">
        <v>10</v>
      </c>
      <c r="O136" s="26">
        <f t="shared" si="12"/>
        <v>0.55594706757497458</v>
      </c>
      <c r="P136" s="13" t="str">
        <f t="shared" si="11"/>
        <v>Good</v>
      </c>
      <c r="Q136" s="13">
        <f t="shared" si="9"/>
        <v>0.29997650927883485</v>
      </c>
      <c r="R136" s="16">
        <v>8014</v>
      </c>
      <c r="S136" s="49">
        <v>9.5587969999999994E-2</v>
      </c>
      <c r="T136" s="27">
        <f>IF(Table4[[#This Row],[Link clicks]]=0,0,Table4[[#This Row],[Amount spent ]]/Table4[[#This Row],[Link clicks]])</f>
        <v>9.7183098591549305E-2</v>
      </c>
      <c r="U136" s="62" t="s">
        <v>407</v>
      </c>
      <c r="V136" s="1" t="s">
        <v>413</v>
      </c>
      <c r="W136" s="1">
        <v>8.7816944959802096E-3</v>
      </c>
    </row>
    <row r="137" spans="1:23" x14ac:dyDescent="0.25">
      <c r="A137" s="48" t="s">
        <v>71</v>
      </c>
      <c r="B137" s="12" t="s">
        <v>356</v>
      </c>
      <c r="C137" s="1" t="str">
        <f t="shared" si="10"/>
        <v>Bahrain Target Group</v>
      </c>
      <c r="D137" s="1" t="s">
        <v>73</v>
      </c>
      <c r="E137" s="12" t="s">
        <v>120</v>
      </c>
      <c r="F137" s="1" t="s">
        <v>78</v>
      </c>
      <c r="G137" s="1" t="s">
        <v>74</v>
      </c>
      <c r="H137" s="1" t="s">
        <v>75</v>
      </c>
      <c r="I137" s="16">
        <v>15108</v>
      </c>
      <c r="J137" s="16">
        <v>23445</v>
      </c>
      <c r="K137" s="63">
        <v>6.61</v>
      </c>
      <c r="L137" s="16">
        <v>8</v>
      </c>
      <c r="M137" s="16">
        <v>732</v>
      </c>
      <c r="N137" s="16">
        <v>2</v>
      </c>
      <c r="O137" s="26">
        <f t="shared" si="12"/>
        <v>3.4122414160801876E-2</v>
      </c>
      <c r="P137" s="13" t="str">
        <f t="shared" si="11"/>
        <v>Bad</v>
      </c>
      <c r="Q137" s="13">
        <f t="shared" si="9"/>
        <v>3.1222008957133719E-2</v>
      </c>
      <c r="R137" s="16">
        <v>8657</v>
      </c>
      <c r="S137" s="49">
        <v>0.113359</v>
      </c>
      <c r="T137" s="27">
        <f>IF(Table4[[#This Row],[Link clicks]]=0,0,Table4[[#This Row],[Amount spent ]]/Table4[[#This Row],[Link clicks]])</f>
        <v>0.82625000000000004</v>
      </c>
      <c r="U137" s="62" t="s">
        <v>407</v>
      </c>
      <c r="V137" s="1" t="s">
        <v>413</v>
      </c>
      <c r="W137" s="1">
        <v>5.2952078369075987E-4</v>
      </c>
    </row>
    <row r="138" spans="1:23" x14ac:dyDescent="0.25">
      <c r="A138" s="48" t="s">
        <v>71</v>
      </c>
      <c r="B138" s="12" t="s">
        <v>356</v>
      </c>
      <c r="C138" s="1" t="str">
        <f t="shared" si="10"/>
        <v>Bahrain Target Group</v>
      </c>
      <c r="D138" s="1" t="s">
        <v>73</v>
      </c>
      <c r="E138" s="12" t="s">
        <v>110</v>
      </c>
      <c r="F138" s="1" t="s">
        <v>77</v>
      </c>
      <c r="G138" s="1" t="s">
        <v>74</v>
      </c>
      <c r="H138" s="1" t="s">
        <v>94</v>
      </c>
      <c r="I138" s="16">
        <v>7194</v>
      </c>
      <c r="J138" s="16">
        <v>8299</v>
      </c>
      <c r="K138" s="63">
        <v>6.21</v>
      </c>
      <c r="L138" s="16">
        <v>98</v>
      </c>
      <c r="M138" s="16">
        <v>4540</v>
      </c>
      <c r="N138" s="16">
        <v>19</v>
      </c>
      <c r="O138" s="26">
        <f t="shared" si="12"/>
        <v>1.1808651644776478</v>
      </c>
      <c r="P138" s="13" t="str">
        <f t="shared" si="11"/>
        <v>Good</v>
      </c>
      <c r="Q138" s="13">
        <f t="shared" si="9"/>
        <v>0.54705386191107364</v>
      </c>
      <c r="R138" s="16">
        <v>6799</v>
      </c>
      <c r="S138" s="49">
        <v>9.1704880000000003E-2</v>
      </c>
      <c r="T138" s="27">
        <f>IF(Table4[[#This Row],[Link clicks]]=0,0,Table4[[#This Row],[Amount spent ]]/Table4[[#This Row],[Link clicks]])</f>
        <v>6.3367346938775507E-2</v>
      </c>
      <c r="U138" s="62" t="s">
        <v>407</v>
      </c>
      <c r="V138" s="1" t="s">
        <v>413</v>
      </c>
      <c r="W138" s="1">
        <v>1.3622463163747571E-2</v>
      </c>
    </row>
    <row r="139" spans="1:23" x14ac:dyDescent="0.25">
      <c r="A139" s="48" t="s">
        <v>71</v>
      </c>
      <c r="B139" s="12" t="s">
        <v>356</v>
      </c>
      <c r="C139" s="1" t="str">
        <f t="shared" si="10"/>
        <v>Bahrain Target Group</v>
      </c>
      <c r="D139" s="1" t="s">
        <v>73</v>
      </c>
      <c r="E139" s="12" t="s">
        <v>121</v>
      </c>
      <c r="F139" s="1" t="s">
        <v>77</v>
      </c>
      <c r="G139" s="1" t="s">
        <v>74</v>
      </c>
      <c r="H139" s="1" t="s">
        <v>75</v>
      </c>
      <c r="I139" s="16">
        <v>12720</v>
      </c>
      <c r="J139" s="16">
        <v>19993</v>
      </c>
      <c r="K139" s="63">
        <v>5.6</v>
      </c>
      <c r="L139" s="16">
        <v>3</v>
      </c>
      <c r="M139" s="16">
        <v>1278</v>
      </c>
      <c r="N139" s="16">
        <v>18</v>
      </c>
      <c r="O139" s="26">
        <f t="shared" si="12"/>
        <v>1.5005251838143351E-2</v>
      </c>
      <c r="P139" s="13" t="str">
        <f t="shared" si="11"/>
        <v>Bad</v>
      </c>
      <c r="Q139" s="13">
        <f t="shared" si="9"/>
        <v>6.3922372830490667E-2</v>
      </c>
      <c r="R139" s="16">
        <v>4244</v>
      </c>
      <c r="S139" s="49">
        <v>6.8329280000000006E-2</v>
      </c>
      <c r="T139" s="27">
        <f>IF(Table4[[#This Row],[Link clicks]]=0,0,Table4[[#This Row],[Amount spent ]]/Table4[[#This Row],[Link clicks]])</f>
        <v>1.8666666666666665</v>
      </c>
      <c r="U139" s="62" t="s">
        <v>407</v>
      </c>
      <c r="V139" s="1" t="s">
        <v>413</v>
      </c>
      <c r="W139" s="1">
        <v>2.3584905660377359E-4</v>
      </c>
    </row>
    <row r="140" spans="1:23" x14ac:dyDescent="0.25">
      <c r="A140" s="48" t="s">
        <v>71</v>
      </c>
      <c r="B140" s="12" t="s">
        <v>356</v>
      </c>
      <c r="C140" s="1" t="str">
        <f t="shared" si="10"/>
        <v>Bahrain Target Group</v>
      </c>
      <c r="D140" s="1" t="s">
        <v>73</v>
      </c>
      <c r="E140" s="12" t="s">
        <v>106</v>
      </c>
      <c r="F140" s="1" t="s">
        <v>78</v>
      </c>
      <c r="G140" s="1" t="s">
        <v>74</v>
      </c>
      <c r="H140" s="1" t="s">
        <v>92</v>
      </c>
      <c r="I140" s="16">
        <v>4241</v>
      </c>
      <c r="J140" s="16">
        <v>6651</v>
      </c>
      <c r="K140" s="63">
        <v>4.01</v>
      </c>
      <c r="L140" s="16">
        <v>39</v>
      </c>
      <c r="M140" s="16">
        <v>2463</v>
      </c>
      <c r="N140" s="16">
        <v>8</v>
      </c>
      <c r="O140" s="26">
        <f t="shared" si="12"/>
        <v>0.58637798827244025</v>
      </c>
      <c r="P140" s="13" t="str">
        <f t="shared" si="11"/>
        <v>Good</v>
      </c>
      <c r="Q140" s="13">
        <f t="shared" si="9"/>
        <v>0.37032025259359497</v>
      </c>
      <c r="R140" s="16">
        <v>51</v>
      </c>
      <c r="S140" s="49">
        <v>1.1079729999999999E-2</v>
      </c>
      <c r="T140" s="27">
        <f>IF(Table4[[#This Row],[Link clicks]]=0,0,Table4[[#This Row],[Amount spent ]]/Table4[[#This Row],[Link clicks]])</f>
        <v>0.10282051282051281</v>
      </c>
      <c r="U140" s="62" t="s">
        <v>407</v>
      </c>
      <c r="V140" s="1" t="s">
        <v>413</v>
      </c>
      <c r="W140" s="1">
        <v>9.1959443527469941E-3</v>
      </c>
    </row>
    <row r="141" spans="1:23" x14ac:dyDescent="0.25">
      <c r="A141" s="48" t="s">
        <v>71</v>
      </c>
      <c r="B141" s="12" t="s">
        <v>356</v>
      </c>
      <c r="C141" s="1" t="str">
        <f t="shared" si="10"/>
        <v>Bahrain Target Group</v>
      </c>
      <c r="D141" s="1" t="s">
        <v>73</v>
      </c>
      <c r="E141" s="12" t="s">
        <v>122</v>
      </c>
      <c r="F141" s="1" t="s">
        <v>77</v>
      </c>
      <c r="G141" s="1" t="s">
        <v>118</v>
      </c>
      <c r="H141" s="1" t="s">
        <v>94</v>
      </c>
      <c r="I141" s="16">
        <v>7830</v>
      </c>
      <c r="J141" s="16">
        <v>11301</v>
      </c>
      <c r="K141" s="63">
        <v>3.37</v>
      </c>
      <c r="L141" s="16">
        <v>21</v>
      </c>
      <c r="M141" s="16">
        <v>449</v>
      </c>
      <c r="N141" s="16">
        <v>483</v>
      </c>
      <c r="O141" s="26">
        <f t="shared" si="12"/>
        <v>0.18582426333952748</v>
      </c>
      <c r="P141" s="13" t="str">
        <f t="shared" si="11"/>
        <v>Bad</v>
      </c>
      <c r="Q141" s="13">
        <f t="shared" si="9"/>
        <v>3.9730997256879924E-2</v>
      </c>
      <c r="R141" s="16">
        <v>5567</v>
      </c>
      <c r="S141" s="49">
        <v>0.10179936000000001</v>
      </c>
      <c r="T141" s="27">
        <f>IF(Table4[[#This Row],[Link clicks]]=0,0,Table4[[#This Row],[Amount spent ]]/Table4[[#This Row],[Link clicks]])</f>
        <v>0.16047619047619049</v>
      </c>
      <c r="U141" s="62" t="s">
        <v>407</v>
      </c>
      <c r="V141" s="1" t="s">
        <v>413</v>
      </c>
      <c r="W141" s="1">
        <v>2.6819923371647512E-3</v>
      </c>
    </row>
    <row r="142" spans="1:23" x14ac:dyDescent="0.25">
      <c r="A142" s="48" t="s">
        <v>71</v>
      </c>
      <c r="B142" s="12" t="s">
        <v>356</v>
      </c>
      <c r="C142" s="1" t="str">
        <f t="shared" si="10"/>
        <v>Bahrain Target Group</v>
      </c>
      <c r="D142" s="1" t="s">
        <v>73</v>
      </c>
      <c r="E142" s="12" t="s">
        <v>103</v>
      </c>
      <c r="F142" s="1" t="s">
        <v>77</v>
      </c>
      <c r="G142" s="1" t="s">
        <v>74</v>
      </c>
      <c r="H142" s="1" t="s">
        <v>94</v>
      </c>
      <c r="I142" s="16">
        <v>3286</v>
      </c>
      <c r="J142" s="16">
        <v>4762</v>
      </c>
      <c r="K142" s="63">
        <v>1.88</v>
      </c>
      <c r="L142" s="16">
        <v>8</v>
      </c>
      <c r="M142" s="16">
        <v>1049</v>
      </c>
      <c r="N142" s="16">
        <v>906</v>
      </c>
      <c r="O142" s="26">
        <f t="shared" si="12"/>
        <v>0.16799664006719867</v>
      </c>
      <c r="P142" s="13" t="str">
        <f t="shared" si="11"/>
        <v>Bad</v>
      </c>
      <c r="Q142" s="13">
        <f t="shared" si="9"/>
        <v>0.22028559428811423</v>
      </c>
      <c r="R142" s="16">
        <v>12499</v>
      </c>
      <c r="S142" s="49">
        <v>0.58746944999999995</v>
      </c>
      <c r="T142" s="27">
        <f>IF(Table4[[#This Row],[Link clicks]]=0,0,Table4[[#This Row],[Amount spent ]]/Table4[[#This Row],[Link clicks]])</f>
        <v>0.23499999999999999</v>
      </c>
      <c r="U142" s="62" t="s">
        <v>407</v>
      </c>
      <c r="V142" s="1" t="s">
        <v>413</v>
      </c>
      <c r="W142" s="1">
        <v>2.4345709068776629E-3</v>
      </c>
    </row>
    <row r="143" spans="1:23" x14ac:dyDescent="0.25">
      <c r="A143" s="48" t="s">
        <v>71</v>
      </c>
      <c r="B143" s="12" t="s">
        <v>356</v>
      </c>
      <c r="C143" s="1" t="str">
        <f t="shared" si="10"/>
        <v>Bahrain Target Group</v>
      </c>
      <c r="D143" s="1" t="s">
        <v>73</v>
      </c>
      <c r="E143" s="12" t="s">
        <v>109</v>
      </c>
      <c r="F143" s="1" t="s">
        <v>78</v>
      </c>
      <c r="G143" s="1" t="s">
        <v>74</v>
      </c>
      <c r="H143" s="1" t="s">
        <v>94</v>
      </c>
      <c r="I143" s="16">
        <v>3126</v>
      </c>
      <c r="J143" s="16">
        <v>4267</v>
      </c>
      <c r="K143" s="63">
        <v>1.62</v>
      </c>
      <c r="L143" s="16">
        <v>11</v>
      </c>
      <c r="M143" s="16">
        <v>831</v>
      </c>
      <c r="N143" s="16">
        <v>704</v>
      </c>
      <c r="O143" s="26">
        <f t="shared" si="12"/>
        <v>0.25779235997187716</v>
      </c>
      <c r="P143" s="13" t="str">
        <f t="shared" si="11"/>
        <v>Good</v>
      </c>
      <c r="Q143" s="13">
        <f t="shared" si="9"/>
        <v>0.19475041012420904</v>
      </c>
      <c r="R143" s="16">
        <v>4067</v>
      </c>
      <c r="S143" s="49">
        <v>4.4231520000000003E-2</v>
      </c>
      <c r="T143" s="27">
        <f>IF(Table4[[#This Row],[Link clicks]]=0,0,Table4[[#This Row],[Amount spent ]]/Table4[[#This Row],[Link clicks]])</f>
        <v>0.14727272727272728</v>
      </c>
      <c r="U143" s="62" t="s">
        <v>407</v>
      </c>
      <c r="V143" s="1" t="s">
        <v>413</v>
      </c>
      <c r="W143" s="1">
        <v>3.5188739603326941E-3</v>
      </c>
    </row>
    <row r="144" spans="1:23" x14ac:dyDescent="0.25">
      <c r="A144" s="48" t="s">
        <v>71</v>
      </c>
      <c r="B144" s="12" t="s">
        <v>356</v>
      </c>
      <c r="C144" s="1" t="str">
        <f t="shared" si="10"/>
        <v>Bahrain Target Group</v>
      </c>
      <c r="D144" s="1" t="s">
        <v>73</v>
      </c>
      <c r="E144" s="12" t="s">
        <v>120</v>
      </c>
      <c r="F144" s="1" t="s">
        <v>78</v>
      </c>
      <c r="G144" s="1" t="s">
        <v>74</v>
      </c>
      <c r="H144" s="1" t="s">
        <v>75</v>
      </c>
      <c r="I144" s="16">
        <v>48</v>
      </c>
      <c r="J144" s="16">
        <v>57</v>
      </c>
      <c r="K144" s="63">
        <v>0.02</v>
      </c>
      <c r="L144" s="16">
        <v>0</v>
      </c>
      <c r="M144" s="16">
        <v>12</v>
      </c>
      <c r="N144" s="16">
        <v>0</v>
      </c>
      <c r="O144" s="26">
        <f t="shared" si="12"/>
        <v>0</v>
      </c>
      <c r="P144" s="13" t="str">
        <f t="shared" si="11"/>
        <v>Bad</v>
      </c>
      <c r="Q144" s="13">
        <f t="shared" si="9"/>
        <v>0.21052631578947367</v>
      </c>
      <c r="R144" s="16">
        <v>2188</v>
      </c>
      <c r="S144" s="49">
        <v>4.1278349999999998E-2</v>
      </c>
      <c r="T144" s="27">
        <f>IF(Table4[[#This Row],[Link clicks]]=0,0,Table4[[#This Row],[Amount spent ]]/Table4[[#This Row],[Link clicks]])</f>
        <v>0</v>
      </c>
      <c r="U144" s="62" t="s">
        <v>407</v>
      </c>
      <c r="V144" s="1" t="s">
        <v>413</v>
      </c>
      <c r="W144" s="1">
        <v>0</v>
      </c>
    </row>
    <row r="145" spans="1:23" x14ac:dyDescent="0.25">
      <c r="A145" s="48" t="s">
        <v>71</v>
      </c>
      <c r="B145" s="12" t="s">
        <v>356</v>
      </c>
      <c r="C145" s="1" t="str">
        <f t="shared" si="10"/>
        <v>Bahrain Target Group</v>
      </c>
      <c r="D145" s="1" t="s">
        <v>73</v>
      </c>
      <c r="E145" s="12" t="s">
        <v>123</v>
      </c>
      <c r="F145" s="1" t="s">
        <v>77</v>
      </c>
      <c r="G145" s="1" t="s">
        <v>118</v>
      </c>
      <c r="H145" s="1" t="s">
        <v>75</v>
      </c>
      <c r="I145" s="16">
        <v>2</v>
      </c>
      <c r="J145" s="16">
        <v>2</v>
      </c>
      <c r="K145" s="63">
        <v>0</v>
      </c>
      <c r="L145" s="16">
        <v>0</v>
      </c>
      <c r="M145" s="16">
        <v>0</v>
      </c>
      <c r="N145" s="16">
        <v>0</v>
      </c>
      <c r="O145" s="26">
        <f t="shared" si="12"/>
        <v>0</v>
      </c>
      <c r="P145" s="13" t="str">
        <f t="shared" si="11"/>
        <v>Bad</v>
      </c>
      <c r="Q145" s="13">
        <f t="shared" si="9"/>
        <v>0</v>
      </c>
      <c r="R145" s="16">
        <v>2221</v>
      </c>
      <c r="S145" s="49">
        <v>0.65924607000000002</v>
      </c>
      <c r="T145" s="27">
        <f>IF(Table4[[#This Row],[Link clicks]]=0,0,Table4[[#This Row],[Amount spent ]]/Table4[[#This Row],[Link clicks]])</f>
        <v>0</v>
      </c>
      <c r="U145" s="62" t="s">
        <v>407</v>
      </c>
      <c r="V145" s="1" t="s">
        <v>413</v>
      </c>
      <c r="W145" s="1">
        <v>0</v>
      </c>
    </row>
    <row r="146" spans="1:23" x14ac:dyDescent="0.25">
      <c r="A146" s="48" t="s">
        <v>71</v>
      </c>
      <c r="B146" s="12" t="s">
        <v>356</v>
      </c>
      <c r="C146" s="1" t="str">
        <f t="shared" si="10"/>
        <v>Bahrain Target Group</v>
      </c>
      <c r="D146" s="1" t="s">
        <v>73</v>
      </c>
      <c r="E146" s="12" t="s">
        <v>121</v>
      </c>
      <c r="F146" s="1" t="s">
        <v>77</v>
      </c>
      <c r="G146" s="1" t="s">
        <v>74</v>
      </c>
      <c r="H146" s="1" t="s">
        <v>75</v>
      </c>
      <c r="I146" s="16">
        <v>39</v>
      </c>
      <c r="J146" s="16">
        <v>46</v>
      </c>
      <c r="K146" s="63">
        <v>0</v>
      </c>
      <c r="L146" s="16">
        <v>0</v>
      </c>
      <c r="M146" s="16">
        <v>7</v>
      </c>
      <c r="N146" s="16">
        <v>0</v>
      </c>
      <c r="O146" s="26">
        <f t="shared" si="12"/>
        <v>0</v>
      </c>
      <c r="P146" s="13" t="str">
        <f t="shared" si="11"/>
        <v>Bad</v>
      </c>
      <c r="Q146" s="13">
        <f t="shared" si="9"/>
        <v>0.15217391304347827</v>
      </c>
      <c r="R146" s="16">
        <v>291</v>
      </c>
      <c r="S146" s="49">
        <v>3.6166100000000001E-3</v>
      </c>
      <c r="T146" s="27">
        <f>IF(Table4[[#This Row],[Link clicks]]=0,0,Table4[[#This Row],[Amount spent ]]/Table4[[#This Row],[Link clicks]])</f>
        <v>0</v>
      </c>
      <c r="U146" s="62" t="s">
        <v>407</v>
      </c>
      <c r="V146" s="1" t="s">
        <v>413</v>
      </c>
      <c r="W146" s="1">
        <v>0</v>
      </c>
    </row>
    <row r="147" spans="1:23" x14ac:dyDescent="0.25">
      <c r="A147" s="48" t="s">
        <v>71</v>
      </c>
      <c r="B147" s="12" t="s">
        <v>356</v>
      </c>
      <c r="C147" s="1" t="str">
        <f t="shared" si="10"/>
        <v>Bahrain Target Group</v>
      </c>
      <c r="D147" s="1" t="s">
        <v>73</v>
      </c>
      <c r="E147" s="12" t="s">
        <v>119</v>
      </c>
      <c r="F147" s="1" t="s">
        <v>77</v>
      </c>
      <c r="G147" s="1" t="s">
        <v>74</v>
      </c>
      <c r="H147" s="1" t="s">
        <v>75</v>
      </c>
      <c r="I147" s="16">
        <v>39</v>
      </c>
      <c r="J147" s="16">
        <v>50</v>
      </c>
      <c r="K147" s="63">
        <v>0</v>
      </c>
      <c r="L147" s="16">
        <v>0</v>
      </c>
      <c r="M147" s="16">
        <v>9</v>
      </c>
      <c r="N147" s="16">
        <v>0</v>
      </c>
      <c r="O147" s="26">
        <f t="shared" si="12"/>
        <v>0</v>
      </c>
      <c r="P147" s="13" t="str">
        <f t="shared" si="11"/>
        <v>Bad</v>
      </c>
      <c r="Q147" s="13">
        <f t="shared" si="9"/>
        <v>0.18</v>
      </c>
      <c r="R147" s="16">
        <v>3350</v>
      </c>
      <c r="S147" s="49">
        <v>6.6005949999999994E-2</v>
      </c>
      <c r="T147" s="27">
        <f>IF(Table4[[#This Row],[Link clicks]]=0,0,Table4[[#This Row],[Amount spent ]]/Table4[[#This Row],[Link clicks]])</f>
        <v>0</v>
      </c>
      <c r="U147" s="62" t="s">
        <v>407</v>
      </c>
      <c r="V147" s="1" t="s">
        <v>413</v>
      </c>
      <c r="W147" s="1">
        <v>0</v>
      </c>
    </row>
    <row r="148" spans="1:23" x14ac:dyDescent="0.25">
      <c r="A148" s="48" t="s">
        <v>71</v>
      </c>
      <c r="B148" s="12" t="s">
        <v>356</v>
      </c>
      <c r="C148" s="1" t="str">
        <f t="shared" si="10"/>
        <v>Bahrain Target Group</v>
      </c>
      <c r="D148" s="1" t="s">
        <v>73</v>
      </c>
      <c r="E148" s="12" t="s">
        <v>116</v>
      </c>
      <c r="F148" s="1" t="s">
        <v>78</v>
      </c>
      <c r="G148" s="1" t="s">
        <v>74</v>
      </c>
      <c r="H148" s="1" t="s">
        <v>75</v>
      </c>
      <c r="I148" s="16">
        <v>20</v>
      </c>
      <c r="J148" s="16">
        <v>24</v>
      </c>
      <c r="K148" s="63">
        <v>0</v>
      </c>
      <c r="L148" s="16">
        <v>0</v>
      </c>
      <c r="M148" s="16">
        <v>8</v>
      </c>
      <c r="N148" s="16">
        <v>0</v>
      </c>
      <c r="O148" s="26">
        <f t="shared" si="12"/>
        <v>0</v>
      </c>
      <c r="P148" s="13" t="str">
        <f t="shared" si="11"/>
        <v>Bad</v>
      </c>
      <c r="Q148" s="13">
        <f t="shared" si="9"/>
        <v>0.33333333333333331</v>
      </c>
      <c r="R148" s="16">
        <v>6697</v>
      </c>
      <c r="S148" s="49">
        <v>8.9780540000000006E-2</v>
      </c>
      <c r="T148" s="27">
        <f>IF(Table4[[#This Row],[Link clicks]]=0,0,Table4[[#This Row],[Amount spent ]]/Table4[[#This Row],[Link clicks]])</f>
        <v>0</v>
      </c>
      <c r="U148" s="62" t="s">
        <v>407</v>
      </c>
      <c r="V148" s="1" t="s">
        <v>413</v>
      </c>
      <c r="W148" s="1">
        <v>0</v>
      </c>
    </row>
    <row r="149" spans="1:23" x14ac:dyDescent="0.25">
      <c r="A149" s="48" t="s">
        <v>71</v>
      </c>
      <c r="B149" s="12" t="s">
        <v>356</v>
      </c>
      <c r="C149" s="1" t="str">
        <f t="shared" si="10"/>
        <v>Bahrain Target Group</v>
      </c>
      <c r="D149" s="1" t="s">
        <v>73</v>
      </c>
      <c r="E149" s="12" t="s">
        <v>107</v>
      </c>
      <c r="F149" s="1" t="s">
        <v>78</v>
      </c>
      <c r="G149" s="1" t="s">
        <v>74</v>
      </c>
      <c r="H149" s="1" t="s">
        <v>75</v>
      </c>
      <c r="I149" s="16">
        <v>19</v>
      </c>
      <c r="J149" s="16">
        <v>21</v>
      </c>
      <c r="K149" s="63">
        <v>0</v>
      </c>
      <c r="L149" s="16">
        <v>0</v>
      </c>
      <c r="M149" s="16">
        <v>2</v>
      </c>
      <c r="N149" s="16">
        <v>0</v>
      </c>
      <c r="O149" s="26">
        <f t="shared" si="12"/>
        <v>0</v>
      </c>
      <c r="P149" s="13" t="str">
        <f t="shared" si="11"/>
        <v>Bad</v>
      </c>
      <c r="Q149" s="13">
        <f t="shared" si="9"/>
        <v>9.5238095238095233E-2</v>
      </c>
      <c r="R149" s="16">
        <v>1678</v>
      </c>
      <c r="S149" s="49">
        <v>0.61623209999999995</v>
      </c>
      <c r="T149" s="27">
        <f>IF(Table4[[#This Row],[Link clicks]]=0,0,Table4[[#This Row],[Amount spent ]]/Table4[[#This Row],[Link clicks]])</f>
        <v>0</v>
      </c>
      <c r="U149" s="62" t="s">
        <v>407</v>
      </c>
      <c r="V149" s="1" t="s">
        <v>413</v>
      </c>
      <c r="W149" s="1">
        <v>0</v>
      </c>
    </row>
    <row r="150" spans="1:23" x14ac:dyDescent="0.25">
      <c r="A150" s="48" t="s">
        <v>70</v>
      </c>
      <c r="B150" s="12" t="s">
        <v>357</v>
      </c>
      <c r="C150" s="1" t="str">
        <f t="shared" si="10"/>
        <v>Jeddah Target Group</v>
      </c>
      <c r="D150" s="1" t="s">
        <v>73</v>
      </c>
      <c r="E150" s="12" t="s">
        <v>145</v>
      </c>
      <c r="F150" s="1" t="s">
        <v>77</v>
      </c>
      <c r="G150" s="1" t="s">
        <v>74</v>
      </c>
      <c r="H150" s="1" t="s">
        <v>92</v>
      </c>
      <c r="I150" s="16">
        <v>572164</v>
      </c>
      <c r="J150" s="16">
        <v>2890910</v>
      </c>
      <c r="K150" s="63">
        <v>1533.7</v>
      </c>
      <c r="L150" s="16">
        <v>12938</v>
      </c>
      <c r="M150" s="16">
        <v>479638</v>
      </c>
      <c r="N150" s="16">
        <v>7803</v>
      </c>
      <c r="O150" s="26">
        <f t="shared" si="12"/>
        <v>0.44754073976706299</v>
      </c>
      <c r="P150" s="13" t="str">
        <f t="shared" si="11"/>
        <v>Good</v>
      </c>
      <c r="Q150" s="13">
        <f t="shared" si="9"/>
        <v>0.16591246354953976</v>
      </c>
      <c r="R150" s="16">
        <v>59</v>
      </c>
      <c r="S150" s="49">
        <v>2.320094E-2</v>
      </c>
      <c r="T150" s="27">
        <f>IF(Table4[[#This Row],[Link clicks]]=0,0,Table4[[#This Row],[Amount spent ]]/Table4[[#This Row],[Link clicks]])</f>
        <v>0.11854227855928273</v>
      </c>
      <c r="U150" s="62" t="s">
        <v>407</v>
      </c>
      <c r="V150" s="1" t="s">
        <v>413</v>
      </c>
      <c r="W150" s="1">
        <v>2.261239784397481E-2</v>
      </c>
    </row>
    <row r="151" spans="1:23" x14ac:dyDescent="0.25">
      <c r="A151" s="48" t="s">
        <v>70</v>
      </c>
      <c r="B151" s="12" t="s">
        <v>357</v>
      </c>
      <c r="C151" s="1" t="str">
        <f t="shared" si="10"/>
        <v>Jeddah Target Group</v>
      </c>
      <c r="D151" s="1" t="s">
        <v>73</v>
      </c>
      <c r="E151" s="12" t="s">
        <v>150</v>
      </c>
      <c r="F151" s="1" t="s">
        <v>77</v>
      </c>
      <c r="G151" s="1" t="s">
        <v>74</v>
      </c>
      <c r="H151" s="1" t="s">
        <v>92</v>
      </c>
      <c r="I151" s="16">
        <v>627297</v>
      </c>
      <c r="J151" s="16">
        <v>2379089</v>
      </c>
      <c r="K151" s="63">
        <v>659.13</v>
      </c>
      <c r="L151" s="16">
        <v>8917</v>
      </c>
      <c r="M151" s="16">
        <v>135957</v>
      </c>
      <c r="N151" s="16">
        <v>4086</v>
      </c>
      <c r="O151" s="26">
        <f t="shared" si="12"/>
        <v>0.37480733171394598</v>
      </c>
      <c r="P151" s="13" t="str">
        <f t="shared" si="11"/>
        <v>Good</v>
      </c>
      <c r="Q151" s="13">
        <f t="shared" si="9"/>
        <v>5.7146664122275377E-2</v>
      </c>
      <c r="R151" s="16">
        <v>21821</v>
      </c>
      <c r="S151" s="49">
        <v>0.80059435999999995</v>
      </c>
      <c r="T151" s="27">
        <f>IF(Table4[[#This Row],[Link clicks]]=0,0,Table4[[#This Row],[Amount spent ]]/Table4[[#This Row],[Link clicks]])</f>
        <v>7.3918358192217107E-2</v>
      </c>
      <c r="U151" s="62" t="s">
        <v>407</v>
      </c>
      <c r="V151" s="1" t="s">
        <v>413</v>
      </c>
      <c r="W151" s="1">
        <v>1.4214957189337751E-2</v>
      </c>
    </row>
    <row r="152" spans="1:23" x14ac:dyDescent="0.25">
      <c r="A152" s="48" t="s">
        <v>70</v>
      </c>
      <c r="B152" s="12" t="s">
        <v>357</v>
      </c>
      <c r="C152" s="1" t="str">
        <f t="shared" si="10"/>
        <v>Jeddah Target Group</v>
      </c>
      <c r="D152" s="1" t="s">
        <v>73</v>
      </c>
      <c r="E152" s="12" t="s">
        <v>152</v>
      </c>
      <c r="F152" s="1" t="s">
        <v>78</v>
      </c>
      <c r="G152" s="1" t="s">
        <v>74</v>
      </c>
      <c r="H152" s="1" t="s">
        <v>92</v>
      </c>
      <c r="I152" s="16">
        <v>336515</v>
      </c>
      <c r="J152" s="16">
        <v>1435006</v>
      </c>
      <c r="K152" s="63">
        <v>631.9</v>
      </c>
      <c r="L152" s="16">
        <v>5757</v>
      </c>
      <c r="M152" s="16">
        <v>197754</v>
      </c>
      <c r="N152" s="16">
        <v>6812</v>
      </c>
      <c r="O152" s="26">
        <f t="shared" si="12"/>
        <v>0.40118299156937326</v>
      </c>
      <c r="P152" s="13" t="str">
        <f t="shared" si="11"/>
        <v>Good</v>
      </c>
      <c r="Q152" s="13">
        <f t="shared" si="9"/>
        <v>0.13780708930833738</v>
      </c>
      <c r="R152" s="16">
        <v>16660</v>
      </c>
      <c r="S152" s="49">
        <v>0.50096222999999995</v>
      </c>
      <c r="T152" s="27">
        <f>IF(Table4[[#This Row],[Link clicks]]=0,0,Table4[[#This Row],[Amount spent ]]/Table4[[#This Row],[Link clicks]])</f>
        <v>0.10976202883446239</v>
      </c>
      <c r="U152" s="62" t="s">
        <v>407</v>
      </c>
      <c r="V152" s="1" t="s">
        <v>413</v>
      </c>
      <c r="W152" s="1">
        <v>1.7107706937283629E-2</v>
      </c>
    </row>
    <row r="153" spans="1:23" x14ac:dyDescent="0.25">
      <c r="A153" s="48" t="s">
        <v>70</v>
      </c>
      <c r="B153" s="12" t="s">
        <v>357</v>
      </c>
      <c r="C153" s="1" t="str">
        <f t="shared" si="10"/>
        <v>Jeddah Target Group</v>
      </c>
      <c r="D153" s="1" t="s">
        <v>73</v>
      </c>
      <c r="E153" s="12" t="s">
        <v>155</v>
      </c>
      <c r="F153" s="1" t="s">
        <v>78</v>
      </c>
      <c r="G153" s="1" t="s">
        <v>74</v>
      </c>
      <c r="H153" s="1" t="s">
        <v>94</v>
      </c>
      <c r="I153" s="16">
        <v>479356</v>
      </c>
      <c r="J153" s="16">
        <v>1530173</v>
      </c>
      <c r="K153" s="63">
        <v>410.74</v>
      </c>
      <c r="L153" s="16">
        <v>5623</v>
      </c>
      <c r="M153" s="16">
        <v>64038</v>
      </c>
      <c r="N153" s="16">
        <v>3434</v>
      </c>
      <c r="O153" s="26">
        <f t="shared" si="12"/>
        <v>0.36747478879839079</v>
      </c>
      <c r="P153" s="13" t="str">
        <f t="shared" si="11"/>
        <v>Good</v>
      </c>
      <c r="Q153" s="13">
        <f t="shared" si="9"/>
        <v>4.1850169882751823E-2</v>
      </c>
      <c r="R153" s="16">
        <v>5438</v>
      </c>
      <c r="S153" s="49">
        <v>9.7495380000000006E-2</v>
      </c>
      <c r="T153" s="27">
        <f>IF(Table4[[#This Row],[Link clicks]]=0,0,Table4[[#This Row],[Amount spent ]]/Table4[[#This Row],[Link clicks]])</f>
        <v>7.3046416503645739E-2</v>
      </c>
      <c r="U153" s="62" t="s">
        <v>407</v>
      </c>
      <c r="V153" s="1" t="s">
        <v>413</v>
      </c>
      <c r="W153" s="1">
        <v>1.173032151469889E-2</v>
      </c>
    </row>
    <row r="154" spans="1:23" x14ac:dyDescent="0.25">
      <c r="A154" s="48" t="s">
        <v>70</v>
      </c>
      <c r="B154" s="12" t="s">
        <v>357</v>
      </c>
      <c r="C154" s="1" t="str">
        <f t="shared" si="10"/>
        <v>Jeddah Target Group</v>
      </c>
      <c r="D154" s="1" t="s">
        <v>73</v>
      </c>
      <c r="E154" s="12" t="s">
        <v>161</v>
      </c>
      <c r="F154" s="1" t="s">
        <v>77</v>
      </c>
      <c r="G154" s="1" t="s">
        <v>74</v>
      </c>
      <c r="H154" s="1" t="s">
        <v>92</v>
      </c>
      <c r="I154" s="16">
        <v>287236</v>
      </c>
      <c r="J154" s="16">
        <v>723097</v>
      </c>
      <c r="K154" s="63">
        <v>339.29</v>
      </c>
      <c r="L154" s="16">
        <v>3639</v>
      </c>
      <c r="M154" s="16">
        <v>106020</v>
      </c>
      <c r="N154" s="16">
        <v>3058</v>
      </c>
      <c r="O154" s="26">
        <f t="shared" si="12"/>
        <v>0.50325198417363093</v>
      </c>
      <c r="P154" s="13" t="str">
        <f t="shared" si="11"/>
        <v>Good</v>
      </c>
      <c r="Q154" s="13">
        <f t="shared" si="9"/>
        <v>0.14661933322915183</v>
      </c>
      <c r="R154" s="16">
        <v>1680</v>
      </c>
      <c r="S154" s="49">
        <v>4.3397400000000003E-2</v>
      </c>
      <c r="T154" s="27">
        <f>IF(Table4[[#This Row],[Link clicks]]=0,0,Table4[[#This Row],[Amount spent ]]/Table4[[#This Row],[Link clicks]])</f>
        <v>9.3237153064028591E-2</v>
      </c>
      <c r="U154" s="62" t="s">
        <v>407</v>
      </c>
      <c r="V154" s="1" t="s">
        <v>413</v>
      </c>
      <c r="W154" s="1">
        <v>1.266902477405339E-2</v>
      </c>
    </row>
    <row r="155" spans="1:23" x14ac:dyDescent="0.25">
      <c r="A155" s="48" t="s">
        <v>70</v>
      </c>
      <c r="B155" s="12" t="s">
        <v>357</v>
      </c>
      <c r="C155" s="1" t="str">
        <f t="shared" si="10"/>
        <v>Jeddah Target Group</v>
      </c>
      <c r="D155" s="1" t="s">
        <v>73</v>
      </c>
      <c r="E155" s="12" t="s">
        <v>165</v>
      </c>
      <c r="F155" s="1" t="s">
        <v>77</v>
      </c>
      <c r="G155" s="1" t="s">
        <v>98</v>
      </c>
      <c r="H155" s="1" t="s">
        <v>94</v>
      </c>
      <c r="I155" s="16">
        <v>331260</v>
      </c>
      <c r="J155" s="16">
        <v>1102753</v>
      </c>
      <c r="K155" s="63">
        <v>308.31</v>
      </c>
      <c r="L155" s="16">
        <v>3087</v>
      </c>
      <c r="M155" s="16">
        <v>0</v>
      </c>
      <c r="N155" s="16">
        <v>0</v>
      </c>
      <c r="O155" s="26">
        <f t="shared" si="12"/>
        <v>0.27993576077326471</v>
      </c>
      <c r="P155" s="13" t="str">
        <f t="shared" si="11"/>
        <v>Good</v>
      </c>
      <c r="Q155" s="13">
        <f t="shared" si="9"/>
        <v>0</v>
      </c>
      <c r="R155" s="16">
        <v>8310</v>
      </c>
      <c r="S155" s="49">
        <v>0.11761708999999999</v>
      </c>
      <c r="T155" s="27">
        <f>IF(Table4[[#This Row],[Link clicks]]=0,0,Table4[[#This Row],[Amount spent ]]/Table4[[#This Row],[Link clicks]])</f>
        <v>9.9873663751214772E-2</v>
      </c>
      <c r="U155" s="62" t="s">
        <v>407</v>
      </c>
      <c r="V155" s="1" t="s">
        <v>413</v>
      </c>
      <c r="W155" s="1">
        <v>9.3189639558051082E-3</v>
      </c>
    </row>
    <row r="156" spans="1:23" x14ac:dyDescent="0.25">
      <c r="A156" s="48" t="s">
        <v>70</v>
      </c>
      <c r="B156" s="12" t="s">
        <v>357</v>
      </c>
      <c r="C156" s="1" t="str">
        <f t="shared" si="10"/>
        <v>Jeddah Target Group</v>
      </c>
      <c r="D156" s="1" t="s">
        <v>73</v>
      </c>
      <c r="E156" s="12" t="s">
        <v>167</v>
      </c>
      <c r="F156" s="1" t="s">
        <v>77</v>
      </c>
      <c r="G156" s="1" t="s">
        <v>74</v>
      </c>
      <c r="H156" s="1" t="s">
        <v>94</v>
      </c>
      <c r="I156" s="16">
        <v>138112</v>
      </c>
      <c r="J156" s="16">
        <v>421925</v>
      </c>
      <c r="K156" s="63">
        <v>275.41000000000003</v>
      </c>
      <c r="L156" s="16">
        <v>3275</v>
      </c>
      <c r="M156" s="16">
        <v>102084</v>
      </c>
      <c r="N156" s="16">
        <v>1793</v>
      </c>
      <c r="O156" s="26">
        <f t="shared" si="12"/>
        <v>0.77620430171238963</v>
      </c>
      <c r="P156" s="13" t="str">
        <f t="shared" si="11"/>
        <v>Good</v>
      </c>
      <c r="Q156" s="13">
        <f t="shared" si="9"/>
        <v>0.24194821354506132</v>
      </c>
      <c r="R156" s="16">
        <v>4032</v>
      </c>
      <c r="S156" s="49">
        <v>5.1723470000000001E-2</v>
      </c>
      <c r="T156" s="27">
        <f>IF(Table4[[#This Row],[Link clicks]]=0,0,Table4[[#This Row],[Amount spent ]]/Table4[[#This Row],[Link clicks]])</f>
        <v>8.4094656488549621E-2</v>
      </c>
      <c r="U156" s="62" t="s">
        <v>407</v>
      </c>
      <c r="V156" s="1" t="s">
        <v>413</v>
      </c>
      <c r="W156" s="1">
        <v>2.3712639017608901E-2</v>
      </c>
    </row>
    <row r="157" spans="1:23" x14ac:dyDescent="0.25">
      <c r="A157" s="48" t="s">
        <v>70</v>
      </c>
      <c r="B157" s="12" t="s">
        <v>357</v>
      </c>
      <c r="C157" s="1" t="str">
        <f t="shared" si="10"/>
        <v>Jeddah Target Group</v>
      </c>
      <c r="D157" s="1" t="s">
        <v>73</v>
      </c>
      <c r="E157" s="12" t="s">
        <v>171</v>
      </c>
      <c r="F157" s="1" t="s">
        <v>78</v>
      </c>
      <c r="G157" s="1" t="s">
        <v>74</v>
      </c>
      <c r="H157" s="1" t="s">
        <v>94</v>
      </c>
      <c r="I157" s="16">
        <v>406400</v>
      </c>
      <c r="J157" s="16">
        <v>931135</v>
      </c>
      <c r="K157" s="63">
        <v>262.14999999999998</v>
      </c>
      <c r="L157" s="16">
        <v>2955</v>
      </c>
      <c r="M157" s="16">
        <v>33857</v>
      </c>
      <c r="N157" s="16">
        <v>1080</v>
      </c>
      <c r="O157" s="26">
        <f t="shared" si="12"/>
        <v>0.3173546263431189</v>
      </c>
      <c r="P157" s="13" t="str">
        <f t="shared" si="11"/>
        <v>Good</v>
      </c>
      <c r="Q157" s="13">
        <f t="shared" si="9"/>
        <v>3.6361000284598904E-2</v>
      </c>
      <c r="R157" s="16">
        <v>3792</v>
      </c>
      <c r="S157" s="49">
        <v>0.11563796</v>
      </c>
      <c r="T157" s="27">
        <f>IF(Table4[[#This Row],[Link clicks]]=0,0,Table4[[#This Row],[Amount spent ]]/Table4[[#This Row],[Link clicks]])</f>
        <v>8.8714043993231809E-2</v>
      </c>
      <c r="U157" s="62" t="s">
        <v>407</v>
      </c>
      <c r="V157" s="1" t="s">
        <v>413</v>
      </c>
      <c r="W157" s="1">
        <v>7.2711614173228342E-3</v>
      </c>
    </row>
    <row r="158" spans="1:23" x14ac:dyDescent="0.25">
      <c r="A158" s="48" t="s">
        <v>70</v>
      </c>
      <c r="B158" s="12" t="s">
        <v>357</v>
      </c>
      <c r="C158" s="1" t="str">
        <f t="shared" si="10"/>
        <v>Jeddah Target Group</v>
      </c>
      <c r="D158" s="1" t="s">
        <v>73</v>
      </c>
      <c r="E158" s="12" t="s">
        <v>175</v>
      </c>
      <c r="F158" s="1" t="s">
        <v>78</v>
      </c>
      <c r="G158" s="1" t="s">
        <v>74</v>
      </c>
      <c r="H158" s="1" t="s">
        <v>94</v>
      </c>
      <c r="I158" s="16">
        <v>98082</v>
      </c>
      <c r="J158" s="16">
        <v>169985</v>
      </c>
      <c r="K158" s="63">
        <v>192.92</v>
      </c>
      <c r="L158" s="16">
        <v>2219</v>
      </c>
      <c r="M158" s="16">
        <v>126826</v>
      </c>
      <c r="N158" s="16">
        <v>269</v>
      </c>
      <c r="O158" s="26">
        <f t="shared" si="12"/>
        <v>1.3054093008206606</v>
      </c>
      <c r="P158" s="13" t="str">
        <f t="shared" si="11"/>
        <v>Good</v>
      </c>
      <c r="Q158" s="13">
        <f t="shared" si="9"/>
        <v>0.7461011265699915</v>
      </c>
      <c r="R158" s="16">
        <v>3914</v>
      </c>
      <c r="S158" s="49">
        <v>7.5669410000000006E-2</v>
      </c>
      <c r="T158" s="27">
        <f>IF(Table4[[#This Row],[Link clicks]]=0,0,Table4[[#This Row],[Amount spent ]]/Table4[[#This Row],[Link clicks]])</f>
        <v>8.6940063091482639E-2</v>
      </c>
      <c r="U158" s="62" t="s">
        <v>407</v>
      </c>
      <c r="V158" s="1" t="s">
        <v>413</v>
      </c>
      <c r="W158" s="1">
        <v>2.2623926918292861E-2</v>
      </c>
    </row>
    <row r="159" spans="1:23" x14ac:dyDescent="0.25">
      <c r="A159" s="48" t="s">
        <v>70</v>
      </c>
      <c r="B159" s="12" t="s">
        <v>357</v>
      </c>
      <c r="C159" s="1" t="str">
        <f t="shared" si="10"/>
        <v>Jeddah Target Group</v>
      </c>
      <c r="D159" s="1" t="s">
        <v>130</v>
      </c>
      <c r="E159" s="12" t="s">
        <v>145</v>
      </c>
      <c r="F159" s="1" t="s">
        <v>77</v>
      </c>
      <c r="G159" s="1" t="s">
        <v>74</v>
      </c>
      <c r="H159" s="1" t="s">
        <v>92</v>
      </c>
      <c r="I159" s="16">
        <v>5990</v>
      </c>
      <c r="J159" s="16">
        <v>79353</v>
      </c>
      <c r="K159" s="63">
        <v>184.8</v>
      </c>
      <c r="L159" s="16">
        <v>540</v>
      </c>
      <c r="M159" s="16">
        <v>15784</v>
      </c>
      <c r="N159" s="16">
        <v>293</v>
      </c>
      <c r="O159" s="26">
        <f t="shared" si="12"/>
        <v>0.68050357264375638</v>
      </c>
      <c r="P159" s="13" t="str">
        <f t="shared" si="11"/>
        <v>Good</v>
      </c>
      <c r="Q159" s="13">
        <f t="shared" si="9"/>
        <v>0.19890867390016762</v>
      </c>
      <c r="R159" s="16">
        <v>122</v>
      </c>
      <c r="S159" s="49">
        <v>2.5744399999999999E-3</v>
      </c>
      <c r="T159" s="27">
        <f>IF(Table4[[#This Row],[Link clicks]]=0,0,Table4[[#This Row],[Amount spent ]]/Table4[[#This Row],[Link clicks]])</f>
        <v>0.34222222222222226</v>
      </c>
      <c r="U159" s="62" t="s">
        <v>407</v>
      </c>
      <c r="V159" s="1" t="s">
        <v>414</v>
      </c>
      <c r="W159" s="1">
        <v>9.0150250417362271E-2</v>
      </c>
    </row>
    <row r="160" spans="1:23" x14ac:dyDescent="0.25">
      <c r="A160" s="48" t="s">
        <v>70</v>
      </c>
      <c r="B160" s="12" t="s">
        <v>357</v>
      </c>
      <c r="C160" s="1" t="str">
        <f t="shared" si="10"/>
        <v>Jeddah Target Group</v>
      </c>
      <c r="D160" s="1" t="s">
        <v>73</v>
      </c>
      <c r="E160" s="12" t="s">
        <v>180</v>
      </c>
      <c r="F160" s="1" t="s">
        <v>78</v>
      </c>
      <c r="G160" s="1" t="s">
        <v>74</v>
      </c>
      <c r="H160" s="1" t="s">
        <v>92</v>
      </c>
      <c r="I160" s="16">
        <v>270516</v>
      </c>
      <c r="J160" s="16">
        <v>573917</v>
      </c>
      <c r="K160" s="63">
        <v>161.28</v>
      </c>
      <c r="L160" s="16">
        <v>2167</v>
      </c>
      <c r="M160" s="16">
        <v>30585</v>
      </c>
      <c r="N160" s="16">
        <v>961</v>
      </c>
      <c r="O160" s="26">
        <f t="shared" si="12"/>
        <v>0.37758073031466222</v>
      </c>
      <c r="P160" s="13" t="str">
        <f t="shared" si="11"/>
        <v>Good</v>
      </c>
      <c r="Q160" s="13">
        <f t="shared" si="9"/>
        <v>5.3291678064946675E-2</v>
      </c>
      <c r="R160" s="16">
        <v>7244</v>
      </c>
      <c r="S160" s="49">
        <v>0.10113646</v>
      </c>
      <c r="T160" s="27">
        <f>IF(Table4[[#This Row],[Link clicks]]=0,0,Table4[[#This Row],[Amount spent ]]/Table4[[#This Row],[Link clicks]])</f>
        <v>7.4425473004153211E-2</v>
      </c>
      <c r="U160" s="62" t="s">
        <v>407</v>
      </c>
      <c r="V160" s="1" t="s">
        <v>413</v>
      </c>
      <c r="W160" s="1">
        <v>8.010616747253398E-3</v>
      </c>
    </row>
    <row r="161" spans="1:23" x14ac:dyDescent="0.25">
      <c r="A161" s="48" t="s">
        <v>70</v>
      </c>
      <c r="B161" s="12" t="s">
        <v>357</v>
      </c>
      <c r="C161" s="1" t="str">
        <f t="shared" si="10"/>
        <v>Jeddah Target Group</v>
      </c>
      <c r="D161" s="1" t="s">
        <v>73</v>
      </c>
      <c r="E161" s="12" t="s">
        <v>181</v>
      </c>
      <c r="F161" s="1" t="s">
        <v>77</v>
      </c>
      <c r="G161" s="1" t="s">
        <v>74</v>
      </c>
      <c r="H161" s="1" t="s">
        <v>94</v>
      </c>
      <c r="I161" s="16">
        <v>255024</v>
      </c>
      <c r="J161" s="16">
        <v>558614</v>
      </c>
      <c r="K161" s="63">
        <v>158.44999999999999</v>
      </c>
      <c r="L161" s="16">
        <v>1860</v>
      </c>
      <c r="M161" s="16">
        <v>22655</v>
      </c>
      <c r="N161" s="16">
        <v>733</v>
      </c>
      <c r="O161" s="26">
        <f t="shared" si="12"/>
        <v>0.33296695034496093</v>
      </c>
      <c r="P161" s="13" t="str">
        <f t="shared" si="11"/>
        <v>Good</v>
      </c>
      <c r="Q161" s="13">
        <f t="shared" si="9"/>
        <v>4.0555732580995103E-2</v>
      </c>
      <c r="R161" s="16">
        <v>3715</v>
      </c>
      <c r="S161" s="49">
        <v>4.9837010000000001E-2</v>
      </c>
      <c r="T161" s="27">
        <f>IF(Table4[[#This Row],[Link clicks]]=0,0,Table4[[#This Row],[Amount spent ]]/Table4[[#This Row],[Link clicks]])</f>
        <v>8.518817204301074E-2</v>
      </c>
      <c r="U161" s="62" t="s">
        <v>407</v>
      </c>
      <c r="V161" s="1" t="s">
        <v>413</v>
      </c>
      <c r="W161" s="1">
        <v>7.293431206474685E-3</v>
      </c>
    </row>
    <row r="162" spans="1:23" x14ac:dyDescent="0.25">
      <c r="A162" s="48" t="s">
        <v>70</v>
      </c>
      <c r="B162" s="12" t="s">
        <v>357</v>
      </c>
      <c r="C162" s="1" t="str">
        <f t="shared" si="10"/>
        <v>Jeddah Target Group</v>
      </c>
      <c r="D162" s="1" t="s">
        <v>73</v>
      </c>
      <c r="E162" s="12" t="s">
        <v>183</v>
      </c>
      <c r="F162" s="1" t="s">
        <v>77</v>
      </c>
      <c r="G162" s="1" t="s">
        <v>98</v>
      </c>
      <c r="H162" s="1" t="s">
        <v>94</v>
      </c>
      <c r="I162" s="16">
        <v>197021</v>
      </c>
      <c r="J162" s="16">
        <v>537940</v>
      </c>
      <c r="K162" s="63">
        <v>152.9</v>
      </c>
      <c r="L162" s="16">
        <v>1654</v>
      </c>
      <c r="M162" s="16">
        <v>0</v>
      </c>
      <c r="N162" s="16">
        <v>0</v>
      </c>
      <c r="O162" s="26">
        <f t="shared" si="12"/>
        <v>0.30746923448711755</v>
      </c>
      <c r="P162" s="13" t="str">
        <f t="shared" si="11"/>
        <v>Good</v>
      </c>
      <c r="Q162" s="13">
        <f t="shared" si="9"/>
        <v>0</v>
      </c>
      <c r="R162" s="16">
        <v>126</v>
      </c>
      <c r="S162" s="49">
        <v>2.89362E-3</v>
      </c>
      <c r="T162" s="27">
        <f>IF(Table4[[#This Row],[Link clicks]]=0,0,Table4[[#This Row],[Amount spent ]]/Table4[[#This Row],[Link clicks]])</f>
        <v>9.2442563482466752E-2</v>
      </c>
      <c r="U162" s="62" t="s">
        <v>407</v>
      </c>
      <c r="V162" s="1" t="s">
        <v>413</v>
      </c>
      <c r="W162" s="1">
        <v>8.3950441831073842E-3</v>
      </c>
    </row>
    <row r="163" spans="1:23" x14ac:dyDescent="0.25">
      <c r="A163" s="48" t="s">
        <v>70</v>
      </c>
      <c r="B163" s="12" t="s">
        <v>357</v>
      </c>
      <c r="C163" s="1" t="str">
        <f t="shared" si="10"/>
        <v>Jeddah Target Group</v>
      </c>
      <c r="D163" s="1" t="s">
        <v>73</v>
      </c>
      <c r="E163" s="12" t="s">
        <v>184</v>
      </c>
      <c r="F163" s="1" t="s">
        <v>77</v>
      </c>
      <c r="G163" s="1" t="s">
        <v>74</v>
      </c>
      <c r="H163" s="1" t="s">
        <v>94</v>
      </c>
      <c r="I163" s="16">
        <v>98768</v>
      </c>
      <c r="J163" s="16">
        <v>178283</v>
      </c>
      <c r="K163" s="63">
        <v>149.79</v>
      </c>
      <c r="L163" s="16">
        <v>1625</v>
      </c>
      <c r="M163" s="16">
        <v>75894</v>
      </c>
      <c r="N163" s="16">
        <v>1014</v>
      </c>
      <c r="O163" s="26">
        <f t="shared" si="12"/>
        <v>0.91147220991345224</v>
      </c>
      <c r="P163" s="13" t="str">
        <f t="shared" si="11"/>
        <v>Good</v>
      </c>
      <c r="Q163" s="13">
        <f t="shared" si="9"/>
        <v>0.42569398091797872</v>
      </c>
      <c r="R163" s="16">
        <v>130</v>
      </c>
      <c r="S163" s="49">
        <v>2.5958499999999998E-3</v>
      </c>
      <c r="T163" s="27">
        <f>IF(Table4[[#This Row],[Link clicks]]=0,0,Table4[[#This Row],[Amount spent ]]/Table4[[#This Row],[Link clicks]])</f>
        <v>9.2178461538461529E-2</v>
      </c>
      <c r="U163" s="62" t="s">
        <v>407</v>
      </c>
      <c r="V163" s="1" t="s">
        <v>413</v>
      </c>
      <c r="W163" s="1">
        <v>1.6452697229872019E-2</v>
      </c>
    </row>
    <row r="164" spans="1:23" x14ac:dyDescent="0.25">
      <c r="A164" s="48" t="s">
        <v>70</v>
      </c>
      <c r="B164" s="12" t="s">
        <v>357</v>
      </c>
      <c r="C164" s="1" t="str">
        <f t="shared" si="10"/>
        <v>Jeddah Target Group</v>
      </c>
      <c r="D164" s="1" t="s">
        <v>73</v>
      </c>
      <c r="E164" s="12" t="s">
        <v>192</v>
      </c>
      <c r="F164" s="1" t="s">
        <v>78</v>
      </c>
      <c r="G164" s="1" t="s">
        <v>74</v>
      </c>
      <c r="H164" s="1" t="s">
        <v>92</v>
      </c>
      <c r="I164" s="16">
        <v>93569</v>
      </c>
      <c r="J164" s="16">
        <v>160470</v>
      </c>
      <c r="K164" s="63">
        <v>111.18</v>
      </c>
      <c r="L164" s="16">
        <v>1028</v>
      </c>
      <c r="M164" s="16">
        <v>57741</v>
      </c>
      <c r="N164" s="16">
        <v>326</v>
      </c>
      <c r="O164" s="26">
        <f t="shared" si="12"/>
        <v>0.64061818408425253</v>
      </c>
      <c r="P164" s="13" t="str">
        <f t="shared" si="11"/>
        <v>Good</v>
      </c>
      <c r="Q164" s="13">
        <f t="shared" si="9"/>
        <v>0.35982426621798469</v>
      </c>
      <c r="R164" s="16">
        <v>2451</v>
      </c>
      <c r="S164" s="49">
        <v>6.7409239999999995E-2</v>
      </c>
      <c r="T164" s="27">
        <f>IF(Table4[[#This Row],[Link clicks]]=0,0,Table4[[#This Row],[Amount spent ]]/Table4[[#This Row],[Link clicks]])</f>
        <v>0.10815175097276265</v>
      </c>
      <c r="U164" s="62" t="s">
        <v>407</v>
      </c>
      <c r="V164" s="1" t="s">
        <v>413</v>
      </c>
      <c r="W164" s="1">
        <v>1.098654468894612E-2</v>
      </c>
    </row>
    <row r="165" spans="1:23" x14ac:dyDescent="0.25">
      <c r="A165" s="48" t="s">
        <v>70</v>
      </c>
      <c r="B165" s="12" t="s">
        <v>357</v>
      </c>
      <c r="C165" s="1" t="str">
        <f t="shared" si="10"/>
        <v>Jeddah Target Group</v>
      </c>
      <c r="D165" s="1" t="s">
        <v>73</v>
      </c>
      <c r="E165" s="12" t="s">
        <v>195</v>
      </c>
      <c r="F165" s="1" t="s">
        <v>78</v>
      </c>
      <c r="G165" s="1" t="s">
        <v>74</v>
      </c>
      <c r="H165" s="1" t="s">
        <v>94</v>
      </c>
      <c r="I165" s="16">
        <v>61184</v>
      </c>
      <c r="J165" s="16">
        <v>95633</v>
      </c>
      <c r="K165" s="63">
        <v>109.61</v>
      </c>
      <c r="L165" s="16">
        <v>1360</v>
      </c>
      <c r="M165" s="16">
        <v>73201</v>
      </c>
      <c r="N165" s="16">
        <v>202</v>
      </c>
      <c r="O165" s="26">
        <f t="shared" si="12"/>
        <v>1.4221032488785252</v>
      </c>
      <c r="P165" s="13" t="str">
        <f t="shared" si="11"/>
        <v>Good</v>
      </c>
      <c r="Q165" s="13">
        <f t="shared" ref="Q165:Q228" si="13">M165/J165</f>
        <v>0.76543661706733035</v>
      </c>
      <c r="R165" s="16">
        <v>4561</v>
      </c>
      <c r="S165" s="49">
        <v>7.9960030000000001E-2</v>
      </c>
      <c r="T165" s="27">
        <f>IF(Table4[[#This Row],[Link clicks]]=0,0,Table4[[#This Row],[Amount spent ]]/Table4[[#This Row],[Link clicks]])</f>
        <v>8.0595588235294113E-2</v>
      </c>
      <c r="U165" s="62" t="s">
        <v>407</v>
      </c>
      <c r="V165" s="1" t="s">
        <v>413</v>
      </c>
      <c r="W165" s="1">
        <v>2.222803347280335E-2</v>
      </c>
    </row>
    <row r="166" spans="1:23" x14ac:dyDescent="0.25">
      <c r="A166" s="48" t="s">
        <v>70</v>
      </c>
      <c r="B166" s="12" t="s">
        <v>357</v>
      </c>
      <c r="C166" s="1" t="str">
        <f t="shared" si="10"/>
        <v>Jeddah Target Group</v>
      </c>
      <c r="D166" s="1" t="s">
        <v>130</v>
      </c>
      <c r="E166" s="12" t="s">
        <v>152</v>
      </c>
      <c r="F166" s="1" t="s">
        <v>78</v>
      </c>
      <c r="G166" s="1" t="s">
        <v>74</v>
      </c>
      <c r="H166" s="1" t="s">
        <v>92</v>
      </c>
      <c r="I166" s="16">
        <v>3518</v>
      </c>
      <c r="J166" s="16">
        <v>57678</v>
      </c>
      <c r="K166" s="63">
        <v>100.12</v>
      </c>
      <c r="L166" s="16">
        <v>318</v>
      </c>
      <c r="M166" s="16">
        <v>8354</v>
      </c>
      <c r="N166" s="16">
        <v>320</v>
      </c>
      <c r="O166" s="26">
        <f t="shared" si="12"/>
        <v>0.55133673150941431</v>
      </c>
      <c r="P166" s="13" t="str">
        <f t="shared" si="11"/>
        <v>Good</v>
      </c>
      <c r="Q166" s="13">
        <f t="shared" si="13"/>
        <v>0.14483858663615243</v>
      </c>
      <c r="R166" s="16">
        <v>17338</v>
      </c>
      <c r="S166" s="49">
        <v>0.75910683000000001</v>
      </c>
      <c r="T166" s="27">
        <f>IF(Table4[[#This Row],[Link clicks]]=0,0,Table4[[#This Row],[Amount spent ]]/Table4[[#This Row],[Link clicks]])</f>
        <v>0.31484276729559751</v>
      </c>
      <c r="U166" s="62" t="s">
        <v>407</v>
      </c>
      <c r="V166" s="1" t="s">
        <v>414</v>
      </c>
      <c r="W166" s="1">
        <v>9.0392268334280837E-2</v>
      </c>
    </row>
    <row r="167" spans="1:23" x14ac:dyDescent="0.25">
      <c r="A167" s="48" t="s">
        <v>70</v>
      </c>
      <c r="B167" s="12" t="s">
        <v>357</v>
      </c>
      <c r="C167" s="1" t="str">
        <f t="shared" si="10"/>
        <v>Jeddah Target Group</v>
      </c>
      <c r="D167" s="1" t="s">
        <v>73</v>
      </c>
      <c r="E167" s="12" t="s">
        <v>197</v>
      </c>
      <c r="F167" s="1" t="s">
        <v>78</v>
      </c>
      <c r="G167" s="1" t="s">
        <v>98</v>
      </c>
      <c r="H167" s="1" t="s">
        <v>94</v>
      </c>
      <c r="I167" s="16">
        <v>162048</v>
      </c>
      <c r="J167" s="16">
        <v>303640</v>
      </c>
      <c r="K167" s="63">
        <v>88.64</v>
      </c>
      <c r="L167" s="16">
        <v>829</v>
      </c>
      <c r="M167" s="16">
        <v>0</v>
      </c>
      <c r="N167" s="16">
        <v>0</v>
      </c>
      <c r="O167" s="26">
        <f t="shared" si="12"/>
        <v>0.27302068238703725</v>
      </c>
      <c r="P167" s="13" t="str">
        <f t="shared" si="11"/>
        <v>Good</v>
      </c>
      <c r="Q167" s="13">
        <f t="shared" si="13"/>
        <v>0</v>
      </c>
      <c r="R167" s="16">
        <v>14046</v>
      </c>
      <c r="S167" s="49">
        <v>0.47620015999999998</v>
      </c>
      <c r="T167" s="27">
        <f>IF(Table4[[#This Row],[Link clicks]]=0,0,Table4[[#This Row],[Amount spent ]]/Table4[[#This Row],[Link clicks]])</f>
        <v>0.10692400482509047</v>
      </c>
      <c r="U167" s="62" t="s">
        <v>407</v>
      </c>
      <c r="V167" s="1" t="s">
        <v>413</v>
      </c>
      <c r="W167" s="1">
        <v>5.1157681674565561E-3</v>
      </c>
    </row>
    <row r="168" spans="1:23" x14ac:dyDescent="0.25">
      <c r="A168" s="48" t="s">
        <v>70</v>
      </c>
      <c r="B168" s="12" t="s">
        <v>357</v>
      </c>
      <c r="C168" s="1" t="str">
        <f t="shared" si="10"/>
        <v>Jeddah Target Group</v>
      </c>
      <c r="D168" s="1" t="s">
        <v>73</v>
      </c>
      <c r="E168" s="12" t="s">
        <v>199</v>
      </c>
      <c r="F168" s="1" t="s">
        <v>77</v>
      </c>
      <c r="G168" s="1" t="s">
        <v>98</v>
      </c>
      <c r="H168" s="1" t="s">
        <v>94</v>
      </c>
      <c r="I168" s="16">
        <v>118689</v>
      </c>
      <c r="J168" s="16">
        <v>277350</v>
      </c>
      <c r="K168" s="63">
        <v>83.81</v>
      </c>
      <c r="L168" s="16">
        <v>872</v>
      </c>
      <c r="M168" s="16">
        <v>0</v>
      </c>
      <c r="N168" s="16">
        <v>0</v>
      </c>
      <c r="O168" s="26">
        <f t="shared" si="12"/>
        <v>0.31440418244095908</v>
      </c>
      <c r="P168" s="13" t="str">
        <f t="shared" si="11"/>
        <v>Good</v>
      </c>
      <c r="Q168" s="13">
        <f t="shared" si="13"/>
        <v>0</v>
      </c>
      <c r="R168" s="16">
        <v>2638</v>
      </c>
      <c r="S168" s="49">
        <v>5.4830400000000001E-2</v>
      </c>
      <c r="T168" s="27">
        <f>IF(Table4[[#This Row],[Link clicks]]=0,0,Table4[[#This Row],[Amount spent ]]/Table4[[#This Row],[Link clicks]])</f>
        <v>9.6112385321100918E-2</v>
      </c>
      <c r="U168" s="62" t="s">
        <v>407</v>
      </c>
      <c r="V168" s="1" t="s">
        <v>413</v>
      </c>
      <c r="W168" s="1">
        <v>7.3469318976484774E-3</v>
      </c>
    </row>
    <row r="169" spans="1:23" x14ac:dyDescent="0.25">
      <c r="A169" s="48" t="s">
        <v>70</v>
      </c>
      <c r="B169" s="12" t="s">
        <v>357</v>
      </c>
      <c r="C169" s="1" t="str">
        <f t="shared" si="10"/>
        <v>Jeddah Target Group</v>
      </c>
      <c r="D169" s="1" t="s">
        <v>73</v>
      </c>
      <c r="E169" s="12" t="s">
        <v>200</v>
      </c>
      <c r="F169" s="1" t="s">
        <v>77</v>
      </c>
      <c r="G169" s="1" t="s">
        <v>74</v>
      </c>
      <c r="H169" s="1" t="s">
        <v>92</v>
      </c>
      <c r="I169" s="16">
        <v>49026</v>
      </c>
      <c r="J169" s="16">
        <v>156769</v>
      </c>
      <c r="K169" s="63">
        <v>83.69</v>
      </c>
      <c r="L169" s="16">
        <v>422</v>
      </c>
      <c r="M169" s="16">
        <v>27351</v>
      </c>
      <c r="N169" s="16">
        <v>207</v>
      </c>
      <c r="O169" s="26">
        <f t="shared" si="12"/>
        <v>0.26918587220687762</v>
      </c>
      <c r="P169" s="13" t="str">
        <f t="shared" si="11"/>
        <v>Good</v>
      </c>
      <c r="Q169" s="13">
        <f t="shared" si="13"/>
        <v>0.17446689077559976</v>
      </c>
      <c r="R169" s="16">
        <v>16246</v>
      </c>
      <c r="S169" s="49">
        <v>0.96101745000000005</v>
      </c>
      <c r="T169" s="27">
        <f>IF(Table4[[#This Row],[Link clicks]]=0,0,Table4[[#This Row],[Amount spent ]]/Table4[[#This Row],[Link clicks]])</f>
        <v>0.19831753554502368</v>
      </c>
      <c r="U169" s="62" t="s">
        <v>407</v>
      </c>
      <c r="V169" s="1" t="s">
        <v>413</v>
      </c>
      <c r="W169" s="1">
        <v>8.6076775588463262E-3</v>
      </c>
    </row>
    <row r="170" spans="1:23" x14ac:dyDescent="0.25">
      <c r="A170" s="48" t="s">
        <v>70</v>
      </c>
      <c r="B170" s="12" t="s">
        <v>357</v>
      </c>
      <c r="C170" s="1" t="str">
        <f t="shared" si="10"/>
        <v>Jeddah Target Group</v>
      </c>
      <c r="D170" s="1" t="s">
        <v>130</v>
      </c>
      <c r="E170" s="12" t="s">
        <v>184</v>
      </c>
      <c r="F170" s="1" t="s">
        <v>77</v>
      </c>
      <c r="G170" s="1" t="s">
        <v>74</v>
      </c>
      <c r="H170" s="1" t="s">
        <v>94</v>
      </c>
      <c r="I170" s="16">
        <v>3702</v>
      </c>
      <c r="J170" s="16">
        <v>17765</v>
      </c>
      <c r="K170" s="63">
        <v>76.5</v>
      </c>
      <c r="L170" s="16">
        <v>347</v>
      </c>
      <c r="M170" s="16">
        <v>11809</v>
      </c>
      <c r="N170" s="16">
        <v>63</v>
      </c>
      <c r="O170" s="26">
        <f t="shared" si="12"/>
        <v>1.9532789192231916</v>
      </c>
      <c r="P170" s="13" t="str">
        <f t="shared" si="11"/>
        <v>Good</v>
      </c>
      <c r="Q170" s="13">
        <f t="shared" si="13"/>
        <v>0.6647340275823248</v>
      </c>
      <c r="R170" s="16">
        <v>4516</v>
      </c>
      <c r="S170" s="49">
        <v>0.10423302</v>
      </c>
      <c r="T170" s="27">
        <f>IF(Table4[[#This Row],[Link clicks]]=0,0,Table4[[#This Row],[Amount spent ]]/Table4[[#This Row],[Link clicks]])</f>
        <v>0.22046109510086456</v>
      </c>
      <c r="U170" s="62" t="s">
        <v>407</v>
      </c>
      <c r="V170" s="1" t="s">
        <v>414</v>
      </c>
      <c r="W170" s="1">
        <v>9.3733117233927604E-2</v>
      </c>
    </row>
    <row r="171" spans="1:23" x14ac:dyDescent="0.25">
      <c r="A171" s="48" t="s">
        <v>70</v>
      </c>
      <c r="B171" s="12" t="s">
        <v>357</v>
      </c>
      <c r="C171" s="1" t="str">
        <f t="shared" si="10"/>
        <v>Jeddah Target Group</v>
      </c>
      <c r="D171" s="1" t="s">
        <v>130</v>
      </c>
      <c r="E171" s="12" t="s">
        <v>197</v>
      </c>
      <c r="F171" s="1" t="s">
        <v>78</v>
      </c>
      <c r="G171" s="1" t="s">
        <v>98</v>
      </c>
      <c r="H171" s="1" t="s">
        <v>94</v>
      </c>
      <c r="I171" s="16">
        <v>3718</v>
      </c>
      <c r="J171" s="16">
        <v>46090</v>
      </c>
      <c r="K171" s="63">
        <v>71.87</v>
      </c>
      <c r="L171" s="16">
        <v>158</v>
      </c>
      <c r="M171" s="16">
        <v>0</v>
      </c>
      <c r="N171" s="16">
        <v>0</v>
      </c>
      <c r="O171" s="26">
        <f t="shared" si="12"/>
        <v>0.34280755044478195</v>
      </c>
      <c r="P171" s="13" t="str">
        <f t="shared" si="11"/>
        <v>Good</v>
      </c>
      <c r="Q171" s="13">
        <f t="shared" si="13"/>
        <v>0</v>
      </c>
      <c r="R171" s="16">
        <v>1332</v>
      </c>
      <c r="S171" s="49">
        <v>3.8066929999999999E-2</v>
      </c>
      <c r="T171" s="27">
        <f>IF(Table4[[#This Row],[Link clicks]]=0,0,Table4[[#This Row],[Amount spent ]]/Table4[[#This Row],[Link clicks]])</f>
        <v>0.45487341772151901</v>
      </c>
      <c r="U171" s="62" t="s">
        <v>407</v>
      </c>
      <c r="V171" s="1" t="s">
        <v>414</v>
      </c>
      <c r="W171" s="1">
        <v>4.249596557288865E-2</v>
      </c>
    </row>
    <row r="172" spans="1:23" x14ac:dyDescent="0.25">
      <c r="A172" s="48" t="s">
        <v>70</v>
      </c>
      <c r="B172" s="12" t="s">
        <v>357</v>
      </c>
      <c r="C172" s="1" t="str">
        <f t="shared" si="10"/>
        <v>Jeddah Target Group</v>
      </c>
      <c r="D172" s="1" t="s">
        <v>73</v>
      </c>
      <c r="E172" s="12" t="s">
        <v>207</v>
      </c>
      <c r="F172" s="1" t="s">
        <v>77</v>
      </c>
      <c r="G172" s="1" t="s">
        <v>74</v>
      </c>
      <c r="H172" s="1" t="s">
        <v>94</v>
      </c>
      <c r="I172" s="16">
        <v>123995</v>
      </c>
      <c r="J172" s="16">
        <v>240485</v>
      </c>
      <c r="K172" s="63">
        <v>65.819999999999993</v>
      </c>
      <c r="L172" s="16">
        <v>783</v>
      </c>
      <c r="M172" s="16">
        <v>9122</v>
      </c>
      <c r="N172" s="16">
        <v>467</v>
      </c>
      <c r="O172" s="26">
        <f t="shared" si="12"/>
        <v>0.32559203276711646</v>
      </c>
      <c r="P172" s="13" t="str">
        <f t="shared" si="11"/>
        <v>Good</v>
      </c>
      <c r="Q172" s="13">
        <f t="shared" si="13"/>
        <v>3.7931679730544524E-2</v>
      </c>
      <c r="R172" s="16">
        <v>3669</v>
      </c>
      <c r="S172" s="49">
        <v>0.10447039</v>
      </c>
      <c r="T172" s="27">
        <f>IF(Table4[[#This Row],[Link clicks]]=0,0,Table4[[#This Row],[Amount spent ]]/Table4[[#This Row],[Link clicks]])</f>
        <v>8.4061302681992328E-2</v>
      </c>
      <c r="U172" s="62" t="s">
        <v>407</v>
      </c>
      <c r="V172" s="1" t="s">
        <v>413</v>
      </c>
      <c r="W172" s="1">
        <v>6.3147707568853581E-3</v>
      </c>
    </row>
    <row r="173" spans="1:23" x14ac:dyDescent="0.25">
      <c r="A173" s="48" t="s">
        <v>70</v>
      </c>
      <c r="B173" s="12" t="s">
        <v>357</v>
      </c>
      <c r="C173" s="1" t="str">
        <f t="shared" si="10"/>
        <v>Jeddah Target Group</v>
      </c>
      <c r="D173" s="1" t="s">
        <v>73</v>
      </c>
      <c r="E173" s="12" t="s">
        <v>212</v>
      </c>
      <c r="F173" s="1" t="s">
        <v>77</v>
      </c>
      <c r="G173" s="1" t="s">
        <v>74</v>
      </c>
      <c r="H173" s="1" t="s">
        <v>92</v>
      </c>
      <c r="I173" s="16">
        <v>99100</v>
      </c>
      <c r="J173" s="16">
        <v>203258</v>
      </c>
      <c r="K173" s="63">
        <v>58.05</v>
      </c>
      <c r="L173" s="16">
        <v>629</v>
      </c>
      <c r="M173" s="16">
        <v>9862</v>
      </c>
      <c r="N173" s="16">
        <v>390</v>
      </c>
      <c r="O173" s="26">
        <f t="shared" si="12"/>
        <v>0.30945891428627653</v>
      </c>
      <c r="P173" s="13" t="str">
        <f t="shared" si="11"/>
        <v>Good</v>
      </c>
      <c r="Q173" s="13">
        <f t="shared" si="13"/>
        <v>4.8519615464089977E-2</v>
      </c>
      <c r="R173" s="16">
        <v>104</v>
      </c>
      <c r="S173" s="49">
        <v>2.7950200000000001E-3</v>
      </c>
      <c r="T173" s="27">
        <f>IF(Table4[[#This Row],[Link clicks]]=0,0,Table4[[#This Row],[Amount spent ]]/Table4[[#This Row],[Link clicks]])</f>
        <v>9.2289348171701105E-2</v>
      </c>
      <c r="U173" s="62" t="s">
        <v>407</v>
      </c>
      <c r="V173" s="1" t="s">
        <v>413</v>
      </c>
      <c r="W173" s="1">
        <v>6.3471241170534806E-3</v>
      </c>
    </row>
    <row r="174" spans="1:23" x14ac:dyDescent="0.25">
      <c r="A174" s="48" t="s">
        <v>70</v>
      </c>
      <c r="B174" s="12" t="s">
        <v>357</v>
      </c>
      <c r="C174" s="1" t="str">
        <f t="shared" si="10"/>
        <v>Jeddah Target Group</v>
      </c>
      <c r="D174" s="1" t="s">
        <v>130</v>
      </c>
      <c r="E174" s="12" t="s">
        <v>167</v>
      </c>
      <c r="F174" s="1" t="s">
        <v>77</v>
      </c>
      <c r="G174" s="1" t="s">
        <v>74</v>
      </c>
      <c r="H174" s="1" t="s">
        <v>94</v>
      </c>
      <c r="I174" s="16">
        <v>3720</v>
      </c>
      <c r="J174" s="16">
        <v>15753</v>
      </c>
      <c r="K174" s="63">
        <v>54.56</v>
      </c>
      <c r="L174" s="16">
        <v>319</v>
      </c>
      <c r="M174" s="16">
        <v>7617</v>
      </c>
      <c r="N174" s="16">
        <v>68</v>
      </c>
      <c r="O174" s="26">
        <f t="shared" si="12"/>
        <v>2.0250111089951122</v>
      </c>
      <c r="P174" s="13" t="str">
        <f t="shared" si="11"/>
        <v>Good</v>
      </c>
      <c r="Q174" s="13">
        <f t="shared" si="13"/>
        <v>0.48352694724814321</v>
      </c>
      <c r="R174" s="16">
        <v>3624</v>
      </c>
      <c r="S174" s="49">
        <v>1.8855359</v>
      </c>
      <c r="T174" s="27">
        <f>IF(Table4[[#This Row],[Link clicks]]=0,0,Table4[[#This Row],[Amount spent ]]/Table4[[#This Row],[Link clicks]])</f>
        <v>0.17103448275862071</v>
      </c>
      <c r="U174" s="62" t="s">
        <v>407</v>
      </c>
      <c r="V174" s="1" t="s">
        <v>414</v>
      </c>
      <c r="W174" s="1">
        <v>8.5752688172043012E-2</v>
      </c>
    </row>
    <row r="175" spans="1:23" x14ac:dyDescent="0.25">
      <c r="A175" s="48" t="s">
        <v>70</v>
      </c>
      <c r="B175" s="12" t="s">
        <v>357</v>
      </c>
      <c r="C175" s="1" t="str">
        <f t="shared" si="10"/>
        <v>Jeddah Target Group</v>
      </c>
      <c r="D175" s="1" t="s">
        <v>73</v>
      </c>
      <c r="E175" s="12" t="s">
        <v>214</v>
      </c>
      <c r="F175" s="1" t="s">
        <v>77</v>
      </c>
      <c r="G175" s="1" t="s">
        <v>74</v>
      </c>
      <c r="H175" s="1" t="s">
        <v>94</v>
      </c>
      <c r="I175" s="16">
        <v>107585</v>
      </c>
      <c r="J175" s="16">
        <v>186875</v>
      </c>
      <c r="K175" s="63">
        <v>51.73</v>
      </c>
      <c r="L175" s="16">
        <v>576</v>
      </c>
      <c r="M175" s="16">
        <v>6756</v>
      </c>
      <c r="N175" s="16">
        <v>179</v>
      </c>
      <c r="O175" s="26">
        <f t="shared" si="12"/>
        <v>0.30822742474916387</v>
      </c>
      <c r="P175" s="13" t="str">
        <f t="shared" si="11"/>
        <v>Good</v>
      </c>
      <c r="Q175" s="13">
        <f t="shared" si="13"/>
        <v>3.6152508361204011E-2</v>
      </c>
      <c r="R175" s="16">
        <v>76</v>
      </c>
      <c r="S175" s="49">
        <v>2.4688100000000001E-3</v>
      </c>
      <c r="T175" s="27">
        <f>IF(Table4[[#This Row],[Link clicks]]=0,0,Table4[[#This Row],[Amount spent ]]/Table4[[#This Row],[Link clicks]])</f>
        <v>8.9809027777777772E-2</v>
      </c>
      <c r="U175" s="62" t="s">
        <v>407</v>
      </c>
      <c r="V175" s="1" t="s">
        <v>413</v>
      </c>
      <c r="W175" s="1">
        <v>5.3539062136914997E-3</v>
      </c>
    </row>
    <row r="176" spans="1:23" x14ac:dyDescent="0.25">
      <c r="A176" s="48" t="s">
        <v>70</v>
      </c>
      <c r="B176" s="12" t="s">
        <v>357</v>
      </c>
      <c r="C176" s="1" t="str">
        <f t="shared" si="10"/>
        <v>Jeddah Target Group</v>
      </c>
      <c r="D176" s="1" t="s">
        <v>130</v>
      </c>
      <c r="E176" s="12" t="s">
        <v>195</v>
      </c>
      <c r="F176" s="1" t="s">
        <v>78</v>
      </c>
      <c r="G176" s="1" t="s">
        <v>74</v>
      </c>
      <c r="H176" s="1" t="s">
        <v>94</v>
      </c>
      <c r="I176" s="16">
        <v>2243</v>
      </c>
      <c r="J176" s="16">
        <v>10599</v>
      </c>
      <c r="K176" s="63">
        <v>48.09</v>
      </c>
      <c r="L176" s="16">
        <v>268</v>
      </c>
      <c r="M176" s="16">
        <v>7635</v>
      </c>
      <c r="N176" s="16">
        <v>37</v>
      </c>
      <c r="O176" s="26">
        <f t="shared" si="12"/>
        <v>2.5285404283422963</v>
      </c>
      <c r="P176" s="13" t="str">
        <f t="shared" si="11"/>
        <v>Good</v>
      </c>
      <c r="Q176" s="13">
        <f t="shared" si="13"/>
        <v>0.72035097650721769</v>
      </c>
      <c r="R176" s="16">
        <v>883</v>
      </c>
      <c r="S176" s="49">
        <v>0.27837327000000001</v>
      </c>
      <c r="T176" s="27">
        <f>IF(Table4[[#This Row],[Link clicks]]=0,0,Table4[[#This Row],[Amount spent ]]/Table4[[#This Row],[Link clicks]])</f>
        <v>0.17944029850746271</v>
      </c>
      <c r="U176" s="62" t="s">
        <v>407</v>
      </c>
      <c r="V176" s="1" t="s">
        <v>414</v>
      </c>
      <c r="W176" s="1">
        <v>0.1194828354881855</v>
      </c>
    </row>
    <row r="177" spans="1:23" x14ac:dyDescent="0.25">
      <c r="A177" s="48" t="s">
        <v>70</v>
      </c>
      <c r="B177" s="12" t="s">
        <v>357</v>
      </c>
      <c r="C177" s="1" t="str">
        <f t="shared" si="10"/>
        <v>Jeddah Target Group</v>
      </c>
      <c r="D177" s="1" t="s">
        <v>73</v>
      </c>
      <c r="E177" s="12" t="s">
        <v>217</v>
      </c>
      <c r="F177" s="1" t="s">
        <v>77</v>
      </c>
      <c r="G177" s="1" t="s">
        <v>74</v>
      </c>
      <c r="H177" s="1" t="s">
        <v>94</v>
      </c>
      <c r="I177" s="16">
        <v>80319</v>
      </c>
      <c r="J177" s="16">
        <v>173235</v>
      </c>
      <c r="K177" s="63">
        <v>47.21</v>
      </c>
      <c r="L177" s="16">
        <v>356</v>
      </c>
      <c r="M177" s="16">
        <v>3521</v>
      </c>
      <c r="N177" s="16">
        <v>3045</v>
      </c>
      <c r="O177" s="26">
        <f t="shared" si="12"/>
        <v>0.20550119779490289</v>
      </c>
      <c r="P177" s="13" t="str">
        <f t="shared" si="11"/>
        <v>Good</v>
      </c>
      <c r="Q177" s="13">
        <f t="shared" si="13"/>
        <v>2.0324992062804862E-2</v>
      </c>
      <c r="R177" s="16">
        <v>108</v>
      </c>
      <c r="S177" s="49">
        <v>2.6990600000000001E-3</v>
      </c>
      <c r="T177" s="27">
        <f>IF(Table4[[#This Row],[Link clicks]]=0,0,Table4[[#This Row],[Amount spent ]]/Table4[[#This Row],[Link clicks]])</f>
        <v>0.1326123595505618</v>
      </c>
      <c r="U177" s="62" t="s">
        <v>407</v>
      </c>
      <c r="V177" s="1" t="s">
        <v>413</v>
      </c>
      <c r="W177" s="1">
        <v>4.4323260996775356E-3</v>
      </c>
    </row>
    <row r="178" spans="1:23" x14ac:dyDescent="0.25">
      <c r="A178" s="48" t="s">
        <v>70</v>
      </c>
      <c r="B178" s="12" t="s">
        <v>357</v>
      </c>
      <c r="C178" s="1" t="str">
        <f t="shared" si="10"/>
        <v>Jeddah Target Group</v>
      </c>
      <c r="D178" s="1" t="s">
        <v>73</v>
      </c>
      <c r="E178" s="12" t="s">
        <v>218</v>
      </c>
      <c r="F178" s="1" t="s">
        <v>78</v>
      </c>
      <c r="G178" s="1" t="s">
        <v>74</v>
      </c>
      <c r="H178" s="1" t="s">
        <v>94</v>
      </c>
      <c r="I178" s="16">
        <v>88016</v>
      </c>
      <c r="J178" s="16">
        <v>173380</v>
      </c>
      <c r="K178" s="63">
        <v>47.13</v>
      </c>
      <c r="L178" s="16">
        <v>499</v>
      </c>
      <c r="M178" s="16">
        <v>4785</v>
      </c>
      <c r="N178" s="16">
        <v>215</v>
      </c>
      <c r="O178" s="26">
        <f t="shared" si="12"/>
        <v>0.28780712884992504</v>
      </c>
      <c r="P178" s="13" t="str">
        <f t="shared" si="11"/>
        <v>Good</v>
      </c>
      <c r="Q178" s="13">
        <f t="shared" si="13"/>
        <v>2.7598338908755335E-2</v>
      </c>
      <c r="R178" s="16">
        <v>2013</v>
      </c>
      <c r="S178" s="49">
        <v>4.6756319999999997E-2</v>
      </c>
      <c r="T178" s="27">
        <f>IF(Table4[[#This Row],[Link clicks]]=0,0,Table4[[#This Row],[Amount spent ]]/Table4[[#This Row],[Link clicks]])</f>
        <v>9.4448897795591194E-2</v>
      </c>
      <c r="U178" s="62" t="s">
        <v>407</v>
      </c>
      <c r="V178" s="1" t="s">
        <v>413</v>
      </c>
      <c r="W178" s="1">
        <v>5.6694237411379746E-3</v>
      </c>
    </row>
    <row r="179" spans="1:23" x14ac:dyDescent="0.25">
      <c r="A179" s="48" t="s">
        <v>70</v>
      </c>
      <c r="B179" s="12" t="s">
        <v>357</v>
      </c>
      <c r="C179" s="1" t="str">
        <f t="shared" si="10"/>
        <v>Jeddah Target Group</v>
      </c>
      <c r="D179" s="1" t="s">
        <v>130</v>
      </c>
      <c r="E179" s="12" t="s">
        <v>161</v>
      </c>
      <c r="F179" s="1" t="s">
        <v>77</v>
      </c>
      <c r="G179" s="1" t="s">
        <v>74</v>
      </c>
      <c r="H179" s="1" t="s">
        <v>92</v>
      </c>
      <c r="I179" s="16">
        <v>3980</v>
      </c>
      <c r="J179" s="16">
        <v>21048</v>
      </c>
      <c r="K179" s="63">
        <v>45.87</v>
      </c>
      <c r="L179" s="16">
        <v>166</v>
      </c>
      <c r="M179" s="16">
        <v>4637</v>
      </c>
      <c r="N179" s="16">
        <v>109</v>
      </c>
      <c r="O179" s="26">
        <f t="shared" si="12"/>
        <v>0.78867350817179782</v>
      </c>
      <c r="P179" s="13" t="str">
        <f t="shared" si="11"/>
        <v>Good</v>
      </c>
      <c r="Q179" s="13">
        <f t="shared" si="13"/>
        <v>0.22030596731280883</v>
      </c>
      <c r="R179" s="16">
        <v>3060</v>
      </c>
      <c r="S179" s="49">
        <v>5.0027790000000003E-2</v>
      </c>
      <c r="T179" s="27">
        <f>IF(Table4[[#This Row],[Link clicks]]=0,0,Table4[[#This Row],[Amount spent ]]/Table4[[#This Row],[Link clicks]])</f>
        <v>0.27632530120481924</v>
      </c>
      <c r="U179" s="62" t="s">
        <v>407</v>
      </c>
      <c r="V179" s="1" t="s">
        <v>414</v>
      </c>
      <c r="W179" s="1">
        <v>4.1708542713567838E-2</v>
      </c>
    </row>
    <row r="180" spans="1:23" x14ac:dyDescent="0.25">
      <c r="A180" s="48" t="s">
        <v>70</v>
      </c>
      <c r="B180" s="12" t="s">
        <v>357</v>
      </c>
      <c r="C180" s="1" t="str">
        <f t="shared" si="10"/>
        <v>Jeddah Target Group</v>
      </c>
      <c r="D180" s="1" t="s">
        <v>130</v>
      </c>
      <c r="E180" s="12" t="s">
        <v>200</v>
      </c>
      <c r="F180" s="1" t="s">
        <v>77</v>
      </c>
      <c r="G180" s="1" t="s">
        <v>74</v>
      </c>
      <c r="H180" s="1" t="s">
        <v>92</v>
      </c>
      <c r="I180" s="16">
        <v>2290</v>
      </c>
      <c r="J180" s="16">
        <v>20750</v>
      </c>
      <c r="K180" s="63">
        <v>45.16</v>
      </c>
      <c r="L180" s="16">
        <v>116</v>
      </c>
      <c r="M180" s="16">
        <v>4416</v>
      </c>
      <c r="N180" s="16">
        <v>43</v>
      </c>
      <c r="O180" s="26">
        <f t="shared" si="12"/>
        <v>0.5590361445783133</v>
      </c>
      <c r="P180" s="13" t="str">
        <f t="shared" si="11"/>
        <v>Good</v>
      </c>
      <c r="Q180" s="13">
        <f t="shared" si="13"/>
        <v>0.21281927710843374</v>
      </c>
      <c r="R180" s="16">
        <v>627</v>
      </c>
      <c r="S180" s="49">
        <v>0.18817527000000001</v>
      </c>
      <c r="T180" s="27">
        <f>IF(Table4[[#This Row],[Link clicks]]=0,0,Table4[[#This Row],[Amount spent ]]/Table4[[#This Row],[Link clicks]])</f>
        <v>0.3893103448275862</v>
      </c>
      <c r="U180" s="62" t="s">
        <v>407</v>
      </c>
      <c r="V180" s="1" t="s">
        <v>414</v>
      </c>
      <c r="W180" s="1">
        <v>5.0655021834061127E-2</v>
      </c>
    </row>
    <row r="181" spans="1:23" x14ac:dyDescent="0.25">
      <c r="A181" s="48" t="s">
        <v>70</v>
      </c>
      <c r="B181" s="12" t="s">
        <v>357</v>
      </c>
      <c r="C181" s="1" t="str">
        <f t="shared" si="10"/>
        <v>Jeddah Target Group</v>
      </c>
      <c r="D181" s="1" t="s">
        <v>73</v>
      </c>
      <c r="E181" s="12" t="s">
        <v>223</v>
      </c>
      <c r="F181" s="1" t="s">
        <v>78</v>
      </c>
      <c r="G181" s="1" t="s">
        <v>98</v>
      </c>
      <c r="H181" s="1" t="s">
        <v>94</v>
      </c>
      <c r="I181" s="16">
        <v>70528</v>
      </c>
      <c r="J181" s="16">
        <v>143711</v>
      </c>
      <c r="K181" s="63">
        <v>42.08</v>
      </c>
      <c r="L181" s="16">
        <v>404</v>
      </c>
      <c r="M181" s="16">
        <v>0</v>
      </c>
      <c r="N181" s="16">
        <v>0</v>
      </c>
      <c r="O181" s="26">
        <f t="shared" si="12"/>
        <v>0.28111974727056388</v>
      </c>
      <c r="P181" s="13" t="str">
        <f t="shared" si="11"/>
        <v>Good</v>
      </c>
      <c r="Q181" s="13">
        <f t="shared" si="13"/>
        <v>0</v>
      </c>
      <c r="R181" s="16">
        <v>135</v>
      </c>
      <c r="S181" s="49">
        <v>2.7710500000000002E-3</v>
      </c>
      <c r="T181" s="27">
        <f>IF(Table4[[#This Row],[Link clicks]]=0,0,Table4[[#This Row],[Amount spent ]]/Table4[[#This Row],[Link clicks]])</f>
        <v>0.10415841584158415</v>
      </c>
      <c r="U181" s="62" t="s">
        <v>407</v>
      </c>
      <c r="V181" s="1" t="s">
        <v>413</v>
      </c>
      <c r="W181" s="1">
        <v>5.7282214156079859E-3</v>
      </c>
    </row>
    <row r="182" spans="1:23" x14ac:dyDescent="0.25">
      <c r="A182" s="48" t="s">
        <v>70</v>
      </c>
      <c r="B182" s="12" t="s">
        <v>357</v>
      </c>
      <c r="C182" s="1" t="str">
        <f t="shared" si="10"/>
        <v>Jeddah Target Group</v>
      </c>
      <c r="D182" s="1" t="s">
        <v>130</v>
      </c>
      <c r="E182" s="12" t="s">
        <v>171</v>
      </c>
      <c r="F182" s="1" t="s">
        <v>78</v>
      </c>
      <c r="G182" s="1" t="s">
        <v>74</v>
      </c>
      <c r="H182" s="1" t="s">
        <v>94</v>
      </c>
      <c r="I182" s="16">
        <v>3998</v>
      </c>
      <c r="J182" s="16">
        <v>24096</v>
      </c>
      <c r="K182" s="63">
        <v>41.73</v>
      </c>
      <c r="L182" s="16">
        <v>119</v>
      </c>
      <c r="M182" s="16">
        <v>2157</v>
      </c>
      <c r="N182" s="16">
        <v>63</v>
      </c>
      <c r="O182" s="26">
        <f t="shared" si="12"/>
        <v>0.49385790172642763</v>
      </c>
      <c r="P182" s="13" t="str">
        <f t="shared" si="11"/>
        <v>Good</v>
      </c>
      <c r="Q182" s="13">
        <f t="shared" si="13"/>
        <v>8.9516932270916338E-2</v>
      </c>
      <c r="R182" s="16">
        <v>1913</v>
      </c>
      <c r="S182" s="49">
        <v>4.1581529999999998E-2</v>
      </c>
      <c r="T182" s="27">
        <f>IF(Table4[[#This Row],[Link clicks]]=0,0,Table4[[#This Row],[Amount spent ]]/Table4[[#This Row],[Link clicks]])</f>
        <v>0.35067226890756298</v>
      </c>
      <c r="U182" s="62" t="s">
        <v>407</v>
      </c>
      <c r="V182" s="1" t="s">
        <v>414</v>
      </c>
      <c r="W182" s="1">
        <v>2.9764882441220612E-2</v>
      </c>
    </row>
    <row r="183" spans="1:23" x14ac:dyDescent="0.25">
      <c r="A183" s="48" t="s">
        <v>70</v>
      </c>
      <c r="B183" s="12" t="s">
        <v>357</v>
      </c>
      <c r="C183" s="1" t="str">
        <f t="shared" si="10"/>
        <v>Jeddah Target Group</v>
      </c>
      <c r="D183" s="1" t="s">
        <v>130</v>
      </c>
      <c r="E183" s="12" t="s">
        <v>155</v>
      </c>
      <c r="F183" s="1" t="s">
        <v>78</v>
      </c>
      <c r="G183" s="1" t="s">
        <v>74</v>
      </c>
      <c r="H183" s="1" t="s">
        <v>94</v>
      </c>
      <c r="I183" s="16">
        <v>3528</v>
      </c>
      <c r="J183" s="16">
        <v>24375</v>
      </c>
      <c r="K183" s="63">
        <v>40.67</v>
      </c>
      <c r="L183" s="16">
        <v>111</v>
      </c>
      <c r="M183" s="16">
        <v>2011</v>
      </c>
      <c r="N183" s="16">
        <v>69</v>
      </c>
      <c r="O183" s="26">
        <f t="shared" si="12"/>
        <v>0.45538461538461539</v>
      </c>
      <c r="P183" s="13" t="str">
        <f t="shared" si="11"/>
        <v>Good</v>
      </c>
      <c r="Q183" s="13">
        <f t="shared" si="13"/>
        <v>8.2502564102564097E-2</v>
      </c>
      <c r="R183" s="16">
        <v>2628</v>
      </c>
      <c r="S183" s="49">
        <v>7.3722889999999999E-2</v>
      </c>
      <c r="T183" s="27">
        <f>IF(Table4[[#This Row],[Link clicks]]=0,0,Table4[[#This Row],[Amount spent ]]/Table4[[#This Row],[Link clicks]])</f>
        <v>0.36639639639639643</v>
      </c>
      <c r="U183" s="62" t="s">
        <v>407</v>
      </c>
      <c r="V183" s="1" t="s">
        <v>414</v>
      </c>
      <c r="W183" s="1">
        <v>3.1462585034013613E-2</v>
      </c>
    </row>
    <row r="184" spans="1:23" x14ac:dyDescent="0.25">
      <c r="A184" s="48" t="s">
        <v>70</v>
      </c>
      <c r="B184" s="12" t="s">
        <v>357</v>
      </c>
      <c r="C184" s="1" t="str">
        <f t="shared" si="10"/>
        <v>Jeddah Target Group</v>
      </c>
      <c r="D184" s="1" t="s">
        <v>73</v>
      </c>
      <c r="E184" s="12" t="s">
        <v>228</v>
      </c>
      <c r="F184" s="1" t="s">
        <v>78</v>
      </c>
      <c r="G184" s="1" t="s">
        <v>74</v>
      </c>
      <c r="H184" s="1" t="s">
        <v>92</v>
      </c>
      <c r="I184" s="16">
        <v>74140</v>
      </c>
      <c r="J184" s="16">
        <v>132892</v>
      </c>
      <c r="K184" s="63">
        <v>37.83</v>
      </c>
      <c r="L184" s="16">
        <v>496</v>
      </c>
      <c r="M184" s="16">
        <v>6726</v>
      </c>
      <c r="N184" s="16">
        <v>319</v>
      </c>
      <c r="O184" s="26">
        <f t="shared" si="12"/>
        <v>0.37323540920446679</v>
      </c>
      <c r="P184" s="13" t="str">
        <f t="shared" si="11"/>
        <v>Good</v>
      </c>
      <c r="Q184" s="13">
        <f t="shared" si="13"/>
        <v>5.0612527465912167E-2</v>
      </c>
      <c r="R184" s="16">
        <v>2142</v>
      </c>
      <c r="S184" s="49">
        <v>6.4658300000000002E-2</v>
      </c>
      <c r="T184" s="27">
        <f>IF(Table4[[#This Row],[Link clicks]]=0,0,Table4[[#This Row],[Amount spent ]]/Table4[[#This Row],[Link clicks]])</f>
        <v>7.6270161290322575E-2</v>
      </c>
      <c r="U184" s="62" t="s">
        <v>407</v>
      </c>
      <c r="V184" s="1" t="s">
        <v>413</v>
      </c>
      <c r="W184" s="1">
        <v>6.6900458591853248E-3</v>
      </c>
    </row>
    <row r="185" spans="1:23" x14ac:dyDescent="0.25">
      <c r="A185" s="48" t="s">
        <v>70</v>
      </c>
      <c r="B185" s="12" t="s">
        <v>357</v>
      </c>
      <c r="C185" s="1" t="str">
        <f t="shared" si="10"/>
        <v>Jeddah Target Group</v>
      </c>
      <c r="D185" s="1" t="s">
        <v>73</v>
      </c>
      <c r="E185" s="12" t="s">
        <v>229</v>
      </c>
      <c r="F185" s="1" t="s">
        <v>78</v>
      </c>
      <c r="G185" s="1" t="s">
        <v>74</v>
      </c>
      <c r="H185" s="1" t="s">
        <v>92</v>
      </c>
      <c r="I185" s="16">
        <v>62111</v>
      </c>
      <c r="J185" s="16">
        <v>127873</v>
      </c>
      <c r="K185" s="63">
        <v>36.36</v>
      </c>
      <c r="L185" s="16">
        <v>386</v>
      </c>
      <c r="M185" s="16">
        <v>4183</v>
      </c>
      <c r="N185" s="16">
        <v>141</v>
      </c>
      <c r="O185" s="26">
        <f t="shared" si="12"/>
        <v>0.30186200370680283</v>
      </c>
      <c r="P185" s="13" t="str">
        <f t="shared" si="11"/>
        <v>Good</v>
      </c>
      <c r="Q185" s="13">
        <f t="shared" si="13"/>
        <v>3.2712144080454829E-2</v>
      </c>
      <c r="R185" s="16">
        <v>3610</v>
      </c>
      <c r="S185" s="49">
        <v>6.4984159999999999E-2</v>
      </c>
      <c r="T185" s="27">
        <f>IF(Table4[[#This Row],[Link clicks]]=0,0,Table4[[#This Row],[Amount spent ]]/Table4[[#This Row],[Link clicks]])</f>
        <v>9.4196891191709847E-2</v>
      </c>
      <c r="U185" s="62" t="s">
        <v>407</v>
      </c>
      <c r="V185" s="1" t="s">
        <v>413</v>
      </c>
      <c r="W185" s="1">
        <v>6.214680169374185E-3</v>
      </c>
    </row>
    <row r="186" spans="1:23" x14ac:dyDescent="0.25">
      <c r="A186" s="48" t="s">
        <v>70</v>
      </c>
      <c r="B186" s="12" t="s">
        <v>357</v>
      </c>
      <c r="C186" s="1" t="str">
        <f t="shared" si="10"/>
        <v>Jeddah Target Group</v>
      </c>
      <c r="D186" s="1" t="s">
        <v>130</v>
      </c>
      <c r="E186" s="12" t="s">
        <v>230</v>
      </c>
      <c r="F186" s="1" t="s">
        <v>78</v>
      </c>
      <c r="G186" s="1" t="s">
        <v>98</v>
      </c>
      <c r="H186" s="1" t="s">
        <v>94</v>
      </c>
      <c r="I186" s="16">
        <v>4603</v>
      </c>
      <c r="J186" s="16">
        <v>23252</v>
      </c>
      <c r="K186" s="63">
        <v>36.270000000000003</v>
      </c>
      <c r="L186" s="16">
        <v>98</v>
      </c>
      <c r="M186" s="16">
        <v>0</v>
      </c>
      <c r="N186" s="16">
        <v>0</v>
      </c>
      <c r="O186" s="26">
        <f t="shared" si="12"/>
        <v>0.4214691209358335</v>
      </c>
      <c r="P186" s="13" t="str">
        <f t="shared" si="11"/>
        <v>Good</v>
      </c>
      <c r="Q186" s="13">
        <f t="shared" si="13"/>
        <v>0</v>
      </c>
      <c r="R186" s="16">
        <v>3375</v>
      </c>
      <c r="S186" s="49">
        <v>6.8977499999999997E-2</v>
      </c>
      <c r="T186" s="27">
        <f>IF(Table4[[#This Row],[Link clicks]]=0,0,Table4[[#This Row],[Amount spent ]]/Table4[[#This Row],[Link clicks]])</f>
        <v>0.37010204081632658</v>
      </c>
      <c r="U186" s="62" t="s">
        <v>407</v>
      </c>
      <c r="V186" s="1" t="s">
        <v>414</v>
      </c>
      <c r="W186" s="1">
        <v>2.1290462741690198E-2</v>
      </c>
    </row>
    <row r="187" spans="1:23" x14ac:dyDescent="0.25">
      <c r="A187" s="48" t="s">
        <v>70</v>
      </c>
      <c r="B187" s="12" t="s">
        <v>357</v>
      </c>
      <c r="C187" s="1" t="str">
        <f t="shared" si="10"/>
        <v>Jeddah Target Group</v>
      </c>
      <c r="D187" s="1" t="s">
        <v>130</v>
      </c>
      <c r="E187" s="12" t="s">
        <v>150</v>
      </c>
      <c r="F187" s="1" t="s">
        <v>77</v>
      </c>
      <c r="G187" s="1" t="s">
        <v>74</v>
      </c>
      <c r="H187" s="1" t="s">
        <v>92</v>
      </c>
      <c r="I187" s="16">
        <v>3369</v>
      </c>
      <c r="J187" s="16">
        <v>20295</v>
      </c>
      <c r="K187" s="63">
        <v>32.340000000000003</v>
      </c>
      <c r="L187" s="16">
        <v>113</v>
      </c>
      <c r="M187" s="16">
        <v>2192</v>
      </c>
      <c r="N187" s="16">
        <v>80</v>
      </c>
      <c r="O187" s="26">
        <f t="shared" si="12"/>
        <v>0.55678738605567879</v>
      </c>
      <c r="P187" s="13" t="str">
        <f t="shared" si="11"/>
        <v>Good</v>
      </c>
      <c r="Q187" s="13">
        <f t="shared" si="13"/>
        <v>0.10800689825080069</v>
      </c>
      <c r="R187" s="16">
        <v>55</v>
      </c>
      <c r="S187" s="49">
        <v>1.5133200000000001E-3</v>
      </c>
      <c r="T187" s="27">
        <f>IF(Table4[[#This Row],[Link clicks]]=0,0,Table4[[#This Row],[Amount spent ]]/Table4[[#This Row],[Link clicks]])</f>
        <v>0.28619469026548677</v>
      </c>
      <c r="U187" s="62" t="s">
        <v>407</v>
      </c>
      <c r="V187" s="1" t="s">
        <v>414</v>
      </c>
      <c r="W187" s="1">
        <v>3.3541110121697831E-2</v>
      </c>
    </row>
    <row r="188" spans="1:23" x14ac:dyDescent="0.25">
      <c r="A188" s="48" t="s">
        <v>70</v>
      </c>
      <c r="B188" s="12" t="s">
        <v>357</v>
      </c>
      <c r="C188" s="1" t="str">
        <f t="shared" si="10"/>
        <v>Jeddah Target Group</v>
      </c>
      <c r="D188" s="1" t="s">
        <v>130</v>
      </c>
      <c r="E188" s="12" t="s">
        <v>214</v>
      </c>
      <c r="F188" s="1" t="s">
        <v>77</v>
      </c>
      <c r="G188" s="1" t="s">
        <v>74</v>
      </c>
      <c r="H188" s="1" t="s">
        <v>94</v>
      </c>
      <c r="I188" s="16">
        <v>2723</v>
      </c>
      <c r="J188" s="16">
        <v>18515</v>
      </c>
      <c r="K188" s="63">
        <v>29.59</v>
      </c>
      <c r="L188" s="16">
        <v>104</v>
      </c>
      <c r="M188" s="16">
        <v>1668</v>
      </c>
      <c r="N188" s="16">
        <v>37</v>
      </c>
      <c r="O188" s="26">
        <f t="shared" si="12"/>
        <v>0.5617067242776127</v>
      </c>
      <c r="P188" s="13" t="str">
        <f t="shared" si="11"/>
        <v>Good</v>
      </c>
      <c r="Q188" s="13">
        <f t="shared" si="13"/>
        <v>9.008911693221712E-2</v>
      </c>
      <c r="R188" s="16">
        <v>13146</v>
      </c>
      <c r="S188" s="49">
        <v>0.95565571000000005</v>
      </c>
      <c r="T188" s="27">
        <f>IF(Table4[[#This Row],[Link clicks]]=0,0,Table4[[#This Row],[Amount spent ]]/Table4[[#This Row],[Link clicks]])</f>
        <v>0.28451923076923075</v>
      </c>
      <c r="U188" s="62" t="s">
        <v>407</v>
      </c>
      <c r="V188" s="1" t="s">
        <v>414</v>
      </c>
      <c r="W188" s="1">
        <v>3.8193169298567753E-2</v>
      </c>
    </row>
    <row r="189" spans="1:23" x14ac:dyDescent="0.25">
      <c r="A189" s="48" t="s">
        <v>70</v>
      </c>
      <c r="B189" s="12" t="s">
        <v>357</v>
      </c>
      <c r="C189" s="1" t="str">
        <f t="shared" si="10"/>
        <v>Jeddah Target Group</v>
      </c>
      <c r="D189" s="1" t="s">
        <v>130</v>
      </c>
      <c r="E189" s="12" t="s">
        <v>165</v>
      </c>
      <c r="F189" s="1" t="s">
        <v>77</v>
      </c>
      <c r="G189" s="1" t="s">
        <v>98</v>
      </c>
      <c r="H189" s="1" t="s">
        <v>94</v>
      </c>
      <c r="I189" s="16">
        <v>2543</v>
      </c>
      <c r="J189" s="16">
        <v>18765</v>
      </c>
      <c r="K189" s="63">
        <v>29.04</v>
      </c>
      <c r="L189" s="16">
        <v>95</v>
      </c>
      <c r="M189" s="16">
        <v>0</v>
      </c>
      <c r="N189" s="16">
        <v>0</v>
      </c>
      <c r="O189" s="26">
        <f t="shared" si="12"/>
        <v>0.50626165734079409</v>
      </c>
      <c r="P189" s="13" t="str">
        <f t="shared" si="11"/>
        <v>Good</v>
      </c>
      <c r="Q189" s="13">
        <f t="shared" si="13"/>
        <v>0</v>
      </c>
      <c r="R189" s="16">
        <v>2680</v>
      </c>
      <c r="S189" s="49">
        <v>6.8341200000000005E-2</v>
      </c>
      <c r="T189" s="27">
        <f>IF(Table4[[#This Row],[Link clicks]]=0,0,Table4[[#This Row],[Amount spent ]]/Table4[[#This Row],[Link clicks]])</f>
        <v>0.30568421052631578</v>
      </c>
      <c r="U189" s="62" t="s">
        <v>407</v>
      </c>
      <c r="V189" s="1" t="s">
        <v>414</v>
      </c>
      <c r="W189" s="1">
        <v>3.7357451828548958E-2</v>
      </c>
    </row>
    <row r="190" spans="1:23" x14ac:dyDescent="0.25">
      <c r="A190" s="48" t="s">
        <v>70</v>
      </c>
      <c r="B190" s="12" t="s">
        <v>357</v>
      </c>
      <c r="C190" s="1" t="str">
        <f t="shared" si="10"/>
        <v>Jeddah Target Group</v>
      </c>
      <c r="D190" s="1" t="s">
        <v>73</v>
      </c>
      <c r="E190" s="12" t="s">
        <v>240</v>
      </c>
      <c r="F190" s="1" t="s">
        <v>77</v>
      </c>
      <c r="G190" s="1" t="s">
        <v>74</v>
      </c>
      <c r="H190" s="1" t="s">
        <v>92</v>
      </c>
      <c r="I190" s="16">
        <v>51725</v>
      </c>
      <c r="J190" s="16">
        <v>95231</v>
      </c>
      <c r="K190" s="63">
        <v>26.54</v>
      </c>
      <c r="L190" s="16">
        <v>274</v>
      </c>
      <c r="M190" s="16">
        <v>3854</v>
      </c>
      <c r="N190" s="16">
        <v>97</v>
      </c>
      <c r="O190" s="26">
        <f t="shared" si="12"/>
        <v>0.28772143524692589</v>
      </c>
      <c r="P190" s="13" t="str">
        <f t="shared" si="11"/>
        <v>Good</v>
      </c>
      <c r="Q190" s="13">
        <f t="shared" si="13"/>
        <v>4.0470015016118702E-2</v>
      </c>
      <c r="R190" s="16">
        <v>40</v>
      </c>
      <c r="S190" s="49">
        <v>1.370332E-2</v>
      </c>
      <c r="T190" s="27">
        <f>IF(Table4[[#This Row],[Link clicks]]=0,0,Table4[[#This Row],[Amount spent ]]/Table4[[#This Row],[Link clicks]])</f>
        <v>9.686131386861313E-2</v>
      </c>
      <c r="U190" s="62" t="s">
        <v>407</v>
      </c>
      <c r="V190" s="1" t="s">
        <v>413</v>
      </c>
      <c r="W190" s="1">
        <v>5.2972450459159012E-3</v>
      </c>
    </row>
    <row r="191" spans="1:23" x14ac:dyDescent="0.25">
      <c r="A191" s="48" t="s">
        <v>70</v>
      </c>
      <c r="B191" s="12" t="s">
        <v>357</v>
      </c>
      <c r="C191" s="1" t="str">
        <f t="shared" si="10"/>
        <v>Jeddah Target Group</v>
      </c>
      <c r="D191" s="1" t="s">
        <v>73</v>
      </c>
      <c r="E191" s="12" t="s">
        <v>230</v>
      </c>
      <c r="F191" s="1" t="s">
        <v>78</v>
      </c>
      <c r="G191" s="1" t="s">
        <v>98</v>
      </c>
      <c r="H191" s="1" t="s">
        <v>94</v>
      </c>
      <c r="I191" s="16">
        <v>50080</v>
      </c>
      <c r="J191" s="16">
        <v>83528</v>
      </c>
      <c r="K191" s="63">
        <v>24.48</v>
      </c>
      <c r="L191" s="16">
        <v>198</v>
      </c>
      <c r="M191" s="16">
        <v>0</v>
      </c>
      <c r="N191" s="16">
        <v>0</v>
      </c>
      <c r="O191" s="26">
        <f t="shared" si="12"/>
        <v>0.23704625993678768</v>
      </c>
      <c r="P191" s="13" t="str">
        <f t="shared" si="11"/>
        <v>Good</v>
      </c>
      <c r="Q191" s="13">
        <f t="shared" si="13"/>
        <v>0</v>
      </c>
      <c r="R191" s="16">
        <v>126</v>
      </c>
      <c r="S191" s="49">
        <v>2.5938200000000002E-3</v>
      </c>
      <c r="T191" s="27">
        <f>IF(Table4[[#This Row],[Link clicks]]=0,0,Table4[[#This Row],[Amount spent ]]/Table4[[#This Row],[Link clicks]])</f>
        <v>0.12363636363636364</v>
      </c>
      <c r="U191" s="62" t="s">
        <v>407</v>
      </c>
      <c r="V191" s="1" t="s">
        <v>413</v>
      </c>
      <c r="W191" s="1">
        <v>3.9536741214057508E-3</v>
      </c>
    </row>
    <row r="192" spans="1:23" x14ac:dyDescent="0.25">
      <c r="A192" s="48" t="s">
        <v>70</v>
      </c>
      <c r="B192" s="12" t="s">
        <v>357</v>
      </c>
      <c r="C192" s="1" t="str">
        <f t="shared" si="10"/>
        <v>Jeddah Target Group</v>
      </c>
      <c r="D192" s="1" t="s">
        <v>73</v>
      </c>
      <c r="E192" s="12" t="s">
        <v>245</v>
      </c>
      <c r="F192" s="1" t="s">
        <v>77</v>
      </c>
      <c r="G192" s="1" t="s">
        <v>118</v>
      </c>
      <c r="H192" s="1" t="s">
        <v>94</v>
      </c>
      <c r="I192" s="16">
        <v>48112</v>
      </c>
      <c r="J192" s="16">
        <v>72350</v>
      </c>
      <c r="K192" s="63">
        <v>23.57</v>
      </c>
      <c r="L192" s="16">
        <v>150</v>
      </c>
      <c r="M192" s="16">
        <v>2556</v>
      </c>
      <c r="N192" s="16">
        <v>2657</v>
      </c>
      <c r="O192" s="26">
        <f t="shared" si="12"/>
        <v>0.2073255010366275</v>
      </c>
      <c r="P192" s="13" t="str">
        <f t="shared" si="11"/>
        <v>Good</v>
      </c>
      <c r="Q192" s="13">
        <f t="shared" si="13"/>
        <v>3.5328265376641327E-2</v>
      </c>
      <c r="R192" s="16">
        <v>4219</v>
      </c>
      <c r="S192" s="49">
        <v>8.7870199999999996E-2</v>
      </c>
      <c r="T192" s="27">
        <f>IF(Table4[[#This Row],[Link clicks]]=0,0,Table4[[#This Row],[Amount spent ]]/Table4[[#This Row],[Link clicks]])</f>
        <v>0.15713333333333335</v>
      </c>
      <c r="U192" s="62" t="s">
        <v>407</v>
      </c>
      <c r="V192" s="1" t="s">
        <v>413</v>
      </c>
      <c r="W192" s="1">
        <v>3.1177253076155641E-3</v>
      </c>
    </row>
    <row r="193" spans="1:23" x14ac:dyDescent="0.25">
      <c r="A193" s="48" t="s">
        <v>70</v>
      </c>
      <c r="B193" s="12" t="s">
        <v>357</v>
      </c>
      <c r="C193" s="1" t="str">
        <f t="shared" si="10"/>
        <v>Jeddah Target Group</v>
      </c>
      <c r="D193" s="1" t="s">
        <v>73</v>
      </c>
      <c r="E193" s="12" t="s">
        <v>247</v>
      </c>
      <c r="F193" s="1" t="s">
        <v>78</v>
      </c>
      <c r="G193" s="1" t="s">
        <v>74</v>
      </c>
      <c r="H193" s="1" t="s">
        <v>94</v>
      </c>
      <c r="I193" s="16">
        <v>34991</v>
      </c>
      <c r="J193" s="16">
        <v>80209</v>
      </c>
      <c r="K193" s="63">
        <v>22.21</v>
      </c>
      <c r="L193" s="16">
        <v>164</v>
      </c>
      <c r="M193" s="16">
        <v>1297</v>
      </c>
      <c r="N193" s="16">
        <v>1129</v>
      </c>
      <c r="O193" s="26">
        <f t="shared" si="12"/>
        <v>0.20446583301125809</v>
      </c>
      <c r="P193" s="13" t="str">
        <f t="shared" si="11"/>
        <v>Good</v>
      </c>
      <c r="Q193" s="13">
        <f t="shared" si="13"/>
        <v>1.61702552082684E-2</v>
      </c>
      <c r="R193" s="16">
        <v>1836</v>
      </c>
      <c r="S193" s="49">
        <v>1.0268456399999999</v>
      </c>
      <c r="T193" s="27">
        <f>IF(Table4[[#This Row],[Link clicks]]=0,0,Table4[[#This Row],[Amount spent ]]/Table4[[#This Row],[Link clicks]])</f>
        <v>0.13542682926829269</v>
      </c>
      <c r="U193" s="62" t="s">
        <v>407</v>
      </c>
      <c r="V193" s="1" t="s">
        <v>413</v>
      </c>
      <c r="W193" s="1">
        <v>4.6869194935840646E-3</v>
      </c>
    </row>
    <row r="194" spans="1:23" x14ac:dyDescent="0.25">
      <c r="A194" s="48" t="s">
        <v>70</v>
      </c>
      <c r="B194" s="12" t="s">
        <v>357</v>
      </c>
      <c r="C194" s="1" t="str">
        <f t="shared" ref="C194:C257" si="14">IF(A194 = "AE","United Arab Emirates Target Group",IF(A194 = "BAH","Bahrain Target Group",IF(A194="JED","Jeddah Target Group",IF(A194="KWT","Kuwait Target Group",IF(A194="QAT","Qatar Target Group",IF(A194="RIY","Riyadh Target Group","Oman Target Group"))))))</f>
        <v>Jeddah Target Group</v>
      </c>
      <c r="D194" s="1" t="s">
        <v>130</v>
      </c>
      <c r="E194" s="12" t="s">
        <v>175</v>
      </c>
      <c r="F194" s="1" t="s">
        <v>78</v>
      </c>
      <c r="G194" s="1" t="s">
        <v>74</v>
      </c>
      <c r="H194" s="1" t="s">
        <v>94</v>
      </c>
      <c r="I194" s="16">
        <v>1922</v>
      </c>
      <c r="J194" s="16">
        <v>4992</v>
      </c>
      <c r="K194" s="63">
        <v>21.19</v>
      </c>
      <c r="L194" s="16">
        <v>138</v>
      </c>
      <c r="M194" s="16">
        <v>3489</v>
      </c>
      <c r="N194" s="16">
        <v>17</v>
      </c>
      <c r="O194" s="26">
        <f t="shared" si="12"/>
        <v>2.7644230769230766</v>
      </c>
      <c r="P194" s="13" t="str">
        <f t="shared" ref="P194:P257" si="15">IF(O194&gt;0.2,"Good","Bad")</f>
        <v>Good</v>
      </c>
      <c r="Q194" s="13">
        <f t="shared" si="13"/>
        <v>0.69891826923076927</v>
      </c>
      <c r="R194" s="16">
        <v>20</v>
      </c>
      <c r="S194" s="49">
        <v>4.8111600000000001E-3</v>
      </c>
      <c r="T194" s="27">
        <f>IF(Table4[[#This Row],[Link clicks]]=0,0,Table4[[#This Row],[Amount spent ]]/Table4[[#This Row],[Link clicks]])</f>
        <v>0.15355072463768116</v>
      </c>
      <c r="U194" s="62" t="s">
        <v>407</v>
      </c>
      <c r="V194" s="1" t="s">
        <v>414</v>
      </c>
      <c r="W194" s="1">
        <v>7.1800208116545264E-2</v>
      </c>
    </row>
    <row r="195" spans="1:23" x14ac:dyDescent="0.25">
      <c r="A195" s="48" t="s">
        <v>70</v>
      </c>
      <c r="B195" s="12" t="s">
        <v>357</v>
      </c>
      <c r="C195" s="1" t="str">
        <f t="shared" si="14"/>
        <v>Jeddah Target Group</v>
      </c>
      <c r="D195" s="1" t="s">
        <v>130</v>
      </c>
      <c r="E195" s="12" t="s">
        <v>181</v>
      </c>
      <c r="F195" s="1" t="s">
        <v>77</v>
      </c>
      <c r="G195" s="1" t="s">
        <v>74</v>
      </c>
      <c r="H195" s="1" t="s">
        <v>94</v>
      </c>
      <c r="I195" s="16">
        <v>3172</v>
      </c>
      <c r="J195" s="16">
        <v>12106</v>
      </c>
      <c r="K195" s="63">
        <v>20.82</v>
      </c>
      <c r="L195" s="16">
        <v>65</v>
      </c>
      <c r="M195" s="16">
        <v>862</v>
      </c>
      <c r="N195" s="16">
        <v>22</v>
      </c>
      <c r="O195" s="26">
        <f t="shared" ref="O195:O258" si="16">IF(J195=0,0,(L195/J195)*100)</f>
        <v>0.53692383941847011</v>
      </c>
      <c r="P195" s="13" t="str">
        <f t="shared" si="15"/>
        <v>Good</v>
      </c>
      <c r="Q195" s="13">
        <f t="shared" si="13"/>
        <v>7.1204361473649433E-2</v>
      </c>
      <c r="R195" s="16">
        <v>2764</v>
      </c>
      <c r="S195" s="49">
        <v>2.03235294</v>
      </c>
      <c r="T195" s="27">
        <f>IF(Table4[[#This Row],[Link clicks]]=0,0,Table4[[#This Row],[Amount spent ]]/Table4[[#This Row],[Link clicks]])</f>
        <v>0.32030769230769229</v>
      </c>
      <c r="U195" s="62" t="s">
        <v>407</v>
      </c>
      <c r="V195" s="1" t="s">
        <v>414</v>
      </c>
      <c r="W195" s="1">
        <v>2.049180327868852E-2</v>
      </c>
    </row>
    <row r="196" spans="1:23" x14ac:dyDescent="0.25">
      <c r="A196" s="48" t="s">
        <v>70</v>
      </c>
      <c r="B196" s="12" t="s">
        <v>357</v>
      </c>
      <c r="C196" s="1" t="str">
        <f t="shared" si="14"/>
        <v>Jeddah Target Group</v>
      </c>
      <c r="D196" s="1" t="s">
        <v>130</v>
      </c>
      <c r="E196" s="12" t="s">
        <v>217</v>
      </c>
      <c r="F196" s="1" t="s">
        <v>77</v>
      </c>
      <c r="G196" s="1" t="s">
        <v>74</v>
      </c>
      <c r="H196" s="1" t="s">
        <v>94</v>
      </c>
      <c r="I196" s="16">
        <v>3332</v>
      </c>
      <c r="J196" s="16">
        <v>11918</v>
      </c>
      <c r="K196" s="63">
        <v>18.93</v>
      </c>
      <c r="L196" s="16">
        <v>55</v>
      </c>
      <c r="M196" s="16">
        <v>614</v>
      </c>
      <c r="N196" s="16">
        <v>572</v>
      </c>
      <c r="O196" s="26">
        <f t="shared" si="16"/>
        <v>0.46148682664876656</v>
      </c>
      <c r="P196" s="13" t="str">
        <f t="shared" si="15"/>
        <v>Good</v>
      </c>
      <c r="Q196" s="13">
        <f t="shared" si="13"/>
        <v>5.151871119315321E-2</v>
      </c>
      <c r="R196" s="16">
        <v>3383</v>
      </c>
      <c r="S196" s="49">
        <v>0.12257245999999999</v>
      </c>
      <c r="T196" s="27">
        <f>IF(Table4[[#This Row],[Link clicks]]=0,0,Table4[[#This Row],[Amount spent ]]/Table4[[#This Row],[Link clicks]])</f>
        <v>0.3441818181818182</v>
      </c>
      <c r="U196" s="62" t="s">
        <v>407</v>
      </c>
      <c r="V196" s="1" t="s">
        <v>414</v>
      </c>
      <c r="W196" s="1">
        <v>1.6506602641056418E-2</v>
      </c>
    </row>
    <row r="197" spans="1:23" x14ac:dyDescent="0.25">
      <c r="A197" s="48" t="s">
        <v>70</v>
      </c>
      <c r="B197" s="12" t="s">
        <v>357</v>
      </c>
      <c r="C197" s="1" t="str">
        <f t="shared" si="14"/>
        <v>Jeddah Target Group</v>
      </c>
      <c r="D197" s="1" t="s">
        <v>73</v>
      </c>
      <c r="E197" s="12" t="s">
        <v>45</v>
      </c>
      <c r="F197" s="1" t="s">
        <v>78</v>
      </c>
      <c r="G197" s="1" t="s">
        <v>74</v>
      </c>
      <c r="H197" s="1" t="s">
        <v>75</v>
      </c>
      <c r="I197" s="16">
        <v>48929</v>
      </c>
      <c r="J197" s="16">
        <v>62862</v>
      </c>
      <c r="K197" s="63">
        <v>18.02</v>
      </c>
      <c r="L197" s="16">
        <v>26</v>
      </c>
      <c r="M197" s="16">
        <v>3348</v>
      </c>
      <c r="N197" s="16">
        <v>48</v>
      </c>
      <c r="O197" s="26">
        <f t="shared" si="16"/>
        <v>4.1360440329610892E-2</v>
      </c>
      <c r="P197" s="13" t="str">
        <f t="shared" si="15"/>
        <v>Bad</v>
      </c>
      <c r="Q197" s="13">
        <f t="shared" si="13"/>
        <v>5.3259520855206646E-2</v>
      </c>
      <c r="R197" s="16">
        <v>2393</v>
      </c>
      <c r="S197" s="49">
        <v>5.429751E-2</v>
      </c>
      <c r="T197" s="27">
        <f>IF(Table4[[#This Row],[Link clicks]]=0,0,Table4[[#This Row],[Amount spent ]]/Table4[[#This Row],[Link clicks]])</f>
        <v>0.69307692307692303</v>
      </c>
      <c r="U197" s="62" t="s">
        <v>407</v>
      </c>
      <c r="V197" s="1" t="s">
        <v>413</v>
      </c>
      <c r="W197" s="1">
        <v>5.3138220687118072E-4</v>
      </c>
    </row>
    <row r="198" spans="1:23" x14ac:dyDescent="0.25">
      <c r="A198" s="48" t="s">
        <v>70</v>
      </c>
      <c r="B198" s="12" t="s">
        <v>357</v>
      </c>
      <c r="C198" s="1" t="str">
        <f t="shared" si="14"/>
        <v>Jeddah Target Group</v>
      </c>
      <c r="D198" s="1" t="s">
        <v>130</v>
      </c>
      <c r="E198" s="12" t="s">
        <v>183</v>
      </c>
      <c r="F198" s="1" t="s">
        <v>77</v>
      </c>
      <c r="G198" s="1" t="s">
        <v>98</v>
      </c>
      <c r="H198" s="1" t="s">
        <v>94</v>
      </c>
      <c r="I198" s="16">
        <v>2919</v>
      </c>
      <c r="J198" s="16">
        <v>11352</v>
      </c>
      <c r="K198" s="63">
        <v>17.29</v>
      </c>
      <c r="L198" s="16">
        <v>63</v>
      </c>
      <c r="M198" s="16">
        <v>0</v>
      </c>
      <c r="N198" s="16">
        <v>0</v>
      </c>
      <c r="O198" s="26">
        <f t="shared" si="16"/>
        <v>0.55496828752642713</v>
      </c>
      <c r="P198" s="13" t="str">
        <f t="shared" si="15"/>
        <v>Good</v>
      </c>
      <c r="Q198" s="13">
        <f t="shared" si="13"/>
        <v>0</v>
      </c>
      <c r="R198" s="16">
        <v>449</v>
      </c>
      <c r="S198" s="49">
        <v>0.13597819999999999</v>
      </c>
      <c r="T198" s="27">
        <f>IF(Table4[[#This Row],[Link clicks]]=0,0,Table4[[#This Row],[Amount spent ]]/Table4[[#This Row],[Link clicks]])</f>
        <v>0.27444444444444444</v>
      </c>
      <c r="U198" s="62" t="s">
        <v>407</v>
      </c>
      <c r="V198" s="1" t="s">
        <v>414</v>
      </c>
      <c r="W198" s="1">
        <v>2.1582733812949641E-2</v>
      </c>
    </row>
    <row r="199" spans="1:23" x14ac:dyDescent="0.25">
      <c r="A199" s="48" t="s">
        <v>70</v>
      </c>
      <c r="B199" s="12" t="s">
        <v>357</v>
      </c>
      <c r="C199" s="1" t="str">
        <f t="shared" si="14"/>
        <v>Jeddah Target Group</v>
      </c>
      <c r="D199" s="1" t="s">
        <v>130</v>
      </c>
      <c r="E199" s="12" t="s">
        <v>192</v>
      </c>
      <c r="F199" s="1" t="s">
        <v>78</v>
      </c>
      <c r="G199" s="1" t="s">
        <v>74</v>
      </c>
      <c r="H199" s="1" t="s">
        <v>92</v>
      </c>
      <c r="I199" s="16">
        <v>1788</v>
      </c>
      <c r="J199" s="16">
        <v>6410</v>
      </c>
      <c r="K199" s="63">
        <v>15.92</v>
      </c>
      <c r="L199" s="16">
        <v>53</v>
      </c>
      <c r="M199" s="16">
        <v>1790</v>
      </c>
      <c r="N199" s="16">
        <v>18</v>
      </c>
      <c r="O199" s="26">
        <f t="shared" si="16"/>
        <v>0.82683307332293288</v>
      </c>
      <c r="P199" s="13" t="str">
        <f t="shared" si="15"/>
        <v>Good</v>
      </c>
      <c r="Q199" s="13">
        <f t="shared" si="13"/>
        <v>0.27925117004680189</v>
      </c>
      <c r="R199" s="16">
        <v>1880</v>
      </c>
      <c r="S199" s="49">
        <v>5.5450680000000002E-2</v>
      </c>
      <c r="T199" s="27">
        <f>IF(Table4[[#This Row],[Link clicks]]=0,0,Table4[[#This Row],[Amount spent ]]/Table4[[#This Row],[Link clicks]])</f>
        <v>0.30037735849056602</v>
      </c>
      <c r="U199" s="62" t="s">
        <v>407</v>
      </c>
      <c r="V199" s="1" t="s">
        <v>414</v>
      </c>
      <c r="W199" s="1">
        <v>2.9642058165548098E-2</v>
      </c>
    </row>
    <row r="200" spans="1:23" x14ac:dyDescent="0.25">
      <c r="A200" s="48" t="s">
        <v>70</v>
      </c>
      <c r="B200" s="12" t="s">
        <v>357</v>
      </c>
      <c r="C200" s="1" t="str">
        <f t="shared" si="14"/>
        <v>Jeddah Target Group</v>
      </c>
      <c r="D200" s="1" t="s">
        <v>130</v>
      </c>
      <c r="E200" s="12" t="s">
        <v>223</v>
      </c>
      <c r="F200" s="1" t="s">
        <v>78</v>
      </c>
      <c r="G200" s="1" t="s">
        <v>98</v>
      </c>
      <c r="H200" s="1" t="s">
        <v>94</v>
      </c>
      <c r="I200" s="16">
        <v>4157</v>
      </c>
      <c r="J200" s="16">
        <v>10926</v>
      </c>
      <c r="K200" s="63">
        <v>15.76</v>
      </c>
      <c r="L200" s="16">
        <v>43</v>
      </c>
      <c r="M200" s="16">
        <v>0</v>
      </c>
      <c r="N200" s="16">
        <v>0</v>
      </c>
      <c r="O200" s="26">
        <f t="shared" si="16"/>
        <v>0.39355665385319416</v>
      </c>
      <c r="P200" s="13" t="str">
        <f t="shared" si="15"/>
        <v>Good</v>
      </c>
      <c r="Q200" s="13">
        <f t="shared" si="13"/>
        <v>0</v>
      </c>
      <c r="R200" s="16">
        <v>2729</v>
      </c>
      <c r="S200" s="49">
        <v>5.5466349999999998E-2</v>
      </c>
      <c r="T200" s="27">
        <f>IF(Table4[[#This Row],[Link clicks]]=0,0,Table4[[#This Row],[Amount spent ]]/Table4[[#This Row],[Link clicks]])</f>
        <v>0.36651162790697672</v>
      </c>
      <c r="U200" s="62" t="s">
        <v>407</v>
      </c>
      <c r="V200" s="1" t="s">
        <v>414</v>
      </c>
      <c r="W200" s="1">
        <v>1.034399807553524E-2</v>
      </c>
    </row>
    <row r="201" spans="1:23" x14ac:dyDescent="0.25">
      <c r="A201" s="48" t="s">
        <v>70</v>
      </c>
      <c r="B201" s="12" t="s">
        <v>357</v>
      </c>
      <c r="C201" s="1" t="str">
        <f t="shared" si="14"/>
        <v>Jeddah Target Group</v>
      </c>
      <c r="D201" s="1" t="s">
        <v>73</v>
      </c>
      <c r="E201" s="12" t="s">
        <v>259</v>
      </c>
      <c r="F201" s="1" t="s">
        <v>78</v>
      </c>
      <c r="G201" s="1" t="s">
        <v>118</v>
      </c>
      <c r="H201" s="1" t="s">
        <v>94</v>
      </c>
      <c r="I201" s="16">
        <v>33904</v>
      </c>
      <c r="J201" s="16">
        <v>49199</v>
      </c>
      <c r="K201" s="63">
        <v>15.25</v>
      </c>
      <c r="L201" s="16">
        <v>84</v>
      </c>
      <c r="M201" s="16">
        <v>1836</v>
      </c>
      <c r="N201" s="16">
        <v>1865</v>
      </c>
      <c r="O201" s="26">
        <f t="shared" si="16"/>
        <v>0.17073517754425904</v>
      </c>
      <c r="P201" s="13" t="str">
        <f t="shared" si="15"/>
        <v>Bad</v>
      </c>
      <c r="Q201" s="13">
        <f t="shared" si="13"/>
        <v>3.7317831663245191E-2</v>
      </c>
      <c r="R201" s="16">
        <v>105</v>
      </c>
      <c r="S201" s="49">
        <v>4.1079799999999998E-3</v>
      </c>
      <c r="T201" s="27">
        <f>IF(Table4[[#This Row],[Link clicks]]=0,0,Table4[[#This Row],[Amount spent ]]/Table4[[#This Row],[Link clicks]])</f>
        <v>0.18154761904761904</v>
      </c>
      <c r="U201" s="62" t="s">
        <v>407</v>
      </c>
      <c r="V201" s="1" t="s">
        <v>413</v>
      </c>
      <c r="W201" s="1">
        <v>2.477583765927324E-3</v>
      </c>
    </row>
    <row r="202" spans="1:23" x14ac:dyDescent="0.25">
      <c r="A202" s="48" t="s">
        <v>70</v>
      </c>
      <c r="B202" s="12" t="s">
        <v>357</v>
      </c>
      <c r="C202" s="1" t="str">
        <f t="shared" si="14"/>
        <v>Jeddah Target Group</v>
      </c>
      <c r="D202" s="1" t="s">
        <v>130</v>
      </c>
      <c r="E202" s="12" t="s">
        <v>199</v>
      </c>
      <c r="F202" s="1" t="s">
        <v>77</v>
      </c>
      <c r="G202" s="1" t="s">
        <v>98</v>
      </c>
      <c r="H202" s="1" t="s">
        <v>94</v>
      </c>
      <c r="I202" s="16">
        <v>2830</v>
      </c>
      <c r="J202" s="16">
        <v>9349</v>
      </c>
      <c r="K202" s="63">
        <v>14.93</v>
      </c>
      <c r="L202" s="16">
        <v>36</v>
      </c>
      <c r="M202" s="16">
        <v>0</v>
      </c>
      <c r="N202" s="16">
        <v>0</v>
      </c>
      <c r="O202" s="26">
        <f t="shared" si="16"/>
        <v>0.38506792170285592</v>
      </c>
      <c r="P202" s="13" t="str">
        <f t="shared" si="15"/>
        <v>Good</v>
      </c>
      <c r="Q202" s="13">
        <f t="shared" si="13"/>
        <v>0</v>
      </c>
      <c r="R202" s="16">
        <v>1971</v>
      </c>
      <c r="S202" s="49">
        <v>8.9741840000000003E-2</v>
      </c>
      <c r="T202" s="27">
        <f>IF(Table4[[#This Row],[Link clicks]]=0,0,Table4[[#This Row],[Amount spent ]]/Table4[[#This Row],[Link clicks]])</f>
        <v>0.41472222222222221</v>
      </c>
      <c r="U202" s="62" t="s">
        <v>407</v>
      </c>
      <c r="V202" s="1" t="s">
        <v>414</v>
      </c>
      <c r="W202" s="1">
        <v>1.27208480565371E-2</v>
      </c>
    </row>
    <row r="203" spans="1:23" x14ac:dyDescent="0.25">
      <c r="A203" s="48" t="s">
        <v>70</v>
      </c>
      <c r="B203" s="12" t="s">
        <v>357</v>
      </c>
      <c r="C203" s="1" t="str">
        <f t="shared" si="14"/>
        <v>Jeddah Target Group</v>
      </c>
      <c r="D203" s="1" t="s">
        <v>130</v>
      </c>
      <c r="E203" s="12" t="s">
        <v>229</v>
      </c>
      <c r="F203" s="1" t="s">
        <v>78</v>
      </c>
      <c r="G203" s="1" t="s">
        <v>74</v>
      </c>
      <c r="H203" s="1" t="s">
        <v>92</v>
      </c>
      <c r="I203" s="16">
        <v>1397</v>
      </c>
      <c r="J203" s="16">
        <v>9120</v>
      </c>
      <c r="K203" s="63">
        <v>14.78</v>
      </c>
      <c r="L203" s="16">
        <v>39</v>
      </c>
      <c r="M203" s="16">
        <v>717</v>
      </c>
      <c r="N203" s="16">
        <v>16</v>
      </c>
      <c r="O203" s="26">
        <f t="shared" si="16"/>
        <v>0.42763157894736847</v>
      </c>
      <c r="P203" s="13" t="str">
        <f t="shared" si="15"/>
        <v>Good</v>
      </c>
      <c r="Q203" s="13">
        <f t="shared" si="13"/>
        <v>7.8618421052631574E-2</v>
      </c>
      <c r="R203" s="16">
        <v>21</v>
      </c>
      <c r="S203" s="49">
        <v>7.4204900000000001E-3</v>
      </c>
      <c r="T203" s="27">
        <f>IF(Table4[[#This Row],[Link clicks]]=0,0,Table4[[#This Row],[Amount spent ]]/Table4[[#This Row],[Link clicks]])</f>
        <v>0.37897435897435894</v>
      </c>
      <c r="U203" s="62" t="s">
        <v>407</v>
      </c>
      <c r="V203" s="1" t="s">
        <v>414</v>
      </c>
      <c r="W203" s="1">
        <v>2.7916964924838941E-2</v>
      </c>
    </row>
    <row r="204" spans="1:23" x14ac:dyDescent="0.25">
      <c r="A204" s="48" t="s">
        <v>70</v>
      </c>
      <c r="B204" s="12" t="s">
        <v>357</v>
      </c>
      <c r="C204" s="1" t="str">
        <f t="shared" si="14"/>
        <v>Jeddah Target Group</v>
      </c>
      <c r="D204" s="1" t="s">
        <v>130</v>
      </c>
      <c r="E204" s="12" t="s">
        <v>180</v>
      </c>
      <c r="F204" s="1" t="s">
        <v>78</v>
      </c>
      <c r="G204" s="1" t="s">
        <v>74</v>
      </c>
      <c r="H204" s="1" t="s">
        <v>92</v>
      </c>
      <c r="I204" s="16">
        <v>1972</v>
      </c>
      <c r="J204" s="16">
        <v>7876</v>
      </c>
      <c r="K204" s="63">
        <v>13.05</v>
      </c>
      <c r="L204" s="16">
        <v>42</v>
      </c>
      <c r="M204" s="16">
        <v>837</v>
      </c>
      <c r="N204" s="16">
        <v>27</v>
      </c>
      <c r="O204" s="26">
        <f t="shared" si="16"/>
        <v>0.53326561706449971</v>
      </c>
      <c r="P204" s="13" t="str">
        <f t="shared" si="15"/>
        <v>Good</v>
      </c>
      <c r="Q204" s="13">
        <f t="shared" si="13"/>
        <v>0.10627221940071102</v>
      </c>
      <c r="R204" s="16">
        <v>3740</v>
      </c>
      <c r="S204" s="49">
        <v>8.4936300000000006E-2</v>
      </c>
      <c r="T204" s="27">
        <f>IF(Table4[[#This Row],[Link clicks]]=0,0,Table4[[#This Row],[Amount spent ]]/Table4[[#This Row],[Link clicks]])</f>
        <v>0.31071428571428572</v>
      </c>
      <c r="U204" s="62" t="s">
        <v>407</v>
      </c>
      <c r="V204" s="1" t="s">
        <v>414</v>
      </c>
      <c r="W204" s="1">
        <v>2.1298174442190669E-2</v>
      </c>
    </row>
    <row r="205" spans="1:23" x14ac:dyDescent="0.25">
      <c r="A205" s="48" t="s">
        <v>70</v>
      </c>
      <c r="B205" s="12" t="s">
        <v>357</v>
      </c>
      <c r="C205" s="1" t="str">
        <f t="shared" si="14"/>
        <v>Jeddah Target Group</v>
      </c>
      <c r="D205" s="1" t="s">
        <v>130</v>
      </c>
      <c r="E205" s="12" t="s">
        <v>267</v>
      </c>
      <c r="F205" s="1" t="s">
        <v>78</v>
      </c>
      <c r="G205" s="1" t="s">
        <v>74</v>
      </c>
      <c r="H205" s="1" t="s">
        <v>75</v>
      </c>
      <c r="I205" s="16">
        <v>2238</v>
      </c>
      <c r="J205" s="16">
        <v>6416</v>
      </c>
      <c r="K205" s="63">
        <v>11.41</v>
      </c>
      <c r="L205" s="16">
        <v>3</v>
      </c>
      <c r="M205" s="16">
        <v>275</v>
      </c>
      <c r="N205" s="16">
        <v>4</v>
      </c>
      <c r="O205" s="26">
        <f t="shared" si="16"/>
        <v>4.6758104738154616E-2</v>
      </c>
      <c r="P205" s="13" t="str">
        <f t="shared" si="15"/>
        <v>Bad</v>
      </c>
      <c r="Q205" s="13">
        <f t="shared" si="13"/>
        <v>4.2861596009975064E-2</v>
      </c>
      <c r="R205" s="16">
        <v>729</v>
      </c>
      <c r="S205" s="49">
        <v>0.52183250000000003</v>
      </c>
      <c r="T205" s="27">
        <f>IF(Table4[[#This Row],[Link clicks]]=0,0,Table4[[#This Row],[Amount spent ]]/Table4[[#This Row],[Link clicks]])</f>
        <v>3.8033333333333332</v>
      </c>
      <c r="U205" s="62" t="s">
        <v>407</v>
      </c>
      <c r="V205" s="1" t="s">
        <v>414</v>
      </c>
      <c r="W205" s="1">
        <v>1.340482573726542E-3</v>
      </c>
    </row>
    <row r="206" spans="1:23" x14ac:dyDescent="0.25">
      <c r="A206" s="48" t="s">
        <v>70</v>
      </c>
      <c r="B206" s="12" t="s">
        <v>357</v>
      </c>
      <c r="C206" s="1" t="str">
        <f t="shared" si="14"/>
        <v>Jeddah Target Group</v>
      </c>
      <c r="D206" s="1" t="s">
        <v>130</v>
      </c>
      <c r="E206" s="12" t="s">
        <v>45</v>
      </c>
      <c r="F206" s="1" t="s">
        <v>78</v>
      </c>
      <c r="G206" s="1" t="s">
        <v>74</v>
      </c>
      <c r="H206" s="1" t="s">
        <v>75</v>
      </c>
      <c r="I206" s="16">
        <v>2150</v>
      </c>
      <c r="J206" s="16">
        <v>6112</v>
      </c>
      <c r="K206" s="63">
        <v>10.94</v>
      </c>
      <c r="L206" s="16">
        <v>2</v>
      </c>
      <c r="M206" s="16">
        <v>370</v>
      </c>
      <c r="N206" s="16">
        <v>4</v>
      </c>
      <c r="O206" s="26">
        <f t="shared" si="16"/>
        <v>3.2722513089005235E-2</v>
      </c>
      <c r="P206" s="13" t="str">
        <f t="shared" si="15"/>
        <v>Bad</v>
      </c>
      <c r="Q206" s="13">
        <f t="shared" si="13"/>
        <v>6.0536649214659684E-2</v>
      </c>
      <c r="R206" s="16">
        <v>1835</v>
      </c>
      <c r="S206" s="49">
        <v>5.084793E-2</v>
      </c>
      <c r="T206" s="27">
        <f>IF(Table4[[#This Row],[Link clicks]]=0,0,Table4[[#This Row],[Amount spent ]]/Table4[[#This Row],[Link clicks]])</f>
        <v>5.47</v>
      </c>
      <c r="U206" s="62" t="s">
        <v>407</v>
      </c>
      <c r="V206" s="1" t="s">
        <v>414</v>
      </c>
      <c r="W206" s="1">
        <v>9.3023255813953494E-4</v>
      </c>
    </row>
    <row r="207" spans="1:23" x14ac:dyDescent="0.25">
      <c r="A207" s="48" t="s">
        <v>70</v>
      </c>
      <c r="B207" s="12" t="s">
        <v>357</v>
      </c>
      <c r="C207" s="1" t="str">
        <f t="shared" si="14"/>
        <v>Jeddah Target Group</v>
      </c>
      <c r="D207" s="1" t="s">
        <v>130</v>
      </c>
      <c r="E207" s="12" t="s">
        <v>207</v>
      </c>
      <c r="F207" s="1" t="s">
        <v>77</v>
      </c>
      <c r="G207" s="1" t="s">
        <v>74</v>
      </c>
      <c r="H207" s="1" t="s">
        <v>94</v>
      </c>
      <c r="I207" s="16">
        <v>1884</v>
      </c>
      <c r="J207" s="16">
        <v>6364</v>
      </c>
      <c r="K207" s="63">
        <v>10.09</v>
      </c>
      <c r="L207" s="16">
        <v>40</v>
      </c>
      <c r="M207" s="16">
        <v>427</v>
      </c>
      <c r="N207" s="16">
        <v>26</v>
      </c>
      <c r="O207" s="26">
        <f t="shared" si="16"/>
        <v>0.62853551225644255</v>
      </c>
      <c r="P207" s="13" t="str">
        <f t="shared" si="15"/>
        <v>Good</v>
      </c>
      <c r="Q207" s="13">
        <f t="shared" si="13"/>
        <v>6.7096165933375237E-2</v>
      </c>
      <c r="R207" s="16">
        <v>2285</v>
      </c>
      <c r="S207" s="49">
        <v>7.3773930000000001E-2</v>
      </c>
      <c r="T207" s="27">
        <f>IF(Table4[[#This Row],[Link clicks]]=0,0,Table4[[#This Row],[Amount spent ]]/Table4[[#This Row],[Link clicks]])</f>
        <v>0.25224999999999997</v>
      </c>
      <c r="U207" s="62" t="s">
        <v>407</v>
      </c>
      <c r="V207" s="1" t="s">
        <v>414</v>
      </c>
      <c r="W207" s="1">
        <v>2.1231422505307851E-2</v>
      </c>
    </row>
    <row r="208" spans="1:23" x14ac:dyDescent="0.25">
      <c r="A208" s="48" t="s">
        <v>70</v>
      </c>
      <c r="B208" s="12" t="s">
        <v>357</v>
      </c>
      <c r="C208" s="1" t="str">
        <f t="shared" si="14"/>
        <v>Jeddah Target Group</v>
      </c>
      <c r="D208" s="1" t="s">
        <v>130</v>
      </c>
      <c r="E208" s="12" t="s">
        <v>271</v>
      </c>
      <c r="F208" s="1" t="s">
        <v>78</v>
      </c>
      <c r="G208" s="1" t="s">
        <v>74</v>
      </c>
      <c r="H208" s="1" t="s">
        <v>92</v>
      </c>
      <c r="I208" s="16">
        <v>837</v>
      </c>
      <c r="J208" s="16">
        <v>4230</v>
      </c>
      <c r="K208" s="63">
        <v>9.9</v>
      </c>
      <c r="L208" s="16">
        <v>29</v>
      </c>
      <c r="M208" s="16">
        <v>1148</v>
      </c>
      <c r="N208" s="16">
        <v>6</v>
      </c>
      <c r="O208" s="26">
        <f t="shared" si="16"/>
        <v>0.68557919621749408</v>
      </c>
      <c r="P208" s="13" t="str">
        <f t="shared" si="15"/>
        <v>Good</v>
      </c>
      <c r="Q208" s="13">
        <f t="shared" si="13"/>
        <v>0.27139479905437353</v>
      </c>
      <c r="R208" s="16">
        <v>847</v>
      </c>
      <c r="S208" s="49">
        <v>3.085048E-2</v>
      </c>
      <c r="T208" s="27">
        <f>IF(Table4[[#This Row],[Link clicks]]=0,0,Table4[[#This Row],[Amount spent ]]/Table4[[#This Row],[Link clicks]])</f>
        <v>0.3413793103448276</v>
      </c>
      <c r="U208" s="62" t="s">
        <v>407</v>
      </c>
      <c r="V208" s="1" t="s">
        <v>414</v>
      </c>
      <c r="W208" s="1">
        <v>3.4647550776583033E-2</v>
      </c>
    </row>
    <row r="209" spans="1:23" x14ac:dyDescent="0.25">
      <c r="A209" s="48" t="s">
        <v>70</v>
      </c>
      <c r="B209" s="12" t="s">
        <v>357</v>
      </c>
      <c r="C209" s="1" t="str">
        <f t="shared" si="14"/>
        <v>Jeddah Target Group</v>
      </c>
      <c r="D209" s="1" t="s">
        <v>73</v>
      </c>
      <c r="E209" s="12" t="s">
        <v>272</v>
      </c>
      <c r="F209" s="1" t="s">
        <v>78</v>
      </c>
      <c r="G209" s="1" t="s">
        <v>74</v>
      </c>
      <c r="H209" s="1" t="s">
        <v>94</v>
      </c>
      <c r="I209" s="16">
        <v>10228</v>
      </c>
      <c r="J209" s="16">
        <v>12546</v>
      </c>
      <c r="K209" s="63">
        <v>9.68</v>
      </c>
      <c r="L209" s="16">
        <v>189</v>
      </c>
      <c r="M209" s="16">
        <v>5894</v>
      </c>
      <c r="N209" s="16">
        <v>16</v>
      </c>
      <c r="O209" s="26">
        <f t="shared" si="16"/>
        <v>1.5064562410329985</v>
      </c>
      <c r="P209" s="13" t="str">
        <f t="shared" si="15"/>
        <v>Good</v>
      </c>
      <c r="Q209" s="13">
        <f t="shared" si="13"/>
        <v>0.46979116849992031</v>
      </c>
      <c r="R209" s="16">
        <v>7680</v>
      </c>
      <c r="S209" s="49">
        <v>0.65217391000000002</v>
      </c>
      <c r="T209" s="27">
        <f>IF(Table4[[#This Row],[Link clicks]]=0,0,Table4[[#This Row],[Amount spent ]]/Table4[[#This Row],[Link clicks]])</f>
        <v>5.1216931216931216E-2</v>
      </c>
      <c r="U209" s="62" t="s">
        <v>407</v>
      </c>
      <c r="V209" s="1" t="s">
        <v>413</v>
      </c>
      <c r="W209" s="1">
        <v>1.84786859601095E-2</v>
      </c>
    </row>
    <row r="210" spans="1:23" x14ac:dyDescent="0.25">
      <c r="A210" s="48" t="s">
        <v>70</v>
      </c>
      <c r="B210" s="12" t="s">
        <v>357</v>
      </c>
      <c r="C210" s="1" t="str">
        <f t="shared" si="14"/>
        <v>Jeddah Target Group</v>
      </c>
      <c r="D210" s="1" t="s">
        <v>130</v>
      </c>
      <c r="E210" s="12" t="s">
        <v>247</v>
      </c>
      <c r="F210" s="1" t="s">
        <v>78</v>
      </c>
      <c r="G210" s="1" t="s">
        <v>74</v>
      </c>
      <c r="H210" s="1" t="s">
        <v>94</v>
      </c>
      <c r="I210" s="16">
        <v>2004</v>
      </c>
      <c r="J210" s="16">
        <v>6223</v>
      </c>
      <c r="K210" s="63">
        <v>9.61</v>
      </c>
      <c r="L210" s="16">
        <v>22</v>
      </c>
      <c r="M210" s="16">
        <v>317</v>
      </c>
      <c r="N210" s="16">
        <v>279</v>
      </c>
      <c r="O210" s="26">
        <f t="shared" si="16"/>
        <v>0.35352723766672023</v>
      </c>
      <c r="P210" s="13" t="str">
        <f t="shared" si="15"/>
        <v>Good</v>
      </c>
      <c r="Q210" s="13">
        <f t="shared" si="13"/>
        <v>5.0940061063795596E-2</v>
      </c>
      <c r="R210" s="16">
        <v>2830</v>
      </c>
      <c r="S210" s="49">
        <v>9.2559279999999994E-2</v>
      </c>
      <c r="T210" s="27">
        <f>IF(Table4[[#This Row],[Link clicks]]=0,0,Table4[[#This Row],[Amount spent ]]/Table4[[#This Row],[Link clicks]])</f>
        <v>0.43681818181818177</v>
      </c>
      <c r="U210" s="62" t="s">
        <v>407</v>
      </c>
      <c r="V210" s="1" t="s">
        <v>414</v>
      </c>
      <c r="W210" s="1">
        <v>1.0978043912175651E-2</v>
      </c>
    </row>
    <row r="211" spans="1:23" x14ac:dyDescent="0.25">
      <c r="A211" s="48" t="s">
        <v>70</v>
      </c>
      <c r="B211" s="12" t="s">
        <v>357</v>
      </c>
      <c r="C211" s="1" t="str">
        <f t="shared" si="14"/>
        <v>Jeddah Target Group</v>
      </c>
      <c r="D211" s="1" t="s">
        <v>130</v>
      </c>
      <c r="E211" s="12" t="s">
        <v>259</v>
      </c>
      <c r="F211" s="1" t="s">
        <v>78</v>
      </c>
      <c r="G211" s="1" t="s">
        <v>118</v>
      </c>
      <c r="H211" s="1" t="s">
        <v>94</v>
      </c>
      <c r="I211" s="16">
        <v>1733</v>
      </c>
      <c r="J211" s="16">
        <v>4787</v>
      </c>
      <c r="K211" s="63">
        <v>8.7100000000000009</v>
      </c>
      <c r="L211" s="16">
        <v>8</v>
      </c>
      <c r="M211" s="16">
        <v>363</v>
      </c>
      <c r="N211" s="16">
        <v>422</v>
      </c>
      <c r="O211" s="26">
        <f t="shared" si="16"/>
        <v>0.16711928138709004</v>
      </c>
      <c r="P211" s="13" t="str">
        <f t="shared" si="15"/>
        <v>Bad</v>
      </c>
      <c r="Q211" s="13">
        <f t="shared" si="13"/>
        <v>7.5830373929392098E-2</v>
      </c>
      <c r="R211" s="16">
        <v>60</v>
      </c>
      <c r="S211" s="49">
        <v>2.2441700000000002E-3</v>
      </c>
      <c r="T211" s="27">
        <f>IF(Table4[[#This Row],[Link clicks]]=0,0,Table4[[#This Row],[Amount spent ]]/Table4[[#This Row],[Link clicks]])</f>
        <v>1.0887500000000001</v>
      </c>
      <c r="U211" s="62" t="s">
        <v>407</v>
      </c>
      <c r="V211" s="1" t="s">
        <v>414</v>
      </c>
      <c r="W211" s="1">
        <v>4.6162723600692438E-3</v>
      </c>
    </row>
    <row r="212" spans="1:23" x14ac:dyDescent="0.25">
      <c r="A212" s="48" t="s">
        <v>70</v>
      </c>
      <c r="B212" s="12" t="s">
        <v>357</v>
      </c>
      <c r="C212" s="1" t="str">
        <f t="shared" si="14"/>
        <v>Jeddah Target Group</v>
      </c>
      <c r="D212" s="1" t="s">
        <v>73</v>
      </c>
      <c r="E212" s="12" t="s">
        <v>267</v>
      </c>
      <c r="F212" s="1" t="s">
        <v>78</v>
      </c>
      <c r="G212" s="1" t="s">
        <v>74</v>
      </c>
      <c r="H212" s="1" t="s">
        <v>75</v>
      </c>
      <c r="I212" s="16">
        <v>23256</v>
      </c>
      <c r="J212" s="16">
        <v>27122</v>
      </c>
      <c r="K212" s="63">
        <v>7.75</v>
      </c>
      <c r="L212" s="16">
        <v>8</v>
      </c>
      <c r="M212" s="16">
        <v>973</v>
      </c>
      <c r="N212" s="16">
        <v>12</v>
      </c>
      <c r="O212" s="26">
        <f t="shared" si="16"/>
        <v>2.9496349826708946E-2</v>
      </c>
      <c r="P212" s="13" t="str">
        <f t="shared" si="15"/>
        <v>Bad</v>
      </c>
      <c r="Q212" s="13">
        <f t="shared" si="13"/>
        <v>3.5874935476734753E-2</v>
      </c>
      <c r="R212" s="16">
        <v>855</v>
      </c>
      <c r="S212" s="49">
        <v>0.43356998000000002</v>
      </c>
      <c r="T212" s="27">
        <f>IF(Table4[[#This Row],[Link clicks]]=0,0,Table4[[#This Row],[Amount spent ]]/Table4[[#This Row],[Link clicks]])</f>
        <v>0.96875</v>
      </c>
      <c r="U212" s="62" t="s">
        <v>407</v>
      </c>
      <c r="V212" s="1" t="s">
        <v>413</v>
      </c>
      <c r="W212" s="1">
        <v>3.4399724802201581E-4</v>
      </c>
    </row>
    <row r="213" spans="1:23" x14ac:dyDescent="0.25">
      <c r="A213" s="48" t="s">
        <v>70</v>
      </c>
      <c r="B213" s="12" t="s">
        <v>357</v>
      </c>
      <c r="C213" s="1" t="str">
        <f t="shared" si="14"/>
        <v>Jeddah Target Group</v>
      </c>
      <c r="D213" s="1" t="s">
        <v>130</v>
      </c>
      <c r="E213" s="12" t="s">
        <v>212</v>
      </c>
      <c r="F213" s="1" t="s">
        <v>77</v>
      </c>
      <c r="G213" s="1" t="s">
        <v>74</v>
      </c>
      <c r="H213" s="1" t="s">
        <v>92</v>
      </c>
      <c r="I213" s="16">
        <v>1873</v>
      </c>
      <c r="J213" s="16">
        <v>4606</v>
      </c>
      <c r="K213" s="63">
        <v>7.57</v>
      </c>
      <c r="L213" s="16">
        <v>18</v>
      </c>
      <c r="M213" s="16">
        <v>524</v>
      </c>
      <c r="N213" s="16">
        <v>27</v>
      </c>
      <c r="O213" s="26">
        <f t="shared" si="16"/>
        <v>0.39079461571862784</v>
      </c>
      <c r="P213" s="13" t="str">
        <f t="shared" si="15"/>
        <v>Good</v>
      </c>
      <c r="Q213" s="13">
        <f t="shared" si="13"/>
        <v>0.11376465479808945</v>
      </c>
      <c r="R213" s="16">
        <v>2726</v>
      </c>
      <c r="S213" s="49">
        <v>6.2159390000000002E-2</v>
      </c>
      <c r="T213" s="27">
        <f>IF(Table4[[#This Row],[Link clicks]]=0,0,Table4[[#This Row],[Amount spent ]]/Table4[[#This Row],[Link clicks]])</f>
        <v>0.42055555555555557</v>
      </c>
      <c r="U213" s="62" t="s">
        <v>407</v>
      </c>
      <c r="V213" s="1" t="s">
        <v>414</v>
      </c>
      <c r="W213" s="1">
        <v>9.6102509343299527E-3</v>
      </c>
    </row>
    <row r="214" spans="1:23" x14ac:dyDescent="0.25">
      <c r="A214" s="48" t="s">
        <v>70</v>
      </c>
      <c r="B214" s="12" t="s">
        <v>357</v>
      </c>
      <c r="C214" s="1" t="str">
        <f t="shared" si="14"/>
        <v>Jeddah Target Group</v>
      </c>
      <c r="D214" s="1" t="s">
        <v>73</v>
      </c>
      <c r="E214" s="12" t="s">
        <v>42</v>
      </c>
      <c r="F214" s="1" t="s">
        <v>77</v>
      </c>
      <c r="G214" s="1" t="s">
        <v>74</v>
      </c>
      <c r="H214" s="1" t="s">
        <v>75</v>
      </c>
      <c r="I214" s="16">
        <v>23827</v>
      </c>
      <c r="J214" s="16">
        <v>26209</v>
      </c>
      <c r="K214" s="63">
        <v>7.42</v>
      </c>
      <c r="L214" s="16">
        <v>27</v>
      </c>
      <c r="M214" s="16">
        <v>2068</v>
      </c>
      <c r="N214" s="16">
        <v>60</v>
      </c>
      <c r="O214" s="26">
        <f t="shared" si="16"/>
        <v>0.10301804723568239</v>
      </c>
      <c r="P214" s="13" t="str">
        <f t="shared" si="15"/>
        <v>Bad</v>
      </c>
      <c r="Q214" s="13">
        <f t="shared" si="13"/>
        <v>7.8904193216070811E-2</v>
      </c>
      <c r="R214" s="16">
        <v>2954</v>
      </c>
      <c r="S214" s="49">
        <v>0.10749636</v>
      </c>
      <c r="T214" s="27">
        <f>IF(Table4[[#This Row],[Link clicks]]=0,0,Table4[[#This Row],[Amount spent ]]/Table4[[#This Row],[Link clicks]])</f>
        <v>0.27481481481481479</v>
      </c>
      <c r="U214" s="62" t="s">
        <v>407</v>
      </c>
      <c r="V214" s="1" t="s">
        <v>413</v>
      </c>
      <c r="W214" s="1">
        <v>1.1331682545011961E-3</v>
      </c>
    </row>
    <row r="215" spans="1:23" x14ac:dyDescent="0.25">
      <c r="A215" s="48" t="s">
        <v>70</v>
      </c>
      <c r="B215" s="12" t="s">
        <v>357</v>
      </c>
      <c r="C215" s="1" t="str">
        <f t="shared" si="14"/>
        <v>Jeddah Target Group</v>
      </c>
      <c r="D215" s="1" t="s">
        <v>73</v>
      </c>
      <c r="E215" s="12" t="s">
        <v>281</v>
      </c>
      <c r="F215" s="1" t="s">
        <v>77</v>
      </c>
      <c r="G215" s="1" t="s">
        <v>74</v>
      </c>
      <c r="H215" s="1" t="s">
        <v>94</v>
      </c>
      <c r="I215" s="16">
        <v>8040</v>
      </c>
      <c r="J215" s="16">
        <v>9427</v>
      </c>
      <c r="K215" s="63">
        <v>7.16</v>
      </c>
      <c r="L215" s="16">
        <v>144</v>
      </c>
      <c r="M215" s="16">
        <v>4566</v>
      </c>
      <c r="N215" s="16">
        <v>21</v>
      </c>
      <c r="O215" s="26">
        <f t="shared" si="16"/>
        <v>1.5275273151585869</v>
      </c>
      <c r="P215" s="13" t="str">
        <f t="shared" si="15"/>
        <v>Good</v>
      </c>
      <c r="Q215" s="13">
        <f t="shared" si="13"/>
        <v>0.48435345284820197</v>
      </c>
      <c r="R215" s="16">
        <v>2288</v>
      </c>
      <c r="S215" s="49">
        <v>7.3373309999999997E-2</v>
      </c>
      <c r="T215" s="27">
        <f>IF(Table4[[#This Row],[Link clicks]]=0,0,Table4[[#This Row],[Amount spent ]]/Table4[[#This Row],[Link clicks]])</f>
        <v>4.9722222222222223E-2</v>
      </c>
      <c r="U215" s="62" t="s">
        <v>407</v>
      </c>
      <c r="V215" s="1" t="s">
        <v>413</v>
      </c>
      <c r="W215" s="1">
        <v>1.7910447761194031E-2</v>
      </c>
    </row>
    <row r="216" spans="1:23" x14ac:dyDescent="0.25">
      <c r="A216" s="48" t="s">
        <v>70</v>
      </c>
      <c r="B216" s="12" t="s">
        <v>357</v>
      </c>
      <c r="C216" s="1" t="str">
        <f t="shared" si="14"/>
        <v>Jeddah Target Group</v>
      </c>
      <c r="D216" s="1" t="s">
        <v>73</v>
      </c>
      <c r="E216" s="12" t="s">
        <v>282</v>
      </c>
      <c r="F216" s="1" t="s">
        <v>77</v>
      </c>
      <c r="G216" s="1" t="s">
        <v>74</v>
      </c>
      <c r="H216" s="1" t="s">
        <v>75</v>
      </c>
      <c r="I216" s="16">
        <v>21113</v>
      </c>
      <c r="J216" s="16">
        <v>25375</v>
      </c>
      <c r="K216" s="63">
        <v>7.13</v>
      </c>
      <c r="L216" s="16">
        <v>17</v>
      </c>
      <c r="M216" s="16">
        <v>980</v>
      </c>
      <c r="N216" s="16">
        <v>15</v>
      </c>
      <c r="O216" s="26">
        <f t="shared" si="16"/>
        <v>6.6995073891625623E-2</v>
      </c>
      <c r="P216" s="13" t="str">
        <f t="shared" si="15"/>
        <v>Bad</v>
      </c>
      <c r="Q216" s="13">
        <f t="shared" si="13"/>
        <v>3.8620689655172416E-2</v>
      </c>
      <c r="R216" s="16">
        <v>2114</v>
      </c>
      <c r="S216" s="49">
        <v>7.6660859999999997E-2</v>
      </c>
      <c r="T216" s="27">
        <f>IF(Table4[[#This Row],[Link clicks]]=0,0,Table4[[#This Row],[Amount spent ]]/Table4[[#This Row],[Link clicks]])</f>
        <v>0.41941176470588237</v>
      </c>
      <c r="U216" s="62" t="s">
        <v>407</v>
      </c>
      <c r="V216" s="1" t="s">
        <v>413</v>
      </c>
      <c r="W216" s="1">
        <v>8.0519111447923081E-4</v>
      </c>
    </row>
    <row r="217" spans="1:23" x14ac:dyDescent="0.25">
      <c r="A217" s="48" t="s">
        <v>70</v>
      </c>
      <c r="B217" s="12" t="s">
        <v>357</v>
      </c>
      <c r="C217" s="1" t="str">
        <f t="shared" si="14"/>
        <v>Jeddah Target Group</v>
      </c>
      <c r="D217" s="1" t="s">
        <v>73</v>
      </c>
      <c r="E217" s="12" t="s">
        <v>271</v>
      </c>
      <c r="F217" s="1" t="s">
        <v>78</v>
      </c>
      <c r="G217" s="1" t="s">
        <v>74</v>
      </c>
      <c r="H217" s="1" t="s">
        <v>92</v>
      </c>
      <c r="I217" s="16">
        <v>6982</v>
      </c>
      <c r="J217" s="16">
        <v>12662</v>
      </c>
      <c r="K217" s="63">
        <v>7.11</v>
      </c>
      <c r="L217" s="16">
        <v>55</v>
      </c>
      <c r="M217" s="16">
        <v>3216</v>
      </c>
      <c r="N217" s="16">
        <v>18</v>
      </c>
      <c r="O217" s="26">
        <f t="shared" si="16"/>
        <v>0.43437055757384296</v>
      </c>
      <c r="P217" s="13" t="str">
        <f t="shared" si="15"/>
        <v>Good</v>
      </c>
      <c r="Q217" s="13">
        <f t="shared" si="13"/>
        <v>0.25398831148317802</v>
      </c>
      <c r="R217" s="16">
        <v>281</v>
      </c>
      <c r="S217" s="49">
        <v>0.12555853</v>
      </c>
      <c r="T217" s="27">
        <f>IF(Table4[[#This Row],[Link clicks]]=0,0,Table4[[#This Row],[Amount spent ]]/Table4[[#This Row],[Link clicks]])</f>
        <v>0.12927272727272729</v>
      </c>
      <c r="U217" s="62" t="s">
        <v>407</v>
      </c>
      <c r="V217" s="1" t="s">
        <v>413</v>
      </c>
      <c r="W217" s="1">
        <v>7.877399026067029E-3</v>
      </c>
    </row>
    <row r="218" spans="1:23" x14ac:dyDescent="0.25">
      <c r="A218" s="48" t="s">
        <v>70</v>
      </c>
      <c r="B218" s="12" t="s">
        <v>357</v>
      </c>
      <c r="C218" s="1" t="str">
        <f t="shared" si="14"/>
        <v>Jeddah Target Group</v>
      </c>
      <c r="D218" s="1" t="s">
        <v>130</v>
      </c>
      <c r="E218" s="12" t="s">
        <v>240</v>
      </c>
      <c r="F218" s="1" t="s">
        <v>77</v>
      </c>
      <c r="G218" s="1" t="s">
        <v>74</v>
      </c>
      <c r="H218" s="1" t="s">
        <v>92</v>
      </c>
      <c r="I218" s="16">
        <v>1169</v>
      </c>
      <c r="J218" s="16">
        <v>4185</v>
      </c>
      <c r="K218" s="63">
        <v>6.83</v>
      </c>
      <c r="L218" s="16">
        <v>23</v>
      </c>
      <c r="M218" s="16">
        <v>497</v>
      </c>
      <c r="N218" s="16">
        <v>14</v>
      </c>
      <c r="O218" s="26">
        <f t="shared" si="16"/>
        <v>0.54958183990442055</v>
      </c>
      <c r="P218" s="13" t="str">
        <f t="shared" si="15"/>
        <v>Good</v>
      </c>
      <c r="Q218" s="13">
        <f t="shared" si="13"/>
        <v>0.11875746714456392</v>
      </c>
      <c r="R218" s="16">
        <v>1503</v>
      </c>
      <c r="S218" s="49">
        <v>6.732966E-2</v>
      </c>
      <c r="T218" s="27">
        <f>IF(Table4[[#This Row],[Link clicks]]=0,0,Table4[[#This Row],[Amount spent ]]/Table4[[#This Row],[Link clicks]])</f>
        <v>0.29695652173913045</v>
      </c>
      <c r="U218" s="62" t="s">
        <v>407</v>
      </c>
      <c r="V218" s="1" t="s">
        <v>414</v>
      </c>
      <c r="W218" s="1">
        <v>1.9674935842600511E-2</v>
      </c>
    </row>
    <row r="219" spans="1:23" x14ac:dyDescent="0.25">
      <c r="A219" s="48" t="s">
        <v>70</v>
      </c>
      <c r="B219" s="12" t="s">
        <v>357</v>
      </c>
      <c r="C219" s="1" t="str">
        <f t="shared" si="14"/>
        <v>Jeddah Target Group</v>
      </c>
      <c r="D219" s="1" t="s">
        <v>130</v>
      </c>
      <c r="E219" s="12" t="s">
        <v>228</v>
      </c>
      <c r="F219" s="1" t="s">
        <v>78</v>
      </c>
      <c r="G219" s="1" t="s">
        <v>74</v>
      </c>
      <c r="H219" s="1" t="s">
        <v>92</v>
      </c>
      <c r="I219" s="16">
        <v>1505</v>
      </c>
      <c r="J219" s="16">
        <v>4041</v>
      </c>
      <c r="K219" s="63">
        <v>6.4</v>
      </c>
      <c r="L219" s="16">
        <v>13</v>
      </c>
      <c r="M219" s="16">
        <v>378</v>
      </c>
      <c r="N219" s="16">
        <v>27</v>
      </c>
      <c r="O219" s="26">
        <f t="shared" si="16"/>
        <v>0.32170254887404104</v>
      </c>
      <c r="P219" s="13" t="str">
        <f t="shared" si="15"/>
        <v>Good</v>
      </c>
      <c r="Q219" s="13">
        <f t="shared" si="13"/>
        <v>9.3541202672605794E-2</v>
      </c>
      <c r="R219" s="16">
        <v>2034</v>
      </c>
      <c r="S219" s="49">
        <v>8.8097709999999996E-2</v>
      </c>
      <c r="T219" s="27">
        <f>IF(Table4[[#This Row],[Link clicks]]=0,0,Table4[[#This Row],[Amount spent ]]/Table4[[#This Row],[Link clicks]])</f>
        <v>0.49230769230769234</v>
      </c>
      <c r="U219" s="62" t="s">
        <v>407</v>
      </c>
      <c r="V219" s="1" t="s">
        <v>414</v>
      </c>
      <c r="W219" s="1">
        <v>8.6378737541528243E-3</v>
      </c>
    </row>
    <row r="220" spans="1:23" x14ac:dyDescent="0.25">
      <c r="A220" s="48" t="s">
        <v>70</v>
      </c>
      <c r="B220" s="12" t="s">
        <v>357</v>
      </c>
      <c r="C220" s="1" t="str">
        <f t="shared" si="14"/>
        <v>Jeddah Target Group</v>
      </c>
      <c r="D220" s="1" t="s">
        <v>130</v>
      </c>
      <c r="E220" s="12" t="s">
        <v>272</v>
      </c>
      <c r="F220" s="1" t="s">
        <v>78</v>
      </c>
      <c r="G220" s="1" t="s">
        <v>74</v>
      </c>
      <c r="H220" s="1" t="s">
        <v>94</v>
      </c>
      <c r="I220" s="16">
        <v>742</v>
      </c>
      <c r="J220" s="16">
        <v>1663</v>
      </c>
      <c r="K220" s="63">
        <v>6.32</v>
      </c>
      <c r="L220" s="16">
        <v>31</v>
      </c>
      <c r="M220" s="16">
        <v>1041</v>
      </c>
      <c r="N220" s="16">
        <v>4</v>
      </c>
      <c r="O220" s="26">
        <f t="shared" si="16"/>
        <v>1.8641010222489478</v>
      </c>
      <c r="P220" s="13" t="str">
        <f t="shared" si="15"/>
        <v>Good</v>
      </c>
      <c r="Q220" s="13">
        <f t="shared" si="13"/>
        <v>0.62597714972940466</v>
      </c>
      <c r="R220" s="16">
        <v>1915</v>
      </c>
      <c r="S220" s="49">
        <v>5.0501049999999999E-2</v>
      </c>
      <c r="T220" s="27">
        <f>IF(Table4[[#This Row],[Link clicks]]=0,0,Table4[[#This Row],[Amount spent ]]/Table4[[#This Row],[Link clicks]])</f>
        <v>0.2038709677419355</v>
      </c>
      <c r="U220" s="62" t="s">
        <v>407</v>
      </c>
      <c r="V220" s="1" t="s">
        <v>414</v>
      </c>
      <c r="W220" s="1">
        <v>4.1778975741239892E-2</v>
      </c>
    </row>
    <row r="221" spans="1:23" x14ac:dyDescent="0.25">
      <c r="A221" s="48" t="s">
        <v>70</v>
      </c>
      <c r="B221" s="12" t="s">
        <v>357</v>
      </c>
      <c r="C221" s="1" t="str">
        <f t="shared" si="14"/>
        <v>Jeddah Target Group</v>
      </c>
      <c r="D221" s="1" t="s">
        <v>130</v>
      </c>
      <c r="E221" s="12" t="s">
        <v>218</v>
      </c>
      <c r="F221" s="1" t="s">
        <v>78</v>
      </c>
      <c r="G221" s="1" t="s">
        <v>74</v>
      </c>
      <c r="H221" s="1" t="s">
        <v>94</v>
      </c>
      <c r="I221" s="16">
        <v>1213</v>
      </c>
      <c r="J221" s="16">
        <v>3823</v>
      </c>
      <c r="K221" s="63">
        <v>5.96</v>
      </c>
      <c r="L221" s="16">
        <v>19</v>
      </c>
      <c r="M221" s="16">
        <v>251</v>
      </c>
      <c r="N221" s="16">
        <v>7</v>
      </c>
      <c r="O221" s="26">
        <f t="shared" si="16"/>
        <v>0.49699189118493331</v>
      </c>
      <c r="P221" s="13" t="str">
        <f t="shared" si="15"/>
        <v>Good</v>
      </c>
      <c r="Q221" s="13">
        <f t="shared" si="13"/>
        <v>6.5655244572325397E-2</v>
      </c>
      <c r="R221" s="16">
        <v>373</v>
      </c>
      <c r="S221" s="49">
        <v>0.17348837</v>
      </c>
      <c r="T221" s="27">
        <f>IF(Table4[[#This Row],[Link clicks]]=0,0,Table4[[#This Row],[Amount spent ]]/Table4[[#This Row],[Link clicks]])</f>
        <v>0.31368421052631579</v>
      </c>
      <c r="U221" s="62" t="s">
        <v>407</v>
      </c>
      <c r="V221" s="1" t="s">
        <v>414</v>
      </c>
      <c r="W221" s="1">
        <v>1.5663643858202798E-2</v>
      </c>
    </row>
    <row r="222" spans="1:23" x14ac:dyDescent="0.25">
      <c r="A222" s="48" t="s">
        <v>70</v>
      </c>
      <c r="B222" s="12" t="s">
        <v>357</v>
      </c>
      <c r="C222" s="1" t="str">
        <f t="shared" si="14"/>
        <v>Jeddah Target Group</v>
      </c>
      <c r="D222" s="1" t="s">
        <v>73</v>
      </c>
      <c r="E222" s="12" t="s">
        <v>44</v>
      </c>
      <c r="F222" s="1" t="s">
        <v>77</v>
      </c>
      <c r="G222" s="1" t="s">
        <v>74</v>
      </c>
      <c r="H222" s="1" t="s">
        <v>75</v>
      </c>
      <c r="I222" s="16">
        <v>13256</v>
      </c>
      <c r="J222" s="16">
        <v>20806</v>
      </c>
      <c r="K222" s="63">
        <v>5.84</v>
      </c>
      <c r="L222" s="16">
        <v>8</v>
      </c>
      <c r="M222" s="16">
        <v>834</v>
      </c>
      <c r="N222" s="16">
        <v>14</v>
      </c>
      <c r="O222" s="26">
        <f t="shared" si="16"/>
        <v>3.8450446986446216E-2</v>
      </c>
      <c r="P222" s="13" t="str">
        <f t="shared" si="15"/>
        <v>Bad</v>
      </c>
      <c r="Q222" s="13">
        <f t="shared" si="13"/>
        <v>4.008459098337018E-2</v>
      </c>
      <c r="R222" s="16">
        <v>1316</v>
      </c>
      <c r="S222" s="49">
        <v>5.8708070000000001E-2</v>
      </c>
      <c r="T222" s="27">
        <f>IF(Table4[[#This Row],[Link clicks]]=0,0,Table4[[#This Row],[Amount spent ]]/Table4[[#This Row],[Link clicks]])</f>
        <v>0.73</v>
      </c>
      <c r="U222" s="62" t="s">
        <v>407</v>
      </c>
      <c r="V222" s="1" t="s">
        <v>413</v>
      </c>
      <c r="W222" s="1">
        <v>6.0350030175015089E-4</v>
      </c>
    </row>
    <row r="223" spans="1:23" x14ac:dyDescent="0.25">
      <c r="A223" s="48" t="s">
        <v>70</v>
      </c>
      <c r="B223" s="12" t="s">
        <v>357</v>
      </c>
      <c r="C223" s="1" t="str">
        <f t="shared" si="14"/>
        <v>Jeddah Target Group</v>
      </c>
      <c r="D223" s="1" t="s">
        <v>130</v>
      </c>
      <c r="E223" s="12" t="s">
        <v>245</v>
      </c>
      <c r="F223" s="1" t="s">
        <v>77</v>
      </c>
      <c r="G223" s="1" t="s">
        <v>118</v>
      </c>
      <c r="H223" s="1" t="s">
        <v>94</v>
      </c>
      <c r="I223" s="16">
        <v>1038</v>
      </c>
      <c r="J223" s="16">
        <v>3032</v>
      </c>
      <c r="K223" s="63">
        <v>5.38</v>
      </c>
      <c r="L223" s="16">
        <v>7</v>
      </c>
      <c r="M223" s="16">
        <v>227</v>
      </c>
      <c r="N223" s="16">
        <v>281</v>
      </c>
      <c r="O223" s="26">
        <f t="shared" si="16"/>
        <v>0.23087071240105542</v>
      </c>
      <c r="P223" s="13" t="str">
        <f t="shared" si="15"/>
        <v>Good</v>
      </c>
      <c r="Q223" s="13">
        <f t="shared" si="13"/>
        <v>7.4868073878627969E-2</v>
      </c>
      <c r="R223" s="16">
        <v>426</v>
      </c>
      <c r="S223" s="49">
        <v>0.18275417999999999</v>
      </c>
      <c r="T223" s="27">
        <f>IF(Table4[[#This Row],[Link clicks]]=0,0,Table4[[#This Row],[Amount spent ]]/Table4[[#This Row],[Link clicks]])</f>
        <v>0.76857142857142857</v>
      </c>
      <c r="U223" s="62" t="s">
        <v>407</v>
      </c>
      <c r="V223" s="1" t="s">
        <v>414</v>
      </c>
      <c r="W223" s="1">
        <v>6.7437379576107898E-3</v>
      </c>
    </row>
    <row r="224" spans="1:23" x14ac:dyDescent="0.25">
      <c r="A224" s="48" t="s">
        <v>70</v>
      </c>
      <c r="B224" s="12" t="s">
        <v>357</v>
      </c>
      <c r="C224" s="1" t="str">
        <f t="shared" si="14"/>
        <v>Jeddah Target Group</v>
      </c>
      <c r="D224" s="1" t="s">
        <v>130</v>
      </c>
      <c r="E224" s="12" t="s">
        <v>43</v>
      </c>
      <c r="F224" s="1" t="s">
        <v>78</v>
      </c>
      <c r="G224" s="1" t="s">
        <v>74</v>
      </c>
      <c r="H224" s="1" t="s">
        <v>75</v>
      </c>
      <c r="I224" s="16">
        <v>1522</v>
      </c>
      <c r="J224" s="16">
        <v>2951</v>
      </c>
      <c r="K224" s="63">
        <v>5.27</v>
      </c>
      <c r="L224" s="16">
        <v>4</v>
      </c>
      <c r="M224" s="16">
        <v>208</v>
      </c>
      <c r="N224" s="16">
        <v>12</v>
      </c>
      <c r="O224" s="26">
        <f t="shared" si="16"/>
        <v>0.13554727211114878</v>
      </c>
      <c r="P224" s="13" t="str">
        <f t="shared" si="15"/>
        <v>Bad</v>
      </c>
      <c r="Q224" s="13">
        <f t="shared" si="13"/>
        <v>7.0484581497797363E-2</v>
      </c>
      <c r="R224" s="16">
        <v>2710</v>
      </c>
      <c r="S224" s="49">
        <v>6.8310140000000005E-2</v>
      </c>
      <c r="T224" s="27">
        <f>IF(Table4[[#This Row],[Link clicks]]=0,0,Table4[[#This Row],[Amount spent ]]/Table4[[#This Row],[Link clicks]])</f>
        <v>1.3174999999999999</v>
      </c>
      <c r="U224" s="62" t="s">
        <v>407</v>
      </c>
      <c r="V224" s="1" t="s">
        <v>414</v>
      </c>
      <c r="W224" s="1">
        <v>2.6281208935611039E-3</v>
      </c>
    </row>
    <row r="225" spans="1:23" x14ac:dyDescent="0.25">
      <c r="A225" s="48" t="s">
        <v>70</v>
      </c>
      <c r="B225" s="12" t="s">
        <v>357</v>
      </c>
      <c r="C225" s="1" t="str">
        <f t="shared" si="14"/>
        <v>Jeddah Target Group</v>
      </c>
      <c r="D225" s="1" t="s">
        <v>73</v>
      </c>
      <c r="E225" s="12" t="s">
        <v>43</v>
      </c>
      <c r="F225" s="1" t="s">
        <v>78</v>
      </c>
      <c r="G225" s="1" t="s">
        <v>74</v>
      </c>
      <c r="H225" s="1" t="s">
        <v>75</v>
      </c>
      <c r="I225" s="16">
        <v>14490</v>
      </c>
      <c r="J225" s="16">
        <v>17344</v>
      </c>
      <c r="K225" s="63">
        <v>5.19</v>
      </c>
      <c r="L225" s="16">
        <v>16</v>
      </c>
      <c r="M225" s="16">
        <v>891</v>
      </c>
      <c r="N225" s="16">
        <v>34</v>
      </c>
      <c r="O225" s="26">
        <f t="shared" si="16"/>
        <v>9.2250922509225092E-2</v>
      </c>
      <c r="P225" s="13" t="str">
        <f t="shared" si="15"/>
        <v>Bad</v>
      </c>
      <c r="Q225" s="13">
        <f t="shared" si="13"/>
        <v>5.1372232472324725E-2</v>
      </c>
      <c r="R225" s="16">
        <v>1706</v>
      </c>
      <c r="S225" s="49">
        <v>7.6515970000000003E-2</v>
      </c>
      <c r="T225" s="27">
        <f>IF(Table4[[#This Row],[Link clicks]]=0,0,Table4[[#This Row],[Amount spent ]]/Table4[[#This Row],[Link clicks]])</f>
        <v>0.32437500000000002</v>
      </c>
      <c r="U225" s="62" t="s">
        <v>407</v>
      </c>
      <c r="V225" s="1" t="s">
        <v>413</v>
      </c>
      <c r="W225" s="1">
        <v>1.1042097998619741E-3</v>
      </c>
    </row>
    <row r="226" spans="1:23" x14ac:dyDescent="0.25">
      <c r="A226" s="48" t="s">
        <v>70</v>
      </c>
      <c r="B226" s="12" t="s">
        <v>357</v>
      </c>
      <c r="C226" s="1" t="str">
        <f t="shared" si="14"/>
        <v>Jeddah Target Group</v>
      </c>
      <c r="D226" s="1" t="s">
        <v>130</v>
      </c>
      <c r="E226" s="12" t="s">
        <v>282</v>
      </c>
      <c r="F226" s="1" t="s">
        <v>77</v>
      </c>
      <c r="G226" s="1" t="s">
        <v>74</v>
      </c>
      <c r="H226" s="1" t="s">
        <v>75</v>
      </c>
      <c r="I226" s="16">
        <v>1363</v>
      </c>
      <c r="J226" s="16">
        <v>2673</v>
      </c>
      <c r="K226" s="63">
        <v>4.63</v>
      </c>
      <c r="L226" s="16">
        <v>0</v>
      </c>
      <c r="M226" s="16">
        <v>143</v>
      </c>
      <c r="N226" s="16">
        <v>1</v>
      </c>
      <c r="O226" s="26">
        <f t="shared" si="16"/>
        <v>0</v>
      </c>
      <c r="P226" s="13" t="str">
        <f t="shared" si="15"/>
        <v>Bad</v>
      </c>
      <c r="Q226" s="13">
        <f t="shared" si="13"/>
        <v>5.3497942386831275E-2</v>
      </c>
      <c r="R226" s="16">
        <v>443</v>
      </c>
      <c r="S226" s="49">
        <v>0.23513800000000001</v>
      </c>
      <c r="T226" s="27">
        <f>IF(Table4[[#This Row],[Link clicks]]=0,0,Table4[[#This Row],[Amount spent ]]/Table4[[#This Row],[Link clicks]])</f>
        <v>0</v>
      </c>
      <c r="U226" s="62" t="s">
        <v>407</v>
      </c>
      <c r="V226" s="1" t="s">
        <v>414</v>
      </c>
      <c r="W226" s="1">
        <v>0</v>
      </c>
    </row>
    <row r="227" spans="1:23" x14ac:dyDescent="0.25">
      <c r="A227" s="48" t="s">
        <v>70</v>
      </c>
      <c r="B227" s="12" t="s">
        <v>357</v>
      </c>
      <c r="C227" s="1" t="str">
        <f t="shared" si="14"/>
        <v>Jeddah Target Group</v>
      </c>
      <c r="D227" s="1" t="s">
        <v>130</v>
      </c>
      <c r="E227" s="12" t="s">
        <v>44</v>
      </c>
      <c r="F227" s="1" t="s">
        <v>77</v>
      </c>
      <c r="G227" s="1" t="s">
        <v>74</v>
      </c>
      <c r="H227" s="1" t="s">
        <v>75</v>
      </c>
      <c r="I227" s="16">
        <v>965</v>
      </c>
      <c r="J227" s="16">
        <v>2239</v>
      </c>
      <c r="K227" s="63">
        <v>3.8</v>
      </c>
      <c r="L227" s="16">
        <v>1</v>
      </c>
      <c r="M227" s="16">
        <v>153</v>
      </c>
      <c r="N227" s="16">
        <v>2</v>
      </c>
      <c r="O227" s="26">
        <f t="shared" si="16"/>
        <v>4.4662795891022775E-2</v>
      </c>
      <c r="P227" s="13" t="str">
        <f t="shared" si="15"/>
        <v>Bad</v>
      </c>
      <c r="Q227" s="13">
        <f t="shared" si="13"/>
        <v>6.8334077713264857E-2</v>
      </c>
      <c r="R227" s="16">
        <v>1171</v>
      </c>
      <c r="S227" s="49">
        <v>1.39904421</v>
      </c>
      <c r="T227" s="27">
        <f>IF(Table4[[#This Row],[Link clicks]]=0,0,Table4[[#This Row],[Amount spent ]]/Table4[[#This Row],[Link clicks]])</f>
        <v>3.8</v>
      </c>
      <c r="U227" s="62" t="s">
        <v>407</v>
      </c>
      <c r="V227" s="1" t="s">
        <v>414</v>
      </c>
      <c r="W227" s="1">
        <v>1.036269430051813E-3</v>
      </c>
    </row>
    <row r="228" spans="1:23" x14ac:dyDescent="0.25">
      <c r="A228" s="48" t="s">
        <v>70</v>
      </c>
      <c r="B228" s="12" t="s">
        <v>357</v>
      </c>
      <c r="C228" s="1" t="str">
        <f t="shared" si="14"/>
        <v>Jeddah Target Group</v>
      </c>
      <c r="D228" s="1" t="s">
        <v>130</v>
      </c>
      <c r="E228" s="12" t="s">
        <v>42</v>
      </c>
      <c r="F228" s="1" t="s">
        <v>77</v>
      </c>
      <c r="G228" s="1" t="s">
        <v>74</v>
      </c>
      <c r="H228" s="1" t="s">
        <v>75</v>
      </c>
      <c r="I228" s="16">
        <v>1081</v>
      </c>
      <c r="J228" s="16">
        <v>1873</v>
      </c>
      <c r="K228" s="63">
        <v>3.19</v>
      </c>
      <c r="L228" s="16">
        <v>1</v>
      </c>
      <c r="M228" s="16">
        <v>177</v>
      </c>
      <c r="N228" s="16">
        <v>3</v>
      </c>
      <c r="O228" s="26">
        <f t="shared" si="16"/>
        <v>5.3390282968499729E-2</v>
      </c>
      <c r="P228" s="13" t="str">
        <f t="shared" si="15"/>
        <v>Bad</v>
      </c>
      <c r="Q228" s="13">
        <f t="shared" si="13"/>
        <v>9.4500800854244532E-2</v>
      </c>
      <c r="R228" s="16">
        <v>6079</v>
      </c>
      <c r="S228" s="49">
        <v>0.59434885000000004</v>
      </c>
      <c r="T228" s="27">
        <f>IF(Table4[[#This Row],[Link clicks]]=0,0,Table4[[#This Row],[Amount spent ]]/Table4[[#This Row],[Link clicks]])</f>
        <v>3.19</v>
      </c>
      <c r="U228" s="62" t="s">
        <v>407</v>
      </c>
      <c r="V228" s="1" t="s">
        <v>414</v>
      </c>
      <c r="W228" s="1">
        <v>9.2506938020351531E-4</v>
      </c>
    </row>
    <row r="229" spans="1:23" x14ac:dyDescent="0.25">
      <c r="A229" s="48" t="s">
        <v>70</v>
      </c>
      <c r="B229" s="12" t="s">
        <v>357</v>
      </c>
      <c r="C229" s="1" t="str">
        <f t="shared" si="14"/>
        <v>Jeddah Target Group</v>
      </c>
      <c r="D229" s="1" t="s">
        <v>130</v>
      </c>
      <c r="E229" s="12" t="s">
        <v>281</v>
      </c>
      <c r="F229" s="1" t="s">
        <v>77</v>
      </c>
      <c r="G229" s="1" t="s">
        <v>74</v>
      </c>
      <c r="H229" s="1" t="s">
        <v>94</v>
      </c>
      <c r="I229" s="16">
        <v>415</v>
      </c>
      <c r="J229" s="16">
        <v>846</v>
      </c>
      <c r="K229" s="63">
        <v>2.85</v>
      </c>
      <c r="L229" s="16">
        <v>13</v>
      </c>
      <c r="M229" s="16">
        <v>481</v>
      </c>
      <c r="N229" s="16">
        <v>3</v>
      </c>
      <c r="O229" s="26">
        <f t="shared" si="16"/>
        <v>1.5366430260047281</v>
      </c>
      <c r="P229" s="13" t="str">
        <f t="shared" si="15"/>
        <v>Good</v>
      </c>
      <c r="Q229" s="13">
        <f t="shared" ref="Q229:Q292" si="17">M229/J229</f>
        <v>0.5685579196217494</v>
      </c>
      <c r="R229" s="16">
        <v>324</v>
      </c>
      <c r="S229" s="49">
        <v>0.16167665000000001</v>
      </c>
      <c r="T229" s="27">
        <f>IF(Table4[[#This Row],[Link clicks]]=0,0,Table4[[#This Row],[Amount spent ]]/Table4[[#This Row],[Link clicks]])</f>
        <v>0.21923076923076923</v>
      </c>
      <c r="U229" s="62" t="s">
        <v>407</v>
      </c>
      <c r="V229" s="1" t="s">
        <v>414</v>
      </c>
      <c r="W229" s="1">
        <v>3.1325301204819279E-2</v>
      </c>
    </row>
    <row r="230" spans="1:23" x14ac:dyDescent="0.25">
      <c r="A230" s="48" t="s">
        <v>70</v>
      </c>
      <c r="B230" s="12" t="s">
        <v>357</v>
      </c>
      <c r="C230" s="1" t="str">
        <f t="shared" si="14"/>
        <v>Jeddah Target Group</v>
      </c>
      <c r="D230" s="1" t="s">
        <v>130</v>
      </c>
      <c r="E230" s="12" t="s">
        <v>293</v>
      </c>
      <c r="F230" s="1" t="s">
        <v>77</v>
      </c>
      <c r="G230" s="1" t="s">
        <v>74</v>
      </c>
      <c r="H230" s="1" t="s">
        <v>94</v>
      </c>
      <c r="I230" s="16">
        <v>255</v>
      </c>
      <c r="J230" s="16">
        <v>404</v>
      </c>
      <c r="K230" s="63">
        <v>0.92</v>
      </c>
      <c r="L230" s="16">
        <v>1</v>
      </c>
      <c r="M230" s="16">
        <v>87</v>
      </c>
      <c r="N230" s="16">
        <v>74</v>
      </c>
      <c r="O230" s="26">
        <f t="shared" si="16"/>
        <v>0.24752475247524752</v>
      </c>
      <c r="P230" s="13" t="str">
        <f t="shared" si="15"/>
        <v>Good</v>
      </c>
      <c r="Q230" s="13">
        <f t="shared" si="17"/>
        <v>0.21534653465346534</v>
      </c>
      <c r="R230" s="16">
        <v>578</v>
      </c>
      <c r="S230" s="49">
        <v>2.9162460000000001E-2</v>
      </c>
      <c r="T230" s="27">
        <f>IF(Table4[[#This Row],[Link clicks]]=0,0,Table4[[#This Row],[Amount spent ]]/Table4[[#This Row],[Link clicks]])</f>
        <v>0.92</v>
      </c>
      <c r="U230" s="62" t="s">
        <v>407</v>
      </c>
      <c r="V230" s="1" t="s">
        <v>414</v>
      </c>
      <c r="W230" s="1">
        <v>3.9215686274509803E-3</v>
      </c>
    </row>
    <row r="231" spans="1:23" x14ac:dyDescent="0.25">
      <c r="A231" s="48" t="s">
        <v>70</v>
      </c>
      <c r="B231" s="12" t="s">
        <v>357</v>
      </c>
      <c r="C231" s="1" t="str">
        <f t="shared" si="14"/>
        <v>Jeddah Target Group</v>
      </c>
      <c r="D231" s="1" t="s">
        <v>73</v>
      </c>
      <c r="E231" s="12" t="s">
        <v>293</v>
      </c>
      <c r="F231" s="1" t="s">
        <v>77</v>
      </c>
      <c r="G231" s="1" t="s">
        <v>74</v>
      </c>
      <c r="H231" s="1" t="s">
        <v>94</v>
      </c>
      <c r="I231" s="16">
        <v>776</v>
      </c>
      <c r="J231" s="16">
        <v>1281</v>
      </c>
      <c r="K231" s="63">
        <v>0.62</v>
      </c>
      <c r="L231" s="16">
        <v>3</v>
      </c>
      <c r="M231" s="16">
        <v>185</v>
      </c>
      <c r="N231" s="16">
        <v>175</v>
      </c>
      <c r="O231" s="26">
        <f t="shared" si="16"/>
        <v>0.23419203747072601</v>
      </c>
      <c r="P231" s="13" t="str">
        <f t="shared" si="15"/>
        <v>Good</v>
      </c>
      <c r="Q231" s="13">
        <f t="shared" si="17"/>
        <v>0.14441842310694769</v>
      </c>
      <c r="R231" s="16">
        <v>1845</v>
      </c>
      <c r="S231" s="49">
        <v>0.1130584</v>
      </c>
      <c r="T231" s="27">
        <f>IF(Table4[[#This Row],[Link clicks]]=0,0,Table4[[#This Row],[Amount spent ]]/Table4[[#This Row],[Link clicks]])</f>
        <v>0.20666666666666667</v>
      </c>
      <c r="U231" s="62" t="s">
        <v>407</v>
      </c>
      <c r="V231" s="1" t="s">
        <v>413</v>
      </c>
      <c r="W231" s="1">
        <v>3.8659793814432991E-3</v>
      </c>
    </row>
    <row r="232" spans="1:23" x14ac:dyDescent="0.25">
      <c r="A232" s="48" t="s">
        <v>70</v>
      </c>
      <c r="B232" s="12" t="s">
        <v>357</v>
      </c>
      <c r="C232" s="1" t="str">
        <f t="shared" si="14"/>
        <v>Jeddah Target Group</v>
      </c>
      <c r="D232" s="1" t="s">
        <v>130</v>
      </c>
      <c r="E232" s="12" t="s">
        <v>295</v>
      </c>
      <c r="F232" s="1" t="s">
        <v>78</v>
      </c>
      <c r="G232" s="1" t="s">
        <v>74</v>
      </c>
      <c r="H232" s="1" t="s">
        <v>94</v>
      </c>
      <c r="I232" s="16">
        <v>134</v>
      </c>
      <c r="J232" s="16">
        <v>172</v>
      </c>
      <c r="K232" s="63">
        <v>0.51</v>
      </c>
      <c r="L232" s="16">
        <v>1</v>
      </c>
      <c r="M232" s="16">
        <v>53</v>
      </c>
      <c r="N232" s="16">
        <v>47</v>
      </c>
      <c r="O232" s="26">
        <f t="shared" si="16"/>
        <v>0.58139534883720934</v>
      </c>
      <c r="P232" s="13" t="str">
        <f t="shared" si="15"/>
        <v>Good</v>
      </c>
      <c r="Q232" s="13">
        <f t="shared" si="17"/>
        <v>0.30813953488372092</v>
      </c>
      <c r="R232" s="16">
        <v>1167</v>
      </c>
      <c r="S232" s="49">
        <v>4.9923000000000002E-2</v>
      </c>
      <c r="T232" s="27">
        <f>IF(Table4[[#This Row],[Link clicks]]=0,0,Table4[[#This Row],[Amount spent ]]/Table4[[#This Row],[Link clicks]])</f>
        <v>0.51</v>
      </c>
      <c r="U232" s="62" t="s">
        <v>407</v>
      </c>
      <c r="V232" s="1" t="s">
        <v>414</v>
      </c>
      <c r="W232" s="1">
        <v>7.462686567164179E-3</v>
      </c>
    </row>
    <row r="233" spans="1:23" x14ac:dyDescent="0.25">
      <c r="A233" s="48" t="s">
        <v>70</v>
      </c>
      <c r="B233" s="12" t="s">
        <v>357</v>
      </c>
      <c r="C233" s="1" t="str">
        <f t="shared" si="14"/>
        <v>Jeddah Target Group</v>
      </c>
      <c r="D233" s="1" t="s">
        <v>73</v>
      </c>
      <c r="E233" s="12" t="s">
        <v>295</v>
      </c>
      <c r="F233" s="1" t="s">
        <v>78</v>
      </c>
      <c r="G233" s="1" t="s">
        <v>74</v>
      </c>
      <c r="H233" s="1" t="s">
        <v>94</v>
      </c>
      <c r="I233" s="16">
        <v>926</v>
      </c>
      <c r="J233" s="16">
        <v>1237</v>
      </c>
      <c r="K233" s="63">
        <v>0.5</v>
      </c>
      <c r="L233" s="16">
        <v>7</v>
      </c>
      <c r="M233" s="16">
        <v>140</v>
      </c>
      <c r="N233" s="16">
        <v>115</v>
      </c>
      <c r="O233" s="26">
        <f t="shared" si="16"/>
        <v>0.56588520614389648</v>
      </c>
      <c r="P233" s="13" t="str">
        <f t="shared" si="15"/>
        <v>Good</v>
      </c>
      <c r="Q233" s="13">
        <f t="shared" si="17"/>
        <v>0.11317704122877931</v>
      </c>
      <c r="R233" s="16">
        <v>4710</v>
      </c>
      <c r="S233" s="49">
        <v>0.40491747</v>
      </c>
      <c r="T233" s="27">
        <f>IF(Table4[[#This Row],[Link clicks]]=0,0,Table4[[#This Row],[Amount spent ]]/Table4[[#This Row],[Link clicks]])</f>
        <v>7.1428571428571425E-2</v>
      </c>
      <c r="U233" s="62" t="s">
        <v>407</v>
      </c>
      <c r="V233" s="1" t="s">
        <v>413</v>
      </c>
      <c r="W233" s="1">
        <v>7.5593952483801298E-3</v>
      </c>
    </row>
    <row r="234" spans="1:23" x14ac:dyDescent="0.25">
      <c r="A234" s="48" t="s">
        <v>70</v>
      </c>
      <c r="B234" s="12" t="s">
        <v>357</v>
      </c>
      <c r="C234" s="1" t="str">
        <f t="shared" si="14"/>
        <v>Jeddah Target Group</v>
      </c>
      <c r="D234" s="1" t="s">
        <v>130</v>
      </c>
      <c r="E234" s="12" t="s">
        <v>304</v>
      </c>
      <c r="F234" s="1" t="s">
        <v>77</v>
      </c>
      <c r="G234" s="1" t="s">
        <v>74</v>
      </c>
      <c r="H234" s="1" t="s">
        <v>75</v>
      </c>
      <c r="I234" s="16">
        <v>1</v>
      </c>
      <c r="J234" s="16">
        <v>1</v>
      </c>
      <c r="K234" s="63">
        <v>0</v>
      </c>
      <c r="L234" s="16">
        <v>0</v>
      </c>
      <c r="M234" s="16">
        <v>0</v>
      </c>
      <c r="N234" s="16">
        <v>0</v>
      </c>
      <c r="O234" s="26">
        <f t="shared" si="16"/>
        <v>0</v>
      </c>
      <c r="P234" s="13" t="str">
        <f t="shared" si="15"/>
        <v>Bad</v>
      </c>
      <c r="Q234" s="13">
        <f t="shared" si="17"/>
        <v>0</v>
      </c>
      <c r="R234" s="16">
        <v>4476</v>
      </c>
      <c r="S234" s="49">
        <v>0.34740764000000002</v>
      </c>
      <c r="T234" s="27">
        <f>IF(Table4[[#This Row],[Link clicks]]=0,0,Table4[[#This Row],[Amount spent ]]/Table4[[#This Row],[Link clicks]])</f>
        <v>0</v>
      </c>
      <c r="U234" s="62" t="s">
        <v>407</v>
      </c>
      <c r="V234" s="1" t="s">
        <v>414</v>
      </c>
      <c r="W234" s="1">
        <v>0</v>
      </c>
    </row>
    <row r="235" spans="1:23" x14ac:dyDescent="0.25">
      <c r="A235" s="48" t="s">
        <v>70</v>
      </c>
      <c r="B235" s="12" t="s">
        <v>357</v>
      </c>
      <c r="C235" s="1" t="str">
        <f t="shared" si="14"/>
        <v>Jeddah Target Group</v>
      </c>
      <c r="D235" s="1" t="s">
        <v>130</v>
      </c>
      <c r="E235" s="12" t="s">
        <v>305</v>
      </c>
      <c r="F235" s="1" t="s">
        <v>77</v>
      </c>
      <c r="G235" s="1" t="s">
        <v>74</v>
      </c>
      <c r="H235" s="1" t="s">
        <v>75</v>
      </c>
      <c r="I235" s="16">
        <v>2</v>
      </c>
      <c r="J235" s="16">
        <v>2</v>
      </c>
      <c r="K235" s="63">
        <v>0</v>
      </c>
      <c r="L235" s="16">
        <v>0</v>
      </c>
      <c r="M235" s="16">
        <v>0</v>
      </c>
      <c r="N235" s="16">
        <v>0</v>
      </c>
      <c r="O235" s="26">
        <f t="shared" si="16"/>
        <v>0</v>
      </c>
      <c r="P235" s="13" t="str">
        <f t="shared" si="15"/>
        <v>Bad</v>
      </c>
      <c r="Q235" s="13">
        <f t="shared" si="17"/>
        <v>0</v>
      </c>
      <c r="R235" s="16">
        <v>369</v>
      </c>
      <c r="S235" s="49">
        <v>0.21292556000000001</v>
      </c>
      <c r="T235" s="27">
        <f>IF(Table4[[#This Row],[Link clicks]]=0,0,Table4[[#This Row],[Amount spent ]]/Table4[[#This Row],[Link clicks]])</f>
        <v>0</v>
      </c>
      <c r="U235" s="62" t="s">
        <v>407</v>
      </c>
      <c r="V235" s="1" t="s">
        <v>414</v>
      </c>
      <c r="W235" s="1">
        <v>0</v>
      </c>
    </row>
    <row r="236" spans="1:23" x14ac:dyDescent="0.25">
      <c r="A236" s="48" t="s">
        <v>70</v>
      </c>
      <c r="B236" s="12" t="s">
        <v>357</v>
      </c>
      <c r="C236" s="1" t="str">
        <f t="shared" si="14"/>
        <v>Jeddah Target Group</v>
      </c>
      <c r="D236" s="1" t="s">
        <v>130</v>
      </c>
      <c r="E236" s="12" t="s">
        <v>306</v>
      </c>
      <c r="F236" s="1" t="s">
        <v>78</v>
      </c>
      <c r="G236" s="1" t="s">
        <v>74</v>
      </c>
      <c r="H236" s="1" t="s">
        <v>75</v>
      </c>
      <c r="I236" s="16">
        <v>1</v>
      </c>
      <c r="J236" s="16">
        <v>2</v>
      </c>
      <c r="K236" s="63">
        <v>0</v>
      </c>
      <c r="L236" s="16">
        <v>0</v>
      </c>
      <c r="M236" s="16">
        <v>0</v>
      </c>
      <c r="N236" s="16">
        <v>0</v>
      </c>
      <c r="O236" s="26">
        <f t="shared" si="16"/>
        <v>0</v>
      </c>
      <c r="P236" s="13" t="str">
        <f t="shared" si="15"/>
        <v>Bad</v>
      </c>
      <c r="Q236" s="13">
        <f t="shared" si="17"/>
        <v>0</v>
      </c>
      <c r="R236" s="16">
        <v>2625</v>
      </c>
      <c r="S236" s="49">
        <v>8.3135390000000003E-2</v>
      </c>
      <c r="T236" s="27">
        <f>IF(Table4[[#This Row],[Link clicks]]=0,0,Table4[[#This Row],[Amount spent ]]/Table4[[#This Row],[Link clicks]])</f>
        <v>0</v>
      </c>
      <c r="U236" s="62" t="s">
        <v>407</v>
      </c>
      <c r="V236" s="1" t="s">
        <v>414</v>
      </c>
      <c r="W236" s="1">
        <v>0</v>
      </c>
    </row>
    <row r="237" spans="1:23" x14ac:dyDescent="0.25">
      <c r="A237" s="48" t="s">
        <v>70</v>
      </c>
      <c r="B237" s="12" t="s">
        <v>357</v>
      </c>
      <c r="C237" s="1" t="str">
        <f t="shared" si="14"/>
        <v>Jeddah Target Group</v>
      </c>
      <c r="D237" s="1" t="s">
        <v>130</v>
      </c>
      <c r="E237" s="12" t="s">
        <v>307</v>
      </c>
      <c r="F237" s="1" t="s">
        <v>78</v>
      </c>
      <c r="G237" s="1" t="s">
        <v>74</v>
      </c>
      <c r="H237" s="1" t="s">
        <v>75</v>
      </c>
      <c r="I237" s="16">
        <v>4</v>
      </c>
      <c r="J237" s="16">
        <v>7</v>
      </c>
      <c r="K237" s="63">
        <v>0</v>
      </c>
      <c r="L237" s="16">
        <v>0</v>
      </c>
      <c r="M237" s="16">
        <v>0</v>
      </c>
      <c r="N237" s="16">
        <v>0</v>
      </c>
      <c r="O237" s="26">
        <f t="shared" si="16"/>
        <v>0</v>
      </c>
      <c r="P237" s="13" t="str">
        <f t="shared" si="15"/>
        <v>Bad</v>
      </c>
      <c r="Q237" s="13">
        <f t="shared" si="17"/>
        <v>0</v>
      </c>
      <c r="R237" s="16">
        <v>1573</v>
      </c>
      <c r="S237" s="49">
        <v>5.5764319999999999E-2</v>
      </c>
      <c r="T237" s="27">
        <f>IF(Table4[[#This Row],[Link clicks]]=0,0,Table4[[#This Row],[Amount spent ]]/Table4[[#This Row],[Link clicks]])</f>
        <v>0</v>
      </c>
      <c r="U237" s="62" t="s">
        <v>407</v>
      </c>
      <c r="V237" s="1" t="s">
        <v>414</v>
      </c>
      <c r="W237" s="1">
        <v>0</v>
      </c>
    </row>
    <row r="238" spans="1:23" x14ac:dyDescent="0.25">
      <c r="A238" s="48" t="s">
        <v>70</v>
      </c>
      <c r="B238" s="12" t="s">
        <v>357</v>
      </c>
      <c r="C238" s="1" t="str">
        <f t="shared" si="14"/>
        <v>Jeddah Target Group</v>
      </c>
      <c r="D238" s="1" t="s">
        <v>130</v>
      </c>
      <c r="E238" s="12" t="s">
        <v>308</v>
      </c>
      <c r="F238" s="1" t="s">
        <v>78</v>
      </c>
      <c r="G238" s="1" t="s">
        <v>74</v>
      </c>
      <c r="H238" s="1" t="s">
        <v>75</v>
      </c>
      <c r="I238" s="16">
        <v>2</v>
      </c>
      <c r="J238" s="16">
        <v>4</v>
      </c>
      <c r="K238" s="63">
        <v>0</v>
      </c>
      <c r="L238" s="16">
        <v>0</v>
      </c>
      <c r="M238" s="16">
        <v>0</v>
      </c>
      <c r="N238" s="16">
        <v>0</v>
      </c>
      <c r="O238" s="26">
        <f t="shared" si="16"/>
        <v>0</v>
      </c>
      <c r="P238" s="13" t="str">
        <f t="shared" si="15"/>
        <v>Bad</v>
      </c>
      <c r="Q238" s="13">
        <f t="shared" si="17"/>
        <v>0</v>
      </c>
      <c r="R238" s="16">
        <v>989</v>
      </c>
      <c r="S238" s="49">
        <v>6.7554639999999999E-2</v>
      </c>
      <c r="T238" s="27">
        <f>IF(Table4[[#This Row],[Link clicks]]=0,0,Table4[[#This Row],[Amount spent ]]/Table4[[#This Row],[Link clicks]])</f>
        <v>0</v>
      </c>
      <c r="U238" s="62" t="s">
        <v>407</v>
      </c>
      <c r="V238" s="1" t="s">
        <v>414</v>
      </c>
      <c r="W238" s="1">
        <v>0</v>
      </c>
    </row>
    <row r="239" spans="1:23" x14ac:dyDescent="0.25">
      <c r="A239" s="48" t="s">
        <v>70</v>
      </c>
      <c r="B239" s="12" t="s">
        <v>357</v>
      </c>
      <c r="C239" s="1" t="str">
        <f t="shared" si="14"/>
        <v>Jeddah Target Group</v>
      </c>
      <c r="D239" s="1" t="s">
        <v>73</v>
      </c>
      <c r="E239" s="12" t="s">
        <v>304</v>
      </c>
      <c r="F239" s="1" t="s">
        <v>77</v>
      </c>
      <c r="G239" s="1" t="s">
        <v>74</v>
      </c>
      <c r="H239" s="1" t="s">
        <v>75</v>
      </c>
      <c r="I239" s="16">
        <v>1</v>
      </c>
      <c r="J239" s="16">
        <v>1</v>
      </c>
      <c r="K239" s="63">
        <v>0</v>
      </c>
      <c r="L239" s="16">
        <v>0</v>
      </c>
      <c r="M239" s="16">
        <v>1</v>
      </c>
      <c r="N239" s="16">
        <v>0</v>
      </c>
      <c r="O239" s="26">
        <f t="shared" si="16"/>
        <v>0</v>
      </c>
      <c r="P239" s="13" t="str">
        <f t="shared" si="15"/>
        <v>Bad</v>
      </c>
      <c r="Q239" s="13">
        <f t="shared" si="17"/>
        <v>1</v>
      </c>
      <c r="R239" s="16">
        <v>981</v>
      </c>
      <c r="S239" s="49">
        <v>4.2182659999999997E-2</v>
      </c>
      <c r="T239" s="27">
        <f>IF(Table4[[#This Row],[Link clicks]]=0,0,Table4[[#This Row],[Amount spent ]]/Table4[[#This Row],[Link clicks]])</f>
        <v>0</v>
      </c>
      <c r="U239" s="62" t="s">
        <v>407</v>
      </c>
      <c r="V239" s="1" t="s">
        <v>413</v>
      </c>
      <c r="W239" s="1">
        <v>0</v>
      </c>
    </row>
    <row r="240" spans="1:23" x14ac:dyDescent="0.25">
      <c r="A240" s="48" t="s">
        <v>70</v>
      </c>
      <c r="B240" s="12" t="s">
        <v>357</v>
      </c>
      <c r="C240" s="1" t="str">
        <f t="shared" si="14"/>
        <v>Jeddah Target Group</v>
      </c>
      <c r="D240" s="1" t="s">
        <v>73</v>
      </c>
      <c r="E240" s="12" t="s">
        <v>309</v>
      </c>
      <c r="F240" s="1" t="s">
        <v>77</v>
      </c>
      <c r="G240" s="1" t="s">
        <v>74</v>
      </c>
      <c r="H240" s="1" t="s">
        <v>75</v>
      </c>
      <c r="I240" s="16">
        <v>4</v>
      </c>
      <c r="J240" s="16">
        <v>4</v>
      </c>
      <c r="K240" s="63">
        <v>0</v>
      </c>
      <c r="L240" s="16">
        <v>0</v>
      </c>
      <c r="M240" s="16">
        <v>1</v>
      </c>
      <c r="N240" s="16">
        <v>0</v>
      </c>
      <c r="O240" s="26">
        <f t="shared" si="16"/>
        <v>0</v>
      </c>
      <c r="P240" s="13" t="str">
        <f t="shared" si="15"/>
        <v>Bad</v>
      </c>
      <c r="Q240" s="13">
        <f t="shared" si="17"/>
        <v>0.25</v>
      </c>
      <c r="R240" s="16">
        <v>1266</v>
      </c>
      <c r="S240" s="49">
        <v>6.8167130000000006E-2</v>
      </c>
      <c r="T240" s="27">
        <f>IF(Table4[[#This Row],[Link clicks]]=0,0,Table4[[#This Row],[Amount spent ]]/Table4[[#This Row],[Link clicks]])</f>
        <v>0</v>
      </c>
      <c r="U240" s="62" t="s">
        <v>407</v>
      </c>
      <c r="V240" s="1" t="s">
        <v>413</v>
      </c>
      <c r="W240" s="1">
        <v>0</v>
      </c>
    </row>
    <row r="241" spans="1:23" x14ac:dyDescent="0.25">
      <c r="A241" s="48" t="s">
        <v>70</v>
      </c>
      <c r="B241" s="12" t="s">
        <v>357</v>
      </c>
      <c r="C241" s="1" t="str">
        <f t="shared" si="14"/>
        <v>Jeddah Target Group</v>
      </c>
      <c r="D241" s="1" t="s">
        <v>73</v>
      </c>
      <c r="E241" s="12" t="s">
        <v>305</v>
      </c>
      <c r="F241" s="1" t="s">
        <v>77</v>
      </c>
      <c r="G241" s="1" t="s">
        <v>74</v>
      </c>
      <c r="H241" s="1" t="s">
        <v>75</v>
      </c>
      <c r="I241" s="16">
        <v>2</v>
      </c>
      <c r="J241" s="16">
        <v>2</v>
      </c>
      <c r="K241" s="63">
        <v>0</v>
      </c>
      <c r="L241" s="16">
        <v>0</v>
      </c>
      <c r="M241" s="16">
        <v>0</v>
      </c>
      <c r="N241" s="16">
        <v>0</v>
      </c>
      <c r="O241" s="26">
        <f t="shared" si="16"/>
        <v>0</v>
      </c>
      <c r="P241" s="13" t="str">
        <f t="shared" si="15"/>
        <v>Bad</v>
      </c>
      <c r="Q241" s="13">
        <f t="shared" si="17"/>
        <v>0</v>
      </c>
      <c r="R241" s="16">
        <v>530</v>
      </c>
      <c r="S241" s="49">
        <v>0.28296850000000001</v>
      </c>
      <c r="T241" s="27">
        <f>IF(Table4[[#This Row],[Link clicks]]=0,0,Table4[[#This Row],[Amount spent ]]/Table4[[#This Row],[Link clicks]])</f>
        <v>0</v>
      </c>
      <c r="U241" s="62" t="s">
        <v>407</v>
      </c>
      <c r="V241" s="1" t="s">
        <v>413</v>
      </c>
      <c r="W241" s="1">
        <v>0</v>
      </c>
    </row>
    <row r="242" spans="1:23" x14ac:dyDescent="0.25">
      <c r="A242" s="48" t="s">
        <v>70</v>
      </c>
      <c r="B242" s="12" t="s">
        <v>357</v>
      </c>
      <c r="C242" s="1" t="str">
        <f t="shared" si="14"/>
        <v>Jeddah Target Group</v>
      </c>
      <c r="D242" s="1" t="s">
        <v>73</v>
      </c>
      <c r="E242" s="12" t="s">
        <v>306</v>
      </c>
      <c r="F242" s="1" t="s">
        <v>78</v>
      </c>
      <c r="G242" s="1" t="s">
        <v>74</v>
      </c>
      <c r="H242" s="1" t="s">
        <v>75</v>
      </c>
      <c r="I242" s="16">
        <v>1</v>
      </c>
      <c r="J242" s="16">
        <v>1</v>
      </c>
      <c r="K242" s="63">
        <v>0</v>
      </c>
      <c r="L242" s="16">
        <v>0</v>
      </c>
      <c r="M242" s="16">
        <v>0</v>
      </c>
      <c r="N242" s="16">
        <v>0</v>
      </c>
      <c r="O242" s="26">
        <f t="shared" si="16"/>
        <v>0</v>
      </c>
      <c r="P242" s="13" t="str">
        <f t="shared" si="15"/>
        <v>Bad</v>
      </c>
      <c r="Q242" s="13">
        <f t="shared" si="17"/>
        <v>0</v>
      </c>
      <c r="R242" s="16">
        <v>347</v>
      </c>
      <c r="S242" s="49">
        <v>0.16500238</v>
      </c>
      <c r="T242" s="27">
        <f>IF(Table4[[#This Row],[Link clicks]]=0,0,Table4[[#This Row],[Amount spent ]]/Table4[[#This Row],[Link clicks]])</f>
        <v>0</v>
      </c>
      <c r="U242" s="62" t="s">
        <v>407</v>
      </c>
      <c r="V242" s="1" t="s">
        <v>413</v>
      </c>
      <c r="W242" s="1">
        <v>0</v>
      </c>
    </row>
    <row r="243" spans="1:23" x14ac:dyDescent="0.25">
      <c r="A243" s="48" t="s">
        <v>69</v>
      </c>
      <c r="B243" s="12" t="s">
        <v>358</v>
      </c>
      <c r="C243" s="1" t="str">
        <f t="shared" si="14"/>
        <v>Kuwait Target Group</v>
      </c>
      <c r="D243" s="1" t="s">
        <v>73</v>
      </c>
      <c r="E243" s="12" t="s">
        <v>144</v>
      </c>
      <c r="F243" s="1" t="s">
        <v>77</v>
      </c>
      <c r="G243" s="1" t="s">
        <v>74</v>
      </c>
      <c r="H243" s="1" t="s">
        <v>92</v>
      </c>
      <c r="I243" s="16">
        <v>451331</v>
      </c>
      <c r="J243" s="16">
        <v>2835346</v>
      </c>
      <c r="K243" s="63">
        <v>1613.83</v>
      </c>
      <c r="L243" s="16">
        <v>9696</v>
      </c>
      <c r="M243" s="16">
        <v>517974</v>
      </c>
      <c r="N243" s="16">
        <v>7711</v>
      </c>
      <c r="O243" s="26">
        <f t="shared" si="16"/>
        <v>0.34196884613024298</v>
      </c>
      <c r="P243" s="13" t="str">
        <f t="shared" si="15"/>
        <v>Good</v>
      </c>
      <c r="Q243" s="13">
        <f t="shared" si="17"/>
        <v>0.18268458241075339</v>
      </c>
      <c r="R243" s="16">
        <v>2094</v>
      </c>
      <c r="S243" s="49">
        <v>8.7883489999999995E-2</v>
      </c>
      <c r="T243" s="27">
        <f>IF(Table4[[#This Row],[Link clicks]]=0,0,Table4[[#This Row],[Amount spent ]]/Table4[[#This Row],[Link clicks]])</f>
        <v>0.16644286303630362</v>
      </c>
      <c r="U243" s="62" t="s">
        <v>407</v>
      </c>
      <c r="V243" s="1" t="s">
        <v>413</v>
      </c>
      <c r="W243" s="1">
        <v>2.1483124358840849E-2</v>
      </c>
    </row>
    <row r="244" spans="1:23" x14ac:dyDescent="0.25">
      <c r="A244" s="48" t="s">
        <v>69</v>
      </c>
      <c r="B244" s="12" t="s">
        <v>358</v>
      </c>
      <c r="C244" s="1" t="str">
        <f t="shared" si="14"/>
        <v>Kuwait Target Group</v>
      </c>
      <c r="D244" s="1" t="s">
        <v>73</v>
      </c>
      <c r="E244" s="12" t="s">
        <v>147</v>
      </c>
      <c r="F244" s="1" t="s">
        <v>77</v>
      </c>
      <c r="G244" s="1" t="s">
        <v>74</v>
      </c>
      <c r="H244" s="1" t="s">
        <v>94</v>
      </c>
      <c r="I244" s="16">
        <v>294721</v>
      </c>
      <c r="J244" s="16">
        <v>1118842</v>
      </c>
      <c r="K244" s="63">
        <v>837.03</v>
      </c>
      <c r="L244" s="16">
        <v>9408</v>
      </c>
      <c r="M244" s="16">
        <v>358257</v>
      </c>
      <c r="N244" s="16">
        <v>7123</v>
      </c>
      <c r="O244" s="26">
        <f t="shared" si="16"/>
        <v>0.84086939889635903</v>
      </c>
      <c r="P244" s="13" t="str">
        <f t="shared" si="15"/>
        <v>Good</v>
      </c>
      <c r="Q244" s="13">
        <f t="shared" si="17"/>
        <v>0.32020338886098304</v>
      </c>
      <c r="R244" s="16">
        <v>1136</v>
      </c>
      <c r="S244" s="49">
        <v>4.829932E-2</v>
      </c>
      <c r="T244" s="27">
        <f>IF(Table4[[#This Row],[Link clicks]]=0,0,Table4[[#This Row],[Amount spent ]]/Table4[[#This Row],[Link clicks]])</f>
        <v>8.8970025510204082E-2</v>
      </c>
      <c r="U244" s="62" t="s">
        <v>407</v>
      </c>
      <c r="V244" s="1" t="s">
        <v>413</v>
      </c>
      <c r="W244" s="1">
        <v>3.1921715792223831E-2</v>
      </c>
    </row>
    <row r="245" spans="1:23" x14ac:dyDescent="0.25">
      <c r="A245" s="48" t="s">
        <v>69</v>
      </c>
      <c r="B245" s="12" t="s">
        <v>358</v>
      </c>
      <c r="C245" s="1" t="str">
        <f t="shared" si="14"/>
        <v>Kuwait Target Group</v>
      </c>
      <c r="D245" s="1" t="s">
        <v>73</v>
      </c>
      <c r="E245" s="12" t="s">
        <v>158</v>
      </c>
      <c r="F245" s="1" t="s">
        <v>78</v>
      </c>
      <c r="G245" s="1" t="s">
        <v>74</v>
      </c>
      <c r="H245" s="1" t="s">
        <v>94</v>
      </c>
      <c r="I245" s="16">
        <v>325566</v>
      </c>
      <c r="J245" s="16">
        <v>1054459</v>
      </c>
      <c r="K245" s="63">
        <v>362.25</v>
      </c>
      <c r="L245" s="16">
        <v>3112</v>
      </c>
      <c r="M245" s="16">
        <v>43765</v>
      </c>
      <c r="N245" s="16">
        <v>1865</v>
      </c>
      <c r="O245" s="26">
        <f t="shared" si="16"/>
        <v>0.29512764365423405</v>
      </c>
      <c r="P245" s="13" t="str">
        <f t="shared" si="15"/>
        <v>Good</v>
      </c>
      <c r="Q245" s="13">
        <f t="shared" si="17"/>
        <v>4.1504695772903451E-2</v>
      </c>
      <c r="R245" s="16">
        <v>1897</v>
      </c>
      <c r="S245" s="49">
        <v>7.0261859999999995E-2</v>
      </c>
      <c r="T245" s="27">
        <f>IF(Table4[[#This Row],[Link clicks]]=0,0,Table4[[#This Row],[Amount spent ]]/Table4[[#This Row],[Link clicks]])</f>
        <v>0.11640424164524421</v>
      </c>
      <c r="U245" s="62" t="s">
        <v>407</v>
      </c>
      <c r="V245" s="1" t="s">
        <v>413</v>
      </c>
      <c r="W245" s="1">
        <v>9.5587377060258136E-3</v>
      </c>
    </row>
    <row r="246" spans="1:23" x14ac:dyDescent="0.25">
      <c r="A246" s="48" t="s">
        <v>69</v>
      </c>
      <c r="B246" s="12" t="s">
        <v>358</v>
      </c>
      <c r="C246" s="1" t="str">
        <f t="shared" si="14"/>
        <v>Kuwait Target Group</v>
      </c>
      <c r="D246" s="1" t="s">
        <v>73</v>
      </c>
      <c r="E246" s="12" t="s">
        <v>160</v>
      </c>
      <c r="F246" s="1" t="s">
        <v>78</v>
      </c>
      <c r="G246" s="1" t="s">
        <v>74</v>
      </c>
      <c r="H246" s="1" t="s">
        <v>92</v>
      </c>
      <c r="I246" s="16">
        <v>290734</v>
      </c>
      <c r="J246" s="16">
        <v>1058827</v>
      </c>
      <c r="K246" s="63">
        <v>346</v>
      </c>
      <c r="L246" s="16">
        <v>3600</v>
      </c>
      <c r="M246" s="16">
        <v>53762</v>
      </c>
      <c r="N246" s="16">
        <v>2562</v>
      </c>
      <c r="O246" s="26">
        <f t="shared" si="16"/>
        <v>0.33999888555920849</v>
      </c>
      <c r="P246" s="13" t="str">
        <f t="shared" si="15"/>
        <v>Good</v>
      </c>
      <c r="Q246" s="13">
        <f t="shared" si="17"/>
        <v>5.0775055792872677E-2</v>
      </c>
      <c r="R246" s="16">
        <v>4703</v>
      </c>
      <c r="S246" s="49">
        <v>0.58495025</v>
      </c>
      <c r="T246" s="27">
        <f>IF(Table4[[#This Row],[Link clicks]]=0,0,Table4[[#This Row],[Amount spent ]]/Table4[[#This Row],[Link clicks]])</f>
        <v>9.6111111111111105E-2</v>
      </c>
      <c r="U246" s="62" t="s">
        <v>407</v>
      </c>
      <c r="V246" s="1" t="s">
        <v>413</v>
      </c>
      <c r="W246" s="1">
        <v>1.238245268871202E-2</v>
      </c>
    </row>
    <row r="247" spans="1:23" x14ac:dyDescent="0.25">
      <c r="A247" s="48" t="s">
        <v>69</v>
      </c>
      <c r="B247" s="12" t="s">
        <v>358</v>
      </c>
      <c r="C247" s="1" t="str">
        <f t="shared" si="14"/>
        <v>Kuwait Target Group</v>
      </c>
      <c r="D247" s="1" t="s">
        <v>73</v>
      </c>
      <c r="E247" s="12" t="s">
        <v>162</v>
      </c>
      <c r="F247" s="1" t="s">
        <v>78</v>
      </c>
      <c r="G247" s="1" t="s">
        <v>74</v>
      </c>
      <c r="H247" s="1" t="s">
        <v>94</v>
      </c>
      <c r="I247" s="16">
        <v>126754</v>
      </c>
      <c r="J247" s="16">
        <v>273187</v>
      </c>
      <c r="K247" s="63">
        <v>331.31</v>
      </c>
      <c r="L247" s="16">
        <v>2582</v>
      </c>
      <c r="M247" s="16">
        <v>217862</v>
      </c>
      <c r="N247" s="16">
        <v>264</v>
      </c>
      <c r="O247" s="26">
        <f t="shared" si="16"/>
        <v>0.94514014210046593</v>
      </c>
      <c r="P247" s="13" t="str">
        <f t="shared" si="15"/>
        <v>Good</v>
      </c>
      <c r="Q247" s="13">
        <f t="shared" si="17"/>
        <v>0.79748304275093618</v>
      </c>
      <c r="R247" s="16">
        <v>995</v>
      </c>
      <c r="S247" s="49">
        <v>4.712736E-2</v>
      </c>
      <c r="T247" s="27">
        <f>IF(Table4[[#This Row],[Link clicks]]=0,0,Table4[[#This Row],[Amount spent ]]/Table4[[#This Row],[Link clicks]])</f>
        <v>0.1283152594887684</v>
      </c>
      <c r="U247" s="62" t="s">
        <v>407</v>
      </c>
      <c r="V247" s="1" t="s">
        <v>413</v>
      </c>
      <c r="W247" s="1">
        <v>2.0370165833030911E-2</v>
      </c>
    </row>
    <row r="248" spans="1:23" x14ac:dyDescent="0.25">
      <c r="A248" s="48" t="s">
        <v>69</v>
      </c>
      <c r="B248" s="12" t="s">
        <v>358</v>
      </c>
      <c r="C248" s="1" t="str">
        <f t="shared" si="14"/>
        <v>Kuwait Target Group</v>
      </c>
      <c r="D248" s="1" t="s">
        <v>73</v>
      </c>
      <c r="E248" s="12" t="s">
        <v>163</v>
      </c>
      <c r="F248" s="1" t="s">
        <v>77</v>
      </c>
      <c r="G248" s="1" t="s">
        <v>74</v>
      </c>
      <c r="H248" s="1" t="s">
        <v>92</v>
      </c>
      <c r="I248" s="16">
        <v>317428</v>
      </c>
      <c r="J248" s="16">
        <v>963960</v>
      </c>
      <c r="K248" s="63">
        <v>315.75</v>
      </c>
      <c r="L248" s="16">
        <v>3418</v>
      </c>
      <c r="M248" s="16">
        <v>68252</v>
      </c>
      <c r="N248" s="16">
        <v>2149</v>
      </c>
      <c r="O248" s="26">
        <f t="shared" si="16"/>
        <v>0.35457902817544296</v>
      </c>
      <c r="P248" s="13" t="str">
        <f t="shared" si="15"/>
        <v>Good</v>
      </c>
      <c r="Q248" s="13">
        <f t="shared" si="17"/>
        <v>7.0803767791194655E-2</v>
      </c>
      <c r="R248" s="16">
        <v>3264</v>
      </c>
      <c r="S248" s="49">
        <v>0.46748782999999999</v>
      </c>
      <c r="T248" s="27">
        <f>IF(Table4[[#This Row],[Link clicks]]=0,0,Table4[[#This Row],[Amount spent ]]/Table4[[#This Row],[Link clicks]])</f>
        <v>9.2378583967232294E-2</v>
      </c>
      <c r="U248" s="62" t="s">
        <v>407</v>
      </c>
      <c r="V248" s="1" t="s">
        <v>413</v>
      </c>
      <c r="W248" s="1">
        <v>1.076779616164926E-2</v>
      </c>
    </row>
    <row r="249" spans="1:23" x14ac:dyDescent="0.25">
      <c r="A249" s="48" t="s">
        <v>69</v>
      </c>
      <c r="B249" s="12" t="s">
        <v>358</v>
      </c>
      <c r="C249" s="1" t="str">
        <f t="shared" si="14"/>
        <v>Kuwait Target Group</v>
      </c>
      <c r="D249" s="1" t="s">
        <v>73</v>
      </c>
      <c r="E249" s="12" t="s">
        <v>164</v>
      </c>
      <c r="F249" s="1" t="s">
        <v>77</v>
      </c>
      <c r="G249" s="1" t="s">
        <v>98</v>
      </c>
      <c r="H249" s="1" t="s">
        <v>94</v>
      </c>
      <c r="I249" s="16">
        <v>230653</v>
      </c>
      <c r="J249" s="16">
        <v>930094</v>
      </c>
      <c r="K249" s="63">
        <v>310.16000000000003</v>
      </c>
      <c r="L249" s="16">
        <v>2632</v>
      </c>
      <c r="M249" s="16">
        <v>0</v>
      </c>
      <c r="N249" s="16">
        <v>0</v>
      </c>
      <c r="O249" s="26">
        <f t="shared" si="16"/>
        <v>0.28298215019127099</v>
      </c>
      <c r="P249" s="13" t="str">
        <f t="shared" si="15"/>
        <v>Good</v>
      </c>
      <c r="Q249" s="13">
        <f t="shared" si="17"/>
        <v>0</v>
      </c>
      <c r="R249" s="16">
        <v>3895</v>
      </c>
      <c r="S249" s="49">
        <v>0.48175634000000001</v>
      </c>
      <c r="T249" s="27">
        <f>IF(Table4[[#This Row],[Link clicks]]=0,0,Table4[[#This Row],[Amount spent ]]/Table4[[#This Row],[Link clicks]])</f>
        <v>0.1178419452887538</v>
      </c>
      <c r="U249" s="62" t="s">
        <v>407</v>
      </c>
      <c r="V249" s="1" t="s">
        <v>413</v>
      </c>
      <c r="W249" s="1">
        <v>1.1411080714319779E-2</v>
      </c>
    </row>
    <row r="250" spans="1:23" x14ac:dyDescent="0.25">
      <c r="A250" s="48" t="s">
        <v>69</v>
      </c>
      <c r="B250" s="12" t="s">
        <v>358</v>
      </c>
      <c r="C250" s="1" t="str">
        <f t="shared" si="14"/>
        <v>Kuwait Target Group</v>
      </c>
      <c r="D250" s="1" t="s">
        <v>73</v>
      </c>
      <c r="E250" s="12" t="s">
        <v>168</v>
      </c>
      <c r="F250" s="1" t="s">
        <v>77</v>
      </c>
      <c r="G250" s="1" t="s">
        <v>98</v>
      </c>
      <c r="H250" s="1" t="s">
        <v>94</v>
      </c>
      <c r="I250" s="16">
        <v>261952</v>
      </c>
      <c r="J250" s="16">
        <v>787533</v>
      </c>
      <c r="K250" s="63">
        <v>269.08</v>
      </c>
      <c r="L250" s="16">
        <v>1716</v>
      </c>
      <c r="M250" s="16">
        <v>0</v>
      </c>
      <c r="N250" s="16">
        <v>0</v>
      </c>
      <c r="O250" s="26">
        <f t="shared" si="16"/>
        <v>0.21789563104022308</v>
      </c>
      <c r="P250" s="13" t="str">
        <f t="shared" si="15"/>
        <v>Good</v>
      </c>
      <c r="Q250" s="13">
        <f t="shared" si="17"/>
        <v>0</v>
      </c>
      <c r="R250" s="16">
        <v>3021</v>
      </c>
      <c r="S250" s="49">
        <v>0.35038274000000003</v>
      </c>
      <c r="T250" s="27">
        <f>IF(Table4[[#This Row],[Link clicks]]=0,0,Table4[[#This Row],[Amount spent ]]/Table4[[#This Row],[Link clicks]])</f>
        <v>0.15680652680652679</v>
      </c>
      <c r="U250" s="62" t="s">
        <v>407</v>
      </c>
      <c r="V250" s="1" t="s">
        <v>413</v>
      </c>
      <c r="W250" s="1">
        <v>6.5508184705594906E-3</v>
      </c>
    </row>
    <row r="251" spans="1:23" x14ac:dyDescent="0.25">
      <c r="A251" s="48" t="s">
        <v>69</v>
      </c>
      <c r="B251" s="12" t="s">
        <v>358</v>
      </c>
      <c r="C251" s="1" t="str">
        <f t="shared" si="14"/>
        <v>Kuwait Target Group</v>
      </c>
      <c r="D251" s="1" t="s">
        <v>73</v>
      </c>
      <c r="E251" s="12" t="s">
        <v>172</v>
      </c>
      <c r="F251" s="1" t="s">
        <v>78</v>
      </c>
      <c r="G251" s="1" t="s">
        <v>74</v>
      </c>
      <c r="H251" s="1" t="s">
        <v>92</v>
      </c>
      <c r="I251" s="16">
        <v>145185</v>
      </c>
      <c r="J251" s="16">
        <v>516329</v>
      </c>
      <c r="K251" s="63">
        <v>244.29</v>
      </c>
      <c r="L251" s="16">
        <v>1492</v>
      </c>
      <c r="M251" s="16">
        <v>72873</v>
      </c>
      <c r="N251" s="16">
        <v>2380</v>
      </c>
      <c r="O251" s="26">
        <f t="shared" si="16"/>
        <v>0.28896304488029922</v>
      </c>
      <c r="P251" s="13" t="str">
        <f t="shared" si="15"/>
        <v>Good</v>
      </c>
      <c r="Q251" s="13">
        <f t="shared" si="17"/>
        <v>0.14113675582816382</v>
      </c>
      <c r="R251" s="16">
        <v>505</v>
      </c>
      <c r="S251" s="49">
        <v>0.43199315999999999</v>
      </c>
      <c r="T251" s="27">
        <f>IF(Table4[[#This Row],[Link clicks]]=0,0,Table4[[#This Row],[Amount spent ]]/Table4[[#This Row],[Link clicks]])</f>
        <v>0.1637332439678284</v>
      </c>
      <c r="U251" s="62" t="s">
        <v>407</v>
      </c>
      <c r="V251" s="1" t="s">
        <v>413</v>
      </c>
      <c r="W251" s="1">
        <v>1.027654372008127E-2</v>
      </c>
    </row>
    <row r="252" spans="1:23" x14ac:dyDescent="0.25">
      <c r="A252" s="48" t="s">
        <v>69</v>
      </c>
      <c r="B252" s="12" t="s">
        <v>358</v>
      </c>
      <c r="C252" s="1" t="str">
        <f t="shared" si="14"/>
        <v>Kuwait Target Group</v>
      </c>
      <c r="D252" s="1" t="s">
        <v>73</v>
      </c>
      <c r="E252" s="12" t="s">
        <v>174</v>
      </c>
      <c r="F252" s="1" t="s">
        <v>78</v>
      </c>
      <c r="G252" s="1" t="s">
        <v>74</v>
      </c>
      <c r="H252" s="1" t="s">
        <v>94</v>
      </c>
      <c r="I252" s="16">
        <v>240706</v>
      </c>
      <c r="J252" s="16">
        <v>652991</v>
      </c>
      <c r="K252" s="63">
        <v>217.65</v>
      </c>
      <c r="L252" s="16">
        <v>2074</v>
      </c>
      <c r="M252" s="16">
        <v>27876</v>
      </c>
      <c r="N252" s="16">
        <v>1630</v>
      </c>
      <c r="O252" s="26">
        <f t="shared" si="16"/>
        <v>0.31761540358136636</v>
      </c>
      <c r="P252" s="13" t="str">
        <f t="shared" si="15"/>
        <v>Good</v>
      </c>
      <c r="Q252" s="13">
        <f t="shared" si="17"/>
        <v>4.2689715478467546E-2</v>
      </c>
      <c r="R252" s="16">
        <v>1744</v>
      </c>
      <c r="S252" s="49">
        <v>0.11354167</v>
      </c>
      <c r="T252" s="27">
        <f>IF(Table4[[#This Row],[Link clicks]]=0,0,Table4[[#This Row],[Amount spent ]]/Table4[[#This Row],[Link clicks]])</f>
        <v>0.10494214079074253</v>
      </c>
      <c r="U252" s="62" t="s">
        <v>407</v>
      </c>
      <c r="V252" s="1" t="s">
        <v>413</v>
      </c>
      <c r="W252" s="1">
        <v>8.6163203243791175E-3</v>
      </c>
    </row>
    <row r="253" spans="1:23" x14ac:dyDescent="0.25">
      <c r="A253" s="48" t="s">
        <v>69</v>
      </c>
      <c r="B253" s="12" t="s">
        <v>358</v>
      </c>
      <c r="C253" s="1" t="str">
        <f t="shared" si="14"/>
        <v>Kuwait Target Group</v>
      </c>
      <c r="D253" s="1" t="s">
        <v>73</v>
      </c>
      <c r="E253" s="12" t="s">
        <v>176</v>
      </c>
      <c r="F253" s="1" t="s">
        <v>78</v>
      </c>
      <c r="G253" s="1" t="s">
        <v>74</v>
      </c>
      <c r="H253" s="1" t="s">
        <v>92</v>
      </c>
      <c r="I253" s="16">
        <v>190832</v>
      </c>
      <c r="J253" s="16">
        <v>566544</v>
      </c>
      <c r="K253" s="63">
        <v>190.02</v>
      </c>
      <c r="L253" s="16">
        <v>2073</v>
      </c>
      <c r="M253" s="16">
        <v>34460</v>
      </c>
      <c r="N253" s="16">
        <v>1773</v>
      </c>
      <c r="O253" s="26">
        <f t="shared" si="16"/>
        <v>0.36590273659239175</v>
      </c>
      <c r="P253" s="13" t="str">
        <f t="shared" si="15"/>
        <v>Good</v>
      </c>
      <c r="Q253" s="13">
        <f t="shared" si="17"/>
        <v>6.0824931514586685E-2</v>
      </c>
      <c r="R253" s="16">
        <v>739</v>
      </c>
      <c r="S253" s="49">
        <v>4.8914480000000003E-2</v>
      </c>
      <c r="T253" s="27">
        <f>IF(Table4[[#This Row],[Link clicks]]=0,0,Table4[[#This Row],[Amount spent ]]/Table4[[#This Row],[Link clicks]])</f>
        <v>9.1664254703328521E-2</v>
      </c>
      <c r="U253" s="62" t="s">
        <v>407</v>
      </c>
      <c r="V253" s="1" t="s">
        <v>413</v>
      </c>
      <c r="W253" s="1">
        <v>1.086295799446634E-2</v>
      </c>
    </row>
    <row r="254" spans="1:23" x14ac:dyDescent="0.25">
      <c r="A254" s="48" t="s">
        <v>69</v>
      </c>
      <c r="B254" s="12" t="s">
        <v>358</v>
      </c>
      <c r="C254" s="1" t="str">
        <f t="shared" si="14"/>
        <v>Kuwait Target Group</v>
      </c>
      <c r="D254" s="1" t="s">
        <v>73</v>
      </c>
      <c r="E254" s="12" t="s">
        <v>182</v>
      </c>
      <c r="F254" s="1" t="s">
        <v>77</v>
      </c>
      <c r="G254" s="1" t="s">
        <v>74</v>
      </c>
      <c r="H254" s="1" t="s">
        <v>94</v>
      </c>
      <c r="I254" s="16">
        <v>199424</v>
      </c>
      <c r="J254" s="16">
        <v>471421</v>
      </c>
      <c r="K254" s="63">
        <v>156.15</v>
      </c>
      <c r="L254" s="16">
        <v>2150</v>
      </c>
      <c r="M254" s="16">
        <v>33803</v>
      </c>
      <c r="N254" s="16">
        <v>1176</v>
      </c>
      <c r="O254" s="26">
        <f t="shared" si="16"/>
        <v>0.45606793078797936</v>
      </c>
      <c r="P254" s="13" t="str">
        <f t="shared" si="15"/>
        <v>Good</v>
      </c>
      <c r="Q254" s="13">
        <f t="shared" si="17"/>
        <v>7.1704484950818909E-2</v>
      </c>
      <c r="R254" s="16">
        <v>381</v>
      </c>
      <c r="S254" s="49">
        <v>0.25315615000000002</v>
      </c>
      <c r="T254" s="27">
        <f>IF(Table4[[#This Row],[Link clicks]]=0,0,Table4[[#This Row],[Amount spent ]]/Table4[[#This Row],[Link clicks]])</f>
        <v>7.2627906976744191E-2</v>
      </c>
      <c r="U254" s="62" t="s">
        <v>407</v>
      </c>
      <c r="V254" s="1" t="s">
        <v>413</v>
      </c>
      <c r="W254" s="1">
        <v>1.078104942233633E-2</v>
      </c>
    </row>
    <row r="255" spans="1:23" x14ac:dyDescent="0.25">
      <c r="A255" s="48" t="s">
        <v>69</v>
      </c>
      <c r="B255" s="12" t="s">
        <v>358</v>
      </c>
      <c r="C255" s="1" t="str">
        <f t="shared" si="14"/>
        <v>Kuwait Target Group</v>
      </c>
      <c r="D255" s="1" t="s">
        <v>73</v>
      </c>
      <c r="E255" s="12" t="s">
        <v>185</v>
      </c>
      <c r="F255" s="1" t="s">
        <v>78</v>
      </c>
      <c r="G255" s="1" t="s">
        <v>98</v>
      </c>
      <c r="H255" s="1" t="s">
        <v>94</v>
      </c>
      <c r="I255" s="16">
        <v>168096</v>
      </c>
      <c r="J255" s="16">
        <v>406893</v>
      </c>
      <c r="K255" s="63">
        <v>140.93</v>
      </c>
      <c r="L255" s="16">
        <v>879</v>
      </c>
      <c r="M255" s="16">
        <v>0</v>
      </c>
      <c r="N255" s="16">
        <v>0</v>
      </c>
      <c r="O255" s="26">
        <f t="shared" si="16"/>
        <v>0.21602730939092096</v>
      </c>
      <c r="P255" s="13" t="str">
        <f t="shared" si="15"/>
        <v>Good</v>
      </c>
      <c r="Q255" s="13">
        <f t="shared" si="17"/>
        <v>0</v>
      </c>
      <c r="R255" s="16">
        <v>1071</v>
      </c>
      <c r="S255" s="49">
        <v>1.4433962300000001</v>
      </c>
      <c r="T255" s="27">
        <f>IF(Table4[[#This Row],[Link clicks]]=0,0,Table4[[#This Row],[Amount spent ]]/Table4[[#This Row],[Link clicks]])</f>
        <v>0.16032992036405005</v>
      </c>
      <c r="U255" s="62" t="s">
        <v>407</v>
      </c>
      <c r="V255" s="1" t="s">
        <v>413</v>
      </c>
      <c r="W255" s="1">
        <v>5.2291547687035979E-3</v>
      </c>
    </row>
    <row r="256" spans="1:23" x14ac:dyDescent="0.25">
      <c r="A256" s="48" t="s">
        <v>69</v>
      </c>
      <c r="B256" s="12" t="s">
        <v>358</v>
      </c>
      <c r="C256" s="1" t="str">
        <f t="shared" si="14"/>
        <v>Kuwait Target Group</v>
      </c>
      <c r="D256" s="1" t="s">
        <v>73</v>
      </c>
      <c r="E256" s="12" t="s">
        <v>187</v>
      </c>
      <c r="F256" s="1" t="s">
        <v>77</v>
      </c>
      <c r="G256" s="1" t="s">
        <v>74</v>
      </c>
      <c r="H256" s="1" t="s">
        <v>92</v>
      </c>
      <c r="I256" s="16">
        <v>100608</v>
      </c>
      <c r="J256" s="16">
        <v>204978</v>
      </c>
      <c r="K256" s="63">
        <v>128.71</v>
      </c>
      <c r="L256" s="16">
        <v>1039</v>
      </c>
      <c r="M256" s="16">
        <v>53088</v>
      </c>
      <c r="N256" s="16">
        <v>674</v>
      </c>
      <c r="O256" s="26">
        <f t="shared" si="16"/>
        <v>0.50688366556410924</v>
      </c>
      <c r="P256" s="13" t="str">
        <f t="shared" si="15"/>
        <v>Good</v>
      </c>
      <c r="Q256" s="13">
        <f t="shared" si="17"/>
        <v>0.25899364809882036</v>
      </c>
      <c r="R256" s="16">
        <v>2934</v>
      </c>
      <c r="S256" s="49">
        <v>0.50796399000000003</v>
      </c>
      <c r="T256" s="27">
        <f>IF(Table4[[#This Row],[Link clicks]]=0,0,Table4[[#This Row],[Amount spent ]]/Table4[[#This Row],[Link clicks]])</f>
        <v>0.12387872954764197</v>
      </c>
      <c r="U256" s="62" t="s">
        <v>407</v>
      </c>
      <c r="V256" s="1" t="s">
        <v>413</v>
      </c>
      <c r="W256" s="1">
        <v>1.032721055979644E-2</v>
      </c>
    </row>
    <row r="257" spans="1:23" x14ac:dyDescent="0.25">
      <c r="A257" s="48" t="s">
        <v>69</v>
      </c>
      <c r="B257" s="12" t="s">
        <v>358</v>
      </c>
      <c r="C257" s="1" t="str">
        <f t="shared" si="14"/>
        <v>Kuwait Target Group</v>
      </c>
      <c r="D257" s="1" t="s">
        <v>73</v>
      </c>
      <c r="E257" s="12" t="s">
        <v>190</v>
      </c>
      <c r="F257" s="1" t="s">
        <v>78</v>
      </c>
      <c r="G257" s="1" t="s">
        <v>74</v>
      </c>
      <c r="H257" s="1" t="s">
        <v>94</v>
      </c>
      <c r="I257" s="16">
        <v>63216</v>
      </c>
      <c r="J257" s="16">
        <v>93208</v>
      </c>
      <c r="K257" s="63">
        <v>112.46</v>
      </c>
      <c r="L257" s="16">
        <v>1168</v>
      </c>
      <c r="M257" s="16">
        <v>73220</v>
      </c>
      <c r="N257" s="16">
        <v>176</v>
      </c>
      <c r="O257" s="26">
        <f t="shared" si="16"/>
        <v>1.2531113209166596</v>
      </c>
      <c r="P257" s="13" t="str">
        <f t="shared" si="15"/>
        <v>Good</v>
      </c>
      <c r="Q257" s="13">
        <f t="shared" si="17"/>
        <v>0.78555488799244699</v>
      </c>
      <c r="R257" s="16">
        <v>4638</v>
      </c>
      <c r="S257" s="49">
        <v>0.64470391999999999</v>
      </c>
      <c r="T257" s="27">
        <f>IF(Table4[[#This Row],[Link clicks]]=0,0,Table4[[#This Row],[Amount spent ]]/Table4[[#This Row],[Link clicks]])</f>
        <v>9.6284246575342458E-2</v>
      </c>
      <c r="U257" s="62" t="s">
        <v>407</v>
      </c>
      <c r="V257" s="1" t="s">
        <v>413</v>
      </c>
      <c r="W257" s="1">
        <v>1.8476335105036702E-2</v>
      </c>
    </row>
    <row r="258" spans="1:23" x14ac:dyDescent="0.25">
      <c r="A258" s="48" t="s">
        <v>69</v>
      </c>
      <c r="B258" s="12" t="s">
        <v>358</v>
      </c>
      <c r="C258" s="1" t="str">
        <f t="shared" ref="C258:C321" si="18">IF(A258 = "AE","United Arab Emirates Target Group",IF(A258 = "BAH","Bahrain Target Group",IF(A258="JED","Jeddah Target Group",IF(A258="KWT","Kuwait Target Group",IF(A258="QAT","Qatar Target Group",IF(A258="RIY","Riyadh Target Group","Oman Target Group"))))))</f>
        <v>Kuwait Target Group</v>
      </c>
      <c r="D258" s="1" t="s">
        <v>73</v>
      </c>
      <c r="E258" s="12" t="s">
        <v>196</v>
      </c>
      <c r="F258" s="1" t="s">
        <v>77</v>
      </c>
      <c r="G258" s="1" t="s">
        <v>98</v>
      </c>
      <c r="H258" s="1" t="s">
        <v>94</v>
      </c>
      <c r="I258" s="16">
        <v>118272</v>
      </c>
      <c r="J258" s="16">
        <v>292473</v>
      </c>
      <c r="K258" s="63">
        <v>103.99</v>
      </c>
      <c r="L258" s="16">
        <v>928</v>
      </c>
      <c r="M258" s="16">
        <v>0</v>
      </c>
      <c r="N258" s="16">
        <v>0</v>
      </c>
      <c r="O258" s="26">
        <f t="shared" si="16"/>
        <v>0.31729424596458478</v>
      </c>
      <c r="P258" s="13" t="str">
        <f t="shared" ref="P258:P321" si="19">IF(O258&gt;0.2,"Good","Bad")</f>
        <v>Good</v>
      </c>
      <c r="Q258" s="13">
        <f t="shared" si="17"/>
        <v>0</v>
      </c>
      <c r="R258" s="16">
        <v>255</v>
      </c>
      <c r="S258" s="49">
        <v>0.21022258999999999</v>
      </c>
      <c r="T258" s="27">
        <f>IF(Table4[[#This Row],[Link clicks]]=0,0,Table4[[#This Row],[Amount spent ]]/Table4[[#This Row],[Link clicks]])</f>
        <v>0.1120581896551724</v>
      </c>
      <c r="U258" s="62" t="s">
        <v>407</v>
      </c>
      <c r="V258" s="1" t="s">
        <v>413</v>
      </c>
      <c r="W258" s="1">
        <v>7.846320346320346E-3</v>
      </c>
    </row>
    <row r="259" spans="1:23" x14ac:dyDescent="0.25">
      <c r="A259" s="48" t="s">
        <v>69</v>
      </c>
      <c r="B259" s="12" t="s">
        <v>358</v>
      </c>
      <c r="C259" s="1" t="str">
        <f t="shared" si="18"/>
        <v>Kuwait Target Group</v>
      </c>
      <c r="D259" s="1" t="s">
        <v>73</v>
      </c>
      <c r="E259" s="12" t="s">
        <v>202</v>
      </c>
      <c r="F259" s="1" t="s">
        <v>78</v>
      </c>
      <c r="G259" s="1" t="s">
        <v>74</v>
      </c>
      <c r="H259" s="1" t="s">
        <v>92</v>
      </c>
      <c r="I259" s="16">
        <v>69058</v>
      </c>
      <c r="J259" s="16">
        <v>122112</v>
      </c>
      <c r="K259" s="63">
        <v>82.8</v>
      </c>
      <c r="L259" s="16">
        <v>638</v>
      </c>
      <c r="M259" s="16">
        <v>42935</v>
      </c>
      <c r="N259" s="16">
        <v>249</v>
      </c>
      <c r="O259" s="26">
        <f t="shared" ref="O259:O322" si="20">IF(J259=0,0,(L259/J259)*100)</f>
        <v>0.52247117400419285</v>
      </c>
      <c r="P259" s="13" t="str">
        <f t="shared" si="19"/>
        <v>Good</v>
      </c>
      <c r="Q259" s="13">
        <f t="shared" si="17"/>
        <v>0.35160344601677151</v>
      </c>
      <c r="R259" s="16">
        <v>843</v>
      </c>
      <c r="S259" s="49">
        <v>6.3593839999999999E-2</v>
      </c>
      <c r="T259" s="27">
        <f>IF(Table4[[#This Row],[Link clicks]]=0,0,Table4[[#This Row],[Amount spent ]]/Table4[[#This Row],[Link clicks]])</f>
        <v>0.12978056426332288</v>
      </c>
      <c r="U259" s="62" t="s">
        <v>407</v>
      </c>
      <c r="V259" s="1" t="s">
        <v>413</v>
      </c>
      <c r="W259" s="1">
        <v>9.2386110226186681E-3</v>
      </c>
    </row>
    <row r="260" spans="1:23" x14ac:dyDescent="0.25">
      <c r="A260" s="48" t="s">
        <v>69</v>
      </c>
      <c r="B260" s="12" t="s">
        <v>358</v>
      </c>
      <c r="C260" s="1" t="str">
        <f t="shared" si="18"/>
        <v>Kuwait Target Group</v>
      </c>
      <c r="D260" s="1" t="s">
        <v>73</v>
      </c>
      <c r="E260" s="12" t="s">
        <v>203</v>
      </c>
      <c r="F260" s="1" t="s">
        <v>78</v>
      </c>
      <c r="G260" s="1" t="s">
        <v>74</v>
      </c>
      <c r="H260" s="1" t="s">
        <v>94</v>
      </c>
      <c r="I260" s="16">
        <v>109983</v>
      </c>
      <c r="J260" s="16">
        <v>248920</v>
      </c>
      <c r="K260" s="63">
        <v>82.04</v>
      </c>
      <c r="L260" s="16">
        <v>716</v>
      </c>
      <c r="M260" s="16">
        <v>8081</v>
      </c>
      <c r="N260" s="16">
        <v>355</v>
      </c>
      <c r="O260" s="26">
        <f t="shared" si="20"/>
        <v>0.28764261610155872</v>
      </c>
      <c r="P260" s="13" t="str">
        <f t="shared" si="19"/>
        <v>Good</v>
      </c>
      <c r="Q260" s="13">
        <f t="shared" si="17"/>
        <v>3.246424554073598E-2</v>
      </c>
      <c r="R260" s="16">
        <v>1287</v>
      </c>
      <c r="S260" s="49">
        <v>0.10117925</v>
      </c>
      <c r="T260" s="27">
        <f>IF(Table4[[#This Row],[Link clicks]]=0,0,Table4[[#This Row],[Amount spent ]]/Table4[[#This Row],[Link clicks]])</f>
        <v>0.11458100558659219</v>
      </c>
      <c r="U260" s="62" t="s">
        <v>407</v>
      </c>
      <c r="V260" s="1" t="s">
        <v>413</v>
      </c>
      <c r="W260" s="1">
        <v>6.5100970149932274E-3</v>
      </c>
    </row>
    <row r="261" spans="1:23" x14ac:dyDescent="0.25">
      <c r="A261" s="48" t="s">
        <v>69</v>
      </c>
      <c r="B261" s="12" t="s">
        <v>358</v>
      </c>
      <c r="C261" s="1" t="str">
        <f t="shared" si="18"/>
        <v>Kuwait Target Group</v>
      </c>
      <c r="D261" s="1" t="s">
        <v>73</v>
      </c>
      <c r="E261" s="12" t="s">
        <v>210</v>
      </c>
      <c r="F261" s="1" t="s">
        <v>77</v>
      </c>
      <c r="G261" s="1" t="s">
        <v>74</v>
      </c>
      <c r="H261" s="1" t="s">
        <v>94</v>
      </c>
      <c r="I261" s="16">
        <v>92606</v>
      </c>
      <c r="J261" s="16">
        <v>169566</v>
      </c>
      <c r="K261" s="63">
        <v>60.33</v>
      </c>
      <c r="L261" s="16">
        <v>657</v>
      </c>
      <c r="M261" s="16">
        <v>9248</v>
      </c>
      <c r="N261" s="16">
        <v>241</v>
      </c>
      <c r="O261" s="26">
        <f t="shared" si="20"/>
        <v>0.38745975018576839</v>
      </c>
      <c r="P261" s="13" t="str">
        <f t="shared" si="19"/>
        <v>Good</v>
      </c>
      <c r="Q261" s="13">
        <f t="shared" si="17"/>
        <v>5.4539235459938905E-2</v>
      </c>
      <c r="R261" s="16">
        <v>1167</v>
      </c>
      <c r="S261" s="49">
        <v>0.25704845999999998</v>
      </c>
      <c r="T261" s="27">
        <f>IF(Table4[[#This Row],[Link clicks]]=0,0,Table4[[#This Row],[Amount spent ]]/Table4[[#This Row],[Link clicks]])</f>
        <v>9.1826484018264834E-2</v>
      </c>
      <c r="U261" s="62" t="s">
        <v>407</v>
      </c>
      <c r="V261" s="1" t="s">
        <v>413</v>
      </c>
      <c r="W261" s="1">
        <v>7.0945727058721901E-3</v>
      </c>
    </row>
    <row r="262" spans="1:23" x14ac:dyDescent="0.25">
      <c r="A262" s="48" t="s">
        <v>69</v>
      </c>
      <c r="B262" s="12" t="s">
        <v>358</v>
      </c>
      <c r="C262" s="1" t="str">
        <f t="shared" si="18"/>
        <v>Kuwait Target Group</v>
      </c>
      <c r="D262" s="1" t="s">
        <v>73</v>
      </c>
      <c r="E262" s="12" t="s">
        <v>216</v>
      </c>
      <c r="F262" s="1" t="s">
        <v>77</v>
      </c>
      <c r="G262" s="1" t="s">
        <v>74</v>
      </c>
      <c r="H262" s="1" t="s">
        <v>94</v>
      </c>
      <c r="I262" s="16">
        <v>69550</v>
      </c>
      <c r="J262" s="16">
        <v>151813</v>
      </c>
      <c r="K262" s="63">
        <v>50</v>
      </c>
      <c r="L262" s="16">
        <v>668</v>
      </c>
      <c r="M262" s="16">
        <v>7714</v>
      </c>
      <c r="N262" s="16">
        <v>223</v>
      </c>
      <c r="O262" s="26">
        <f t="shared" si="20"/>
        <v>0.44001501847667857</v>
      </c>
      <c r="P262" s="13" t="str">
        <f t="shared" si="19"/>
        <v>Good</v>
      </c>
      <c r="Q262" s="13">
        <f t="shared" si="17"/>
        <v>5.0812512762411652E-2</v>
      </c>
      <c r="R262" s="16">
        <v>232</v>
      </c>
      <c r="S262" s="49">
        <v>0.22350674000000001</v>
      </c>
      <c r="T262" s="27">
        <f>IF(Table4[[#This Row],[Link clicks]]=0,0,Table4[[#This Row],[Amount spent ]]/Table4[[#This Row],[Link clicks]])</f>
        <v>7.4850299401197598E-2</v>
      </c>
      <c r="U262" s="62" t="s">
        <v>407</v>
      </c>
      <c r="V262" s="1" t="s">
        <v>413</v>
      </c>
      <c r="W262" s="1">
        <v>9.6046010064701655E-3</v>
      </c>
    </row>
    <row r="263" spans="1:23" x14ac:dyDescent="0.25">
      <c r="A263" s="48" t="s">
        <v>69</v>
      </c>
      <c r="B263" s="12" t="s">
        <v>358</v>
      </c>
      <c r="C263" s="1" t="str">
        <f t="shared" si="18"/>
        <v>Kuwait Target Group</v>
      </c>
      <c r="D263" s="1" t="s">
        <v>73</v>
      </c>
      <c r="E263" s="12" t="s">
        <v>219</v>
      </c>
      <c r="F263" s="1" t="s">
        <v>77</v>
      </c>
      <c r="G263" s="1" t="s">
        <v>74</v>
      </c>
      <c r="H263" s="1" t="s">
        <v>94</v>
      </c>
      <c r="I263" s="16">
        <v>34840</v>
      </c>
      <c r="J263" s="16">
        <v>72489</v>
      </c>
      <c r="K263" s="63">
        <v>45.33</v>
      </c>
      <c r="L263" s="16">
        <v>463</v>
      </c>
      <c r="M263" s="16">
        <v>18692</v>
      </c>
      <c r="N263" s="16">
        <v>362</v>
      </c>
      <c r="O263" s="26">
        <f t="shared" si="20"/>
        <v>0.63871759853219112</v>
      </c>
      <c r="P263" s="13" t="str">
        <f t="shared" si="19"/>
        <v>Good</v>
      </c>
      <c r="Q263" s="13">
        <f t="shared" si="17"/>
        <v>0.25785981321303925</v>
      </c>
      <c r="R263" s="16">
        <v>210</v>
      </c>
      <c r="S263" s="49">
        <v>0.13797635</v>
      </c>
      <c r="T263" s="27">
        <f>IF(Table4[[#This Row],[Link clicks]]=0,0,Table4[[#This Row],[Amount spent ]]/Table4[[#This Row],[Link clicks]])</f>
        <v>9.7904967602591791E-2</v>
      </c>
      <c r="U263" s="62" t="s">
        <v>407</v>
      </c>
      <c r="V263" s="1" t="s">
        <v>413</v>
      </c>
      <c r="W263" s="1">
        <v>1.3289322617680829E-2</v>
      </c>
    </row>
    <row r="264" spans="1:23" x14ac:dyDescent="0.25">
      <c r="A264" s="48" t="s">
        <v>69</v>
      </c>
      <c r="B264" s="12" t="s">
        <v>358</v>
      </c>
      <c r="C264" s="1" t="str">
        <f t="shared" si="18"/>
        <v>Kuwait Target Group</v>
      </c>
      <c r="D264" s="1" t="s">
        <v>73</v>
      </c>
      <c r="E264" s="12" t="s">
        <v>222</v>
      </c>
      <c r="F264" s="1" t="s">
        <v>78</v>
      </c>
      <c r="G264" s="1" t="s">
        <v>74</v>
      </c>
      <c r="H264" s="1" t="s">
        <v>92</v>
      </c>
      <c r="I264" s="16">
        <v>62751</v>
      </c>
      <c r="J264" s="16">
        <v>129422</v>
      </c>
      <c r="K264" s="63">
        <v>42.56</v>
      </c>
      <c r="L264" s="16">
        <v>347</v>
      </c>
      <c r="M264" s="16">
        <v>5325</v>
      </c>
      <c r="N264" s="16">
        <v>200</v>
      </c>
      <c r="O264" s="26">
        <f t="shared" si="20"/>
        <v>0.26811515816476333</v>
      </c>
      <c r="P264" s="13" t="str">
        <f t="shared" si="19"/>
        <v>Good</v>
      </c>
      <c r="Q264" s="13">
        <f t="shared" si="17"/>
        <v>4.114447311894423E-2</v>
      </c>
      <c r="R264" s="16">
        <v>906</v>
      </c>
      <c r="S264" s="49">
        <v>6.2525880000000006E-2</v>
      </c>
      <c r="T264" s="27">
        <f>IF(Table4[[#This Row],[Link clicks]]=0,0,Table4[[#This Row],[Amount spent ]]/Table4[[#This Row],[Link clicks]])</f>
        <v>0.12265129682997118</v>
      </c>
      <c r="U264" s="62" t="s">
        <v>407</v>
      </c>
      <c r="V264" s="1" t="s">
        <v>413</v>
      </c>
      <c r="W264" s="1">
        <v>5.5297923539067107E-3</v>
      </c>
    </row>
    <row r="265" spans="1:23" x14ac:dyDescent="0.25">
      <c r="A265" s="48" t="s">
        <v>69</v>
      </c>
      <c r="B265" s="12" t="s">
        <v>358</v>
      </c>
      <c r="C265" s="1" t="str">
        <f t="shared" si="18"/>
        <v>Kuwait Target Group</v>
      </c>
      <c r="D265" s="1" t="s">
        <v>73</v>
      </c>
      <c r="E265" s="12" t="s">
        <v>224</v>
      </c>
      <c r="F265" s="1" t="s">
        <v>77</v>
      </c>
      <c r="G265" s="1" t="s">
        <v>74</v>
      </c>
      <c r="H265" s="1" t="s">
        <v>92</v>
      </c>
      <c r="I265" s="16">
        <v>52349</v>
      </c>
      <c r="J265" s="16">
        <v>124241</v>
      </c>
      <c r="K265" s="63">
        <v>41.75</v>
      </c>
      <c r="L265" s="16">
        <v>318</v>
      </c>
      <c r="M265" s="16">
        <v>6374</v>
      </c>
      <c r="N265" s="16">
        <v>183</v>
      </c>
      <c r="O265" s="26">
        <f t="shared" si="20"/>
        <v>0.25595415362078539</v>
      </c>
      <c r="P265" s="13" t="str">
        <f t="shared" si="19"/>
        <v>Good</v>
      </c>
      <c r="Q265" s="13">
        <f t="shared" si="17"/>
        <v>5.1303514942732269E-2</v>
      </c>
      <c r="R265" s="16">
        <v>847</v>
      </c>
      <c r="S265" s="49">
        <v>4.9462739999999998E-2</v>
      </c>
      <c r="T265" s="27">
        <f>IF(Table4[[#This Row],[Link clicks]]=0,0,Table4[[#This Row],[Amount spent ]]/Table4[[#This Row],[Link clicks]])</f>
        <v>0.13128930817610063</v>
      </c>
      <c r="U265" s="62" t="s">
        <v>407</v>
      </c>
      <c r="V265" s="1" t="s">
        <v>413</v>
      </c>
      <c r="W265" s="1">
        <v>6.0746146058186399E-3</v>
      </c>
    </row>
    <row r="266" spans="1:23" x14ac:dyDescent="0.25">
      <c r="A266" s="48" t="s">
        <v>69</v>
      </c>
      <c r="B266" s="12" t="s">
        <v>358</v>
      </c>
      <c r="C266" s="1" t="str">
        <f t="shared" si="18"/>
        <v>Kuwait Target Group</v>
      </c>
      <c r="D266" s="1" t="s">
        <v>73</v>
      </c>
      <c r="E266" s="12" t="s">
        <v>225</v>
      </c>
      <c r="F266" s="1" t="s">
        <v>78</v>
      </c>
      <c r="G266" s="1" t="s">
        <v>74</v>
      </c>
      <c r="H266" s="1" t="s">
        <v>94</v>
      </c>
      <c r="I266" s="16">
        <v>43942</v>
      </c>
      <c r="J266" s="16">
        <v>124219</v>
      </c>
      <c r="K266" s="63">
        <v>41.35</v>
      </c>
      <c r="L266" s="16">
        <v>290</v>
      </c>
      <c r="M266" s="16">
        <v>2324</v>
      </c>
      <c r="N266" s="16">
        <v>2133</v>
      </c>
      <c r="O266" s="26">
        <f t="shared" si="20"/>
        <v>0.23345864964296925</v>
      </c>
      <c r="P266" s="13" t="str">
        <f t="shared" si="19"/>
        <v>Good</v>
      </c>
      <c r="Q266" s="13">
        <f t="shared" si="17"/>
        <v>1.8708893164491744E-2</v>
      </c>
      <c r="R266" s="16">
        <v>2257</v>
      </c>
      <c r="S266" s="49">
        <v>0.27007299000000001</v>
      </c>
      <c r="T266" s="27">
        <f>IF(Table4[[#This Row],[Link clicks]]=0,0,Table4[[#This Row],[Amount spent ]]/Table4[[#This Row],[Link clicks]])</f>
        <v>0.14258620689655174</v>
      </c>
      <c r="U266" s="62" t="s">
        <v>407</v>
      </c>
      <c r="V266" s="1" t="s">
        <v>413</v>
      </c>
      <c r="W266" s="1">
        <v>6.5996085749396929E-3</v>
      </c>
    </row>
    <row r="267" spans="1:23" x14ac:dyDescent="0.25">
      <c r="A267" s="48" t="s">
        <v>69</v>
      </c>
      <c r="B267" s="12" t="s">
        <v>358</v>
      </c>
      <c r="C267" s="1" t="str">
        <f t="shared" si="18"/>
        <v>Kuwait Target Group</v>
      </c>
      <c r="D267" s="1" t="s">
        <v>73</v>
      </c>
      <c r="E267" s="12" t="s">
        <v>226</v>
      </c>
      <c r="F267" s="1" t="s">
        <v>78</v>
      </c>
      <c r="G267" s="1" t="s">
        <v>74</v>
      </c>
      <c r="H267" s="1" t="s">
        <v>75</v>
      </c>
      <c r="I267" s="16">
        <v>83839</v>
      </c>
      <c r="J267" s="16">
        <v>128655</v>
      </c>
      <c r="K267" s="63">
        <v>40.26</v>
      </c>
      <c r="L267" s="16">
        <v>109</v>
      </c>
      <c r="M267" s="16">
        <v>7910</v>
      </c>
      <c r="N267" s="16">
        <v>147</v>
      </c>
      <c r="O267" s="26">
        <f t="shared" si="20"/>
        <v>8.4722708017566359E-2</v>
      </c>
      <c r="P267" s="13" t="str">
        <f t="shared" si="19"/>
        <v>Bad</v>
      </c>
      <c r="Q267" s="13">
        <f t="shared" si="17"/>
        <v>6.1482258754032099E-2</v>
      </c>
      <c r="R267" s="16">
        <v>143</v>
      </c>
      <c r="S267" s="49">
        <v>0.10491563</v>
      </c>
      <c r="T267" s="27">
        <f>IF(Table4[[#This Row],[Link clicks]]=0,0,Table4[[#This Row],[Amount spent ]]/Table4[[#This Row],[Link clicks]])</f>
        <v>0.36935779816513759</v>
      </c>
      <c r="U267" s="62" t="s">
        <v>407</v>
      </c>
      <c r="V267" s="1" t="s">
        <v>413</v>
      </c>
      <c r="W267" s="1">
        <v>1.300110926895598E-3</v>
      </c>
    </row>
    <row r="268" spans="1:23" x14ac:dyDescent="0.25">
      <c r="A268" s="48" t="s">
        <v>69</v>
      </c>
      <c r="B268" s="12" t="s">
        <v>358</v>
      </c>
      <c r="C268" s="1" t="str">
        <f t="shared" si="18"/>
        <v>Kuwait Target Group</v>
      </c>
      <c r="D268" s="1" t="s">
        <v>73</v>
      </c>
      <c r="E268" s="12" t="s">
        <v>227</v>
      </c>
      <c r="F268" s="1" t="s">
        <v>78</v>
      </c>
      <c r="G268" s="1" t="s">
        <v>74</v>
      </c>
      <c r="H268" s="1" t="s">
        <v>75</v>
      </c>
      <c r="I268" s="16">
        <v>76368</v>
      </c>
      <c r="J268" s="16">
        <v>121193</v>
      </c>
      <c r="K268" s="63">
        <v>38.4</v>
      </c>
      <c r="L268" s="16">
        <v>100</v>
      </c>
      <c r="M268" s="16">
        <v>8582</v>
      </c>
      <c r="N268" s="16">
        <v>259</v>
      </c>
      <c r="O268" s="26">
        <f t="shared" si="20"/>
        <v>8.2513016428341579E-2</v>
      </c>
      <c r="P268" s="13" t="str">
        <f t="shared" si="19"/>
        <v>Bad</v>
      </c>
      <c r="Q268" s="13">
        <f t="shared" si="17"/>
        <v>7.0812670698802732E-2</v>
      </c>
      <c r="R268" s="16">
        <v>2757</v>
      </c>
      <c r="S268" s="49">
        <v>0.78190583999999996</v>
      </c>
      <c r="T268" s="27">
        <f>IF(Table4[[#This Row],[Link clicks]]=0,0,Table4[[#This Row],[Amount spent ]]/Table4[[#This Row],[Link clicks]])</f>
        <v>0.38400000000000001</v>
      </c>
      <c r="U268" s="62" t="s">
        <v>407</v>
      </c>
      <c r="V268" s="1" t="s">
        <v>413</v>
      </c>
      <c r="W268" s="1">
        <v>1.309448983867588E-3</v>
      </c>
    </row>
    <row r="269" spans="1:23" x14ac:dyDescent="0.25">
      <c r="A269" s="48" t="s">
        <v>69</v>
      </c>
      <c r="B269" s="12" t="s">
        <v>358</v>
      </c>
      <c r="C269" s="1" t="str">
        <f t="shared" si="18"/>
        <v>Kuwait Target Group</v>
      </c>
      <c r="D269" s="1" t="s">
        <v>73</v>
      </c>
      <c r="E269" s="12" t="s">
        <v>231</v>
      </c>
      <c r="F269" s="1" t="s">
        <v>77</v>
      </c>
      <c r="G269" s="1" t="s">
        <v>74</v>
      </c>
      <c r="H269" s="1" t="s">
        <v>92</v>
      </c>
      <c r="I269" s="16">
        <v>21276</v>
      </c>
      <c r="J269" s="16">
        <v>59064</v>
      </c>
      <c r="K269" s="63">
        <v>34.35</v>
      </c>
      <c r="L269" s="16">
        <v>178</v>
      </c>
      <c r="M269" s="16">
        <v>12352</v>
      </c>
      <c r="N269" s="16">
        <v>82</v>
      </c>
      <c r="O269" s="26">
        <f t="shared" si="20"/>
        <v>0.30136800758499255</v>
      </c>
      <c r="P269" s="13" t="str">
        <f t="shared" si="19"/>
        <v>Good</v>
      </c>
      <c r="Q269" s="13">
        <f t="shared" si="17"/>
        <v>0.20912908031965327</v>
      </c>
      <c r="R269" s="16">
        <v>2496</v>
      </c>
      <c r="S269" s="49">
        <v>0.58854044000000005</v>
      </c>
      <c r="T269" s="27">
        <f>IF(Table4[[#This Row],[Link clicks]]=0,0,Table4[[#This Row],[Amount spent ]]/Table4[[#This Row],[Link clicks]])</f>
        <v>0.19297752808988766</v>
      </c>
      <c r="U269" s="62" t="s">
        <v>407</v>
      </c>
      <c r="V269" s="1" t="s">
        <v>413</v>
      </c>
      <c r="W269" s="1">
        <v>8.3662342545591274E-3</v>
      </c>
    </row>
    <row r="270" spans="1:23" x14ac:dyDescent="0.25">
      <c r="A270" s="48" t="s">
        <v>69</v>
      </c>
      <c r="B270" s="12" t="s">
        <v>358</v>
      </c>
      <c r="C270" s="1" t="str">
        <f t="shared" si="18"/>
        <v>Kuwait Target Group</v>
      </c>
      <c r="D270" s="1" t="s">
        <v>73</v>
      </c>
      <c r="E270" s="12" t="s">
        <v>233</v>
      </c>
      <c r="F270" s="1" t="s">
        <v>77</v>
      </c>
      <c r="G270" s="1" t="s">
        <v>74</v>
      </c>
      <c r="H270" s="1" t="s">
        <v>94</v>
      </c>
      <c r="I270" s="16">
        <v>53006</v>
      </c>
      <c r="J270" s="16">
        <v>101052</v>
      </c>
      <c r="K270" s="63">
        <v>33.08</v>
      </c>
      <c r="L270" s="16">
        <v>209</v>
      </c>
      <c r="M270" s="16">
        <v>2129</v>
      </c>
      <c r="N270" s="16">
        <v>1836</v>
      </c>
      <c r="O270" s="26">
        <f t="shared" si="20"/>
        <v>0.20682420931797491</v>
      </c>
      <c r="P270" s="13" t="str">
        <f t="shared" si="19"/>
        <v>Good</v>
      </c>
      <c r="Q270" s="13">
        <f t="shared" si="17"/>
        <v>2.1068360843921941E-2</v>
      </c>
      <c r="R270" s="16">
        <v>155</v>
      </c>
      <c r="S270" s="49">
        <v>0.16062176</v>
      </c>
      <c r="T270" s="27">
        <f>IF(Table4[[#This Row],[Link clicks]]=0,0,Table4[[#This Row],[Amount spent ]]/Table4[[#This Row],[Link clicks]])</f>
        <v>0.15827751196172249</v>
      </c>
      <c r="U270" s="62" t="s">
        <v>407</v>
      </c>
      <c r="V270" s="1" t="s">
        <v>413</v>
      </c>
      <c r="W270" s="1">
        <v>3.9429498547334267E-3</v>
      </c>
    </row>
    <row r="271" spans="1:23" x14ac:dyDescent="0.25">
      <c r="A271" s="48" t="s">
        <v>69</v>
      </c>
      <c r="B271" s="12" t="s">
        <v>358</v>
      </c>
      <c r="C271" s="1" t="str">
        <f t="shared" si="18"/>
        <v>Kuwait Target Group</v>
      </c>
      <c r="D271" s="1" t="s">
        <v>73</v>
      </c>
      <c r="E271" s="12" t="s">
        <v>235</v>
      </c>
      <c r="F271" s="1" t="s">
        <v>77</v>
      </c>
      <c r="G271" s="1" t="s">
        <v>118</v>
      </c>
      <c r="H271" s="1" t="s">
        <v>94</v>
      </c>
      <c r="I271" s="16">
        <v>50753</v>
      </c>
      <c r="J271" s="16">
        <v>76392</v>
      </c>
      <c r="K271" s="63">
        <v>31.65</v>
      </c>
      <c r="L271" s="16">
        <v>118</v>
      </c>
      <c r="M271" s="16">
        <v>3291</v>
      </c>
      <c r="N271" s="16">
        <v>3489</v>
      </c>
      <c r="O271" s="26">
        <f t="shared" si="20"/>
        <v>0.15446643627604986</v>
      </c>
      <c r="P271" s="13" t="str">
        <f t="shared" si="19"/>
        <v>Bad</v>
      </c>
      <c r="Q271" s="13">
        <f t="shared" si="17"/>
        <v>4.3080427269871192E-2</v>
      </c>
      <c r="R271" s="16">
        <v>1701</v>
      </c>
      <c r="S271" s="49">
        <v>0.30320856000000002</v>
      </c>
      <c r="T271" s="27">
        <f>IF(Table4[[#This Row],[Link clicks]]=0,0,Table4[[#This Row],[Amount spent ]]/Table4[[#This Row],[Link clicks]])</f>
        <v>0.26822033898305081</v>
      </c>
      <c r="U271" s="62" t="s">
        <v>407</v>
      </c>
      <c r="V271" s="1" t="s">
        <v>413</v>
      </c>
      <c r="W271" s="1">
        <v>2.3249857151301399E-3</v>
      </c>
    </row>
    <row r="272" spans="1:23" x14ac:dyDescent="0.25">
      <c r="A272" s="48" t="s">
        <v>69</v>
      </c>
      <c r="B272" s="12" t="s">
        <v>358</v>
      </c>
      <c r="C272" s="1" t="str">
        <f t="shared" si="18"/>
        <v>Kuwait Target Group</v>
      </c>
      <c r="D272" s="1" t="s">
        <v>73</v>
      </c>
      <c r="E272" s="12" t="s">
        <v>248</v>
      </c>
      <c r="F272" s="1" t="s">
        <v>77</v>
      </c>
      <c r="G272" s="1" t="s">
        <v>74</v>
      </c>
      <c r="H272" s="1" t="s">
        <v>92</v>
      </c>
      <c r="I272" s="16">
        <v>35120</v>
      </c>
      <c r="J272" s="16">
        <v>63700</v>
      </c>
      <c r="K272" s="63">
        <v>22</v>
      </c>
      <c r="L272" s="16">
        <v>173</v>
      </c>
      <c r="M272" s="16">
        <v>3610</v>
      </c>
      <c r="N272" s="16">
        <v>163</v>
      </c>
      <c r="O272" s="26">
        <f t="shared" si="20"/>
        <v>0.27158555729984302</v>
      </c>
      <c r="P272" s="13" t="str">
        <f t="shared" si="19"/>
        <v>Good</v>
      </c>
      <c r="Q272" s="13">
        <f t="shared" si="17"/>
        <v>5.6671899529042384E-2</v>
      </c>
      <c r="R272" s="16">
        <v>2626</v>
      </c>
      <c r="S272" s="49">
        <v>0.46926375999999997</v>
      </c>
      <c r="T272" s="27">
        <f>IF(Table4[[#This Row],[Link clicks]]=0,0,Table4[[#This Row],[Amount spent ]]/Table4[[#This Row],[Link clicks]])</f>
        <v>0.12716763005780346</v>
      </c>
      <c r="U272" s="62" t="s">
        <v>407</v>
      </c>
      <c r="V272" s="1" t="s">
        <v>413</v>
      </c>
      <c r="W272" s="1">
        <v>4.9259681093394084E-3</v>
      </c>
    </row>
    <row r="273" spans="1:23" x14ac:dyDescent="0.25">
      <c r="A273" s="48" t="s">
        <v>69</v>
      </c>
      <c r="B273" s="12" t="s">
        <v>358</v>
      </c>
      <c r="C273" s="1" t="str">
        <f t="shared" si="18"/>
        <v>Kuwait Target Group</v>
      </c>
      <c r="D273" s="1" t="s">
        <v>73</v>
      </c>
      <c r="E273" s="12" t="s">
        <v>249</v>
      </c>
      <c r="F273" s="1" t="s">
        <v>78</v>
      </c>
      <c r="G273" s="1" t="s">
        <v>98</v>
      </c>
      <c r="H273" s="1" t="s">
        <v>94</v>
      </c>
      <c r="I273" s="16">
        <v>37209</v>
      </c>
      <c r="J273" s="16">
        <v>66661</v>
      </c>
      <c r="K273" s="63">
        <v>21.93</v>
      </c>
      <c r="L273" s="16">
        <v>168</v>
      </c>
      <c r="M273" s="16">
        <v>0</v>
      </c>
      <c r="N273" s="16">
        <v>0</v>
      </c>
      <c r="O273" s="26">
        <f t="shared" si="20"/>
        <v>0.2520214218208548</v>
      </c>
      <c r="P273" s="13" t="str">
        <f t="shared" si="19"/>
        <v>Good</v>
      </c>
      <c r="Q273" s="13">
        <f t="shared" si="17"/>
        <v>0</v>
      </c>
      <c r="R273" s="16">
        <v>462</v>
      </c>
      <c r="S273" s="49">
        <v>5.900383E-2</v>
      </c>
      <c r="T273" s="27">
        <f>IF(Table4[[#This Row],[Link clicks]]=0,0,Table4[[#This Row],[Amount spent ]]/Table4[[#This Row],[Link clicks]])</f>
        <v>0.13053571428571428</v>
      </c>
      <c r="U273" s="62" t="s">
        <v>407</v>
      </c>
      <c r="V273" s="1" t="s">
        <v>413</v>
      </c>
      <c r="W273" s="1">
        <v>4.5150366846730631E-3</v>
      </c>
    </row>
    <row r="274" spans="1:23" x14ac:dyDescent="0.25">
      <c r="A274" s="48" t="s">
        <v>69</v>
      </c>
      <c r="B274" s="12" t="s">
        <v>358</v>
      </c>
      <c r="C274" s="1" t="str">
        <f t="shared" si="18"/>
        <v>Kuwait Target Group</v>
      </c>
      <c r="D274" s="1" t="s">
        <v>73</v>
      </c>
      <c r="E274" s="12" t="s">
        <v>250</v>
      </c>
      <c r="F274" s="1" t="s">
        <v>78</v>
      </c>
      <c r="G274" s="1" t="s">
        <v>98</v>
      </c>
      <c r="H274" s="1" t="s">
        <v>94</v>
      </c>
      <c r="I274" s="16">
        <v>30784</v>
      </c>
      <c r="J274" s="16">
        <v>57765</v>
      </c>
      <c r="K274" s="63">
        <v>20.86</v>
      </c>
      <c r="L274" s="16">
        <v>128</v>
      </c>
      <c r="M274" s="16">
        <v>0</v>
      </c>
      <c r="N274" s="16">
        <v>0</v>
      </c>
      <c r="O274" s="26">
        <f t="shared" si="20"/>
        <v>0.22158746645892843</v>
      </c>
      <c r="P274" s="13" t="str">
        <f t="shared" si="19"/>
        <v>Good</v>
      </c>
      <c r="Q274" s="13">
        <f t="shared" si="17"/>
        <v>0</v>
      </c>
      <c r="R274" s="16">
        <v>178</v>
      </c>
      <c r="S274" s="49">
        <v>0.16466235000000001</v>
      </c>
      <c r="T274" s="27">
        <f>IF(Table4[[#This Row],[Link clicks]]=0,0,Table4[[#This Row],[Amount spent ]]/Table4[[#This Row],[Link clicks]])</f>
        <v>0.16296875</v>
      </c>
      <c r="U274" s="62" t="s">
        <v>407</v>
      </c>
      <c r="V274" s="1" t="s">
        <v>413</v>
      </c>
      <c r="W274" s="1">
        <v>4.1580041580041582E-3</v>
      </c>
    </row>
    <row r="275" spans="1:23" x14ac:dyDescent="0.25">
      <c r="A275" s="48" t="s">
        <v>69</v>
      </c>
      <c r="B275" s="12" t="s">
        <v>358</v>
      </c>
      <c r="C275" s="1" t="str">
        <f t="shared" si="18"/>
        <v>Kuwait Target Group</v>
      </c>
      <c r="D275" s="1" t="s">
        <v>73</v>
      </c>
      <c r="E275" s="12" t="s">
        <v>263</v>
      </c>
      <c r="F275" s="1" t="s">
        <v>78</v>
      </c>
      <c r="G275" s="1" t="s">
        <v>74</v>
      </c>
      <c r="H275" s="1" t="s">
        <v>94</v>
      </c>
      <c r="I275" s="16">
        <v>11776</v>
      </c>
      <c r="J275" s="16">
        <v>16294</v>
      </c>
      <c r="K275" s="63">
        <v>13.74</v>
      </c>
      <c r="L275" s="16">
        <v>168</v>
      </c>
      <c r="M275" s="16">
        <v>7518</v>
      </c>
      <c r="N275" s="16">
        <v>27</v>
      </c>
      <c r="O275" s="26">
        <f t="shared" si="20"/>
        <v>1.0310543758438688</v>
      </c>
      <c r="P275" s="13" t="str">
        <f t="shared" si="19"/>
        <v>Good</v>
      </c>
      <c r="Q275" s="13">
        <f t="shared" si="17"/>
        <v>0.46139683319013136</v>
      </c>
      <c r="R275" s="16">
        <v>494</v>
      </c>
      <c r="S275" s="49">
        <v>1.1903614499999999</v>
      </c>
      <c r="T275" s="27">
        <f>IF(Table4[[#This Row],[Link clicks]]=0,0,Table4[[#This Row],[Amount spent ]]/Table4[[#This Row],[Link clicks]])</f>
        <v>8.1785714285714281E-2</v>
      </c>
      <c r="U275" s="62" t="s">
        <v>407</v>
      </c>
      <c r="V275" s="1" t="s">
        <v>413</v>
      </c>
      <c r="W275" s="1">
        <v>1.426630434782609E-2</v>
      </c>
    </row>
    <row r="276" spans="1:23" x14ac:dyDescent="0.25">
      <c r="A276" s="48" t="s">
        <v>69</v>
      </c>
      <c r="B276" s="12" t="s">
        <v>358</v>
      </c>
      <c r="C276" s="1" t="str">
        <f t="shared" si="18"/>
        <v>Kuwait Target Group</v>
      </c>
      <c r="D276" s="1" t="s">
        <v>73</v>
      </c>
      <c r="E276" s="12" t="s">
        <v>264</v>
      </c>
      <c r="F276" s="1" t="s">
        <v>77</v>
      </c>
      <c r="G276" s="1" t="s">
        <v>74</v>
      </c>
      <c r="H276" s="1" t="s">
        <v>75</v>
      </c>
      <c r="I276" s="16">
        <v>30575</v>
      </c>
      <c r="J276" s="16">
        <v>43771</v>
      </c>
      <c r="K276" s="63">
        <v>13.73</v>
      </c>
      <c r="L276" s="16">
        <v>28</v>
      </c>
      <c r="M276" s="16">
        <v>2805</v>
      </c>
      <c r="N276" s="16">
        <v>40</v>
      </c>
      <c r="O276" s="26">
        <f t="shared" si="20"/>
        <v>6.3969294738525501E-2</v>
      </c>
      <c r="P276" s="13" t="str">
        <f t="shared" si="19"/>
        <v>Bad</v>
      </c>
      <c r="Q276" s="13">
        <f t="shared" si="17"/>
        <v>6.4083525621987159E-2</v>
      </c>
      <c r="R276" s="16">
        <v>1057</v>
      </c>
      <c r="S276" s="49">
        <v>0.32166768000000001</v>
      </c>
      <c r="T276" s="27">
        <f>IF(Table4[[#This Row],[Link clicks]]=0,0,Table4[[#This Row],[Amount spent ]]/Table4[[#This Row],[Link clicks]])</f>
        <v>0.49035714285714288</v>
      </c>
      <c r="U276" s="62" t="s">
        <v>407</v>
      </c>
      <c r="V276" s="1" t="s">
        <v>413</v>
      </c>
      <c r="W276" s="1">
        <v>9.157808667211774E-4</v>
      </c>
    </row>
    <row r="277" spans="1:23" x14ac:dyDescent="0.25">
      <c r="A277" s="48" t="s">
        <v>69</v>
      </c>
      <c r="B277" s="12" t="s">
        <v>358</v>
      </c>
      <c r="C277" s="1" t="str">
        <f t="shared" si="18"/>
        <v>Kuwait Target Group</v>
      </c>
      <c r="D277" s="1" t="s">
        <v>73</v>
      </c>
      <c r="E277" s="12" t="s">
        <v>269</v>
      </c>
      <c r="F277" s="1" t="s">
        <v>78</v>
      </c>
      <c r="G277" s="1" t="s">
        <v>74</v>
      </c>
      <c r="H277" s="1" t="s">
        <v>75</v>
      </c>
      <c r="I277" s="16">
        <v>22416</v>
      </c>
      <c r="J277" s="16">
        <v>34165</v>
      </c>
      <c r="K277" s="63">
        <v>10.77</v>
      </c>
      <c r="L277" s="16">
        <v>17</v>
      </c>
      <c r="M277" s="16">
        <v>1298</v>
      </c>
      <c r="N277" s="16">
        <v>16</v>
      </c>
      <c r="O277" s="26">
        <f t="shared" si="20"/>
        <v>4.9758524806088104E-2</v>
      </c>
      <c r="P277" s="13" t="str">
        <f t="shared" si="19"/>
        <v>Bad</v>
      </c>
      <c r="Q277" s="13">
        <f t="shared" si="17"/>
        <v>3.7992097175471973E-2</v>
      </c>
      <c r="R277" s="16">
        <v>977</v>
      </c>
      <c r="S277" s="49">
        <v>0.39158316999999998</v>
      </c>
      <c r="T277" s="27">
        <f>IF(Table4[[#This Row],[Link clicks]]=0,0,Table4[[#This Row],[Amount spent ]]/Table4[[#This Row],[Link clicks]])</f>
        <v>0.6335294117647059</v>
      </c>
      <c r="U277" s="62" t="s">
        <v>407</v>
      </c>
      <c r="V277" s="1" t="s">
        <v>413</v>
      </c>
      <c r="W277" s="1">
        <v>7.5838686652391154E-4</v>
      </c>
    </row>
    <row r="278" spans="1:23" x14ac:dyDescent="0.25">
      <c r="A278" s="48" t="s">
        <v>69</v>
      </c>
      <c r="B278" s="12" t="s">
        <v>358</v>
      </c>
      <c r="C278" s="1" t="str">
        <f t="shared" si="18"/>
        <v>Kuwait Target Group</v>
      </c>
      <c r="D278" s="1" t="s">
        <v>73</v>
      </c>
      <c r="E278" s="12" t="s">
        <v>277</v>
      </c>
      <c r="F278" s="1" t="s">
        <v>78</v>
      </c>
      <c r="G278" s="1" t="s">
        <v>124</v>
      </c>
      <c r="H278" s="1" t="s">
        <v>94</v>
      </c>
      <c r="I278" s="16">
        <v>14640</v>
      </c>
      <c r="J278" s="16">
        <v>21731</v>
      </c>
      <c r="K278" s="63">
        <v>8.14</v>
      </c>
      <c r="L278" s="16">
        <v>33</v>
      </c>
      <c r="M278" s="16">
        <v>976</v>
      </c>
      <c r="N278" s="16">
        <v>1014</v>
      </c>
      <c r="O278" s="26">
        <f t="shared" si="20"/>
        <v>0.15185679444112099</v>
      </c>
      <c r="P278" s="13" t="str">
        <f t="shared" si="19"/>
        <v>Bad</v>
      </c>
      <c r="Q278" s="13">
        <f t="shared" si="17"/>
        <v>4.4912797386222447E-2</v>
      </c>
      <c r="R278" s="16">
        <v>832</v>
      </c>
      <c r="S278" s="49">
        <v>0.26615483000000001</v>
      </c>
      <c r="T278" s="27">
        <f>IF(Table4[[#This Row],[Link clicks]]=0,0,Table4[[#This Row],[Amount spent ]]/Table4[[#This Row],[Link clicks]])</f>
        <v>0.24666666666666667</v>
      </c>
      <c r="U278" s="62" t="s">
        <v>407</v>
      </c>
      <c r="V278" s="1" t="s">
        <v>413</v>
      </c>
      <c r="W278" s="1">
        <v>2.2540983606557379E-3</v>
      </c>
    </row>
    <row r="279" spans="1:23" x14ac:dyDescent="0.25">
      <c r="A279" s="48" t="s">
        <v>69</v>
      </c>
      <c r="B279" s="12" t="s">
        <v>358</v>
      </c>
      <c r="C279" s="1" t="str">
        <f t="shared" si="18"/>
        <v>Kuwait Target Group</v>
      </c>
      <c r="D279" s="1" t="s">
        <v>73</v>
      </c>
      <c r="E279" s="12" t="s">
        <v>278</v>
      </c>
      <c r="F279" s="1" t="s">
        <v>77</v>
      </c>
      <c r="G279" s="1" t="s">
        <v>74</v>
      </c>
      <c r="H279" s="1" t="s">
        <v>75</v>
      </c>
      <c r="I279" s="16">
        <v>18572</v>
      </c>
      <c r="J279" s="16">
        <v>24638</v>
      </c>
      <c r="K279" s="63">
        <v>7.71</v>
      </c>
      <c r="L279" s="16">
        <v>14</v>
      </c>
      <c r="M279" s="16">
        <v>1256</v>
      </c>
      <c r="N279" s="16">
        <v>17</v>
      </c>
      <c r="O279" s="26">
        <f t="shared" si="20"/>
        <v>5.6822794057959251E-2</v>
      </c>
      <c r="P279" s="13" t="str">
        <f t="shared" si="19"/>
        <v>Bad</v>
      </c>
      <c r="Q279" s="13">
        <f t="shared" si="17"/>
        <v>5.0978163811997726E-2</v>
      </c>
      <c r="R279" s="16">
        <v>199</v>
      </c>
      <c r="S279" s="49">
        <v>9.4134339999999997E-2</v>
      </c>
      <c r="T279" s="27">
        <f>IF(Table4[[#This Row],[Link clicks]]=0,0,Table4[[#This Row],[Amount spent ]]/Table4[[#This Row],[Link clicks]])</f>
        <v>0.55071428571428571</v>
      </c>
      <c r="U279" s="62" t="s">
        <v>407</v>
      </c>
      <c r="V279" s="1" t="s">
        <v>413</v>
      </c>
      <c r="W279" s="1">
        <v>7.5382295929356019E-4</v>
      </c>
    </row>
    <row r="280" spans="1:23" x14ac:dyDescent="0.25">
      <c r="A280" s="48" t="s">
        <v>69</v>
      </c>
      <c r="B280" s="12" t="s">
        <v>358</v>
      </c>
      <c r="C280" s="1" t="str">
        <f t="shared" si="18"/>
        <v>Kuwait Target Group</v>
      </c>
      <c r="D280" s="1" t="s">
        <v>73</v>
      </c>
      <c r="E280" s="12" t="s">
        <v>284</v>
      </c>
      <c r="F280" s="1" t="s">
        <v>77</v>
      </c>
      <c r="G280" s="1" t="s">
        <v>74</v>
      </c>
      <c r="H280" s="1" t="s">
        <v>75</v>
      </c>
      <c r="I280" s="16">
        <v>15360</v>
      </c>
      <c r="J280" s="16">
        <v>21740</v>
      </c>
      <c r="K280" s="63">
        <v>6.83</v>
      </c>
      <c r="L280" s="16">
        <v>19</v>
      </c>
      <c r="M280" s="16">
        <v>1729</v>
      </c>
      <c r="N280" s="16">
        <v>53</v>
      </c>
      <c r="O280" s="26">
        <f t="shared" si="20"/>
        <v>8.7396504139834408E-2</v>
      </c>
      <c r="P280" s="13" t="str">
        <f t="shared" si="19"/>
        <v>Bad</v>
      </c>
      <c r="Q280" s="13">
        <f t="shared" si="17"/>
        <v>7.9530818767249309E-2</v>
      </c>
      <c r="R280" s="16">
        <v>91</v>
      </c>
      <c r="S280" s="49">
        <v>0.27327327000000001</v>
      </c>
      <c r="T280" s="27">
        <f>IF(Table4[[#This Row],[Link clicks]]=0,0,Table4[[#This Row],[Amount spent ]]/Table4[[#This Row],[Link clicks]])</f>
        <v>0.35947368421052633</v>
      </c>
      <c r="U280" s="62" t="s">
        <v>407</v>
      </c>
      <c r="V280" s="1" t="s">
        <v>413</v>
      </c>
      <c r="W280" s="1">
        <v>1.236979166666667E-3</v>
      </c>
    </row>
    <row r="281" spans="1:23" x14ac:dyDescent="0.25">
      <c r="A281" s="48" t="s">
        <v>69</v>
      </c>
      <c r="B281" s="12" t="s">
        <v>358</v>
      </c>
      <c r="C281" s="1" t="str">
        <f t="shared" si="18"/>
        <v>Kuwait Target Group</v>
      </c>
      <c r="D281" s="1" t="s">
        <v>73</v>
      </c>
      <c r="E281" s="12" t="s">
        <v>285</v>
      </c>
      <c r="F281" s="1" t="s">
        <v>78</v>
      </c>
      <c r="G281" s="1" t="s">
        <v>74</v>
      </c>
      <c r="H281" s="1" t="s">
        <v>92</v>
      </c>
      <c r="I281" s="16">
        <v>5776</v>
      </c>
      <c r="J281" s="16">
        <v>10224</v>
      </c>
      <c r="K281" s="63">
        <v>6.23</v>
      </c>
      <c r="L281" s="16">
        <v>41</v>
      </c>
      <c r="M281" s="16">
        <v>2900</v>
      </c>
      <c r="N281" s="16">
        <v>12</v>
      </c>
      <c r="O281" s="26">
        <f t="shared" si="20"/>
        <v>0.40101721439749605</v>
      </c>
      <c r="P281" s="13" t="str">
        <f t="shared" si="19"/>
        <v>Good</v>
      </c>
      <c r="Q281" s="13">
        <f t="shared" si="17"/>
        <v>0.28364632237871673</v>
      </c>
      <c r="R281" s="16">
        <v>88</v>
      </c>
      <c r="S281" s="49">
        <v>0.34509803999999999</v>
      </c>
      <c r="T281" s="27">
        <f>IF(Table4[[#This Row],[Link clicks]]=0,0,Table4[[#This Row],[Amount spent ]]/Table4[[#This Row],[Link clicks]])</f>
        <v>0.15195121951219515</v>
      </c>
      <c r="U281" s="62" t="s">
        <v>407</v>
      </c>
      <c r="V281" s="1" t="s">
        <v>413</v>
      </c>
      <c r="W281" s="1">
        <v>7.098337950138504E-3</v>
      </c>
    </row>
    <row r="282" spans="1:23" x14ac:dyDescent="0.25">
      <c r="A282" s="48" t="s">
        <v>69</v>
      </c>
      <c r="B282" s="12" t="s">
        <v>358</v>
      </c>
      <c r="C282" s="1" t="str">
        <f t="shared" si="18"/>
        <v>Kuwait Target Group</v>
      </c>
      <c r="D282" s="1" t="s">
        <v>73</v>
      </c>
      <c r="E282" s="12" t="s">
        <v>288</v>
      </c>
      <c r="F282" s="1" t="s">
        <v>77</v>
      </c>
      <c r="G282" s="1" t="s">
        <v>74</v>
      </c>
      <c r="H282" s="1" t="s">
        <v>94</v>
      </c>
      <c r="I282" s="16">
        <v>3526</v>
      </c>
      <c r="J282" s="16">
        <v>4485</v>
      </c>
      <c r="K282" s="63">
        <v>4.08</v>
      </c>
      <c r="L282" s="16">
        <v>53</v>
      </c>
      <c r="M282" s="16">
        <v>2707</v>
      </c>
      <c r="N282" s="16">
        <v>3</v>
      </c>
      <c r="O282" s="26">
        <f t="shared" si="20"/>
        <v>1.1817168338907469</v>
      </c>
      <c r="P282" s="13" t="str">
        <f t="shared" si="19"/>
        <v>Good</v>
      </c>
      <c r="Q282" s="13">
        <f t="shared" si="17"/>
        <v>0.60356744704570786</v>
      </c>
      <c r="R282" s="16">
        <v>37</v>
      </c>
      <c r="S282" s="49">
        <v>1.10878E-2</v>
      </c>
      <c r="T282" s="27">
        <f>IF(Table4[[#This Row],[Link clicks]]=0,0,Table4[[#This Row],[Amount spent ]]/Table4[[#This Row],[Link clicks]])</f>
        <v>7.6981132075471706E-2</v>
      </c>
      <c r="U282" s="62" t="s">
        <v>407</v>
      </c>
      <c r="V282" s="1" t="s">
        <v>413</v>
      </c>
      <c r="W282" s="1">
        <v>1.5031196823596139E-2</v>
      </c>
    </row>
    <row r="283" spans="1:23" x14ac:dyDescent="0.25">
      <c r="A283" s="48" t="s">
        <v>69</v>
      </c>
      <c r="B283" s="12" t="s">
        <v>358</v>
      </c>
      <c r="C283" s="1" t="str">
        <f t="shared" si="18"/>
        <v>Kuwait Target Group</v>
      </c>
      <c r="D283" s="1" t="s">
        <v>73</v>
      </c>
      <c r="E283" s="12" t="s">
        <v>292</v>
      </c>
      <c r="F283" s="1" t="s">
        <v>78</v>
      </c>
      <c r="G283" s="1" t="s">
        <v>74</v>
      </c>
      <c r="H283" s="1" t="s">
        <v>94</v>
      </c>
      <c r="I283" s="16">
        <v>2114</v>
      </c>
      <c r="J283" s="16">
        <v>2550</v>
      </c>
      <c r="K283" s="63">
        <v>1.21</v>
      </c>
      <c r="L283" s="16">
        <v>11</v>
      </c>
      <c r="M283" s="16">
        <v>193</v>
      </c>
      <c r="N283" s="16">
        <v>168</v>
      </c>
      <c r="O283" s="26">
        <f t="shared" si="20"/>
        <v>0.43137254901960781</v>
      </c>
      <c r="P283" s="13" t="str">
        <f t="shared" si="19"/>
        <v>Good</v>
      </c>
      <c r="Q283" s="13">
        <f t="shared" si="17"/>
        <v>7.5686274509803919E-2</v>
      </c>
      <c r="R283" s="16">
        <v>186</v>
      </c>
      <c r="S283" s="49">
        <v>0.23969072</v>
      </c>
      <c r="T283" s="27">
        <f>IF(Table4[[#This Row],[Link clicks]]=0,0,Table4[[#This Row],[Amount spent ]]/Table4[[#This Row],[Link clicks]])</f>
        <v>0.11</v>
      </c>
      <c r="U283" s="62" t="s">
        <v>407</v>
      </c>
      <c r="V283" s="1" t="s">
        <v>413</v>
      </c>
      <c r="W283" s="1">
        <v>5.2034058656575217E-3</v>
      </c>
    </row>
    <row r="284" spans="1:23" x14ac:dyDescent="0.25">
      <c r="A284" s="48" t="s">
        <v>69</v>
      </c>
      <c r="B284" s="12" t="s">
        <v>358</v>
      </c>
      <c r="C284" s="1" t="str">
        <f t="shared" si="18"/>
        <v>Kuwait Target Group</v>
      </c>
      <c r="D284" s="1" t="s">
        <v>73</v>
      </c>
      <c r="E284" s="12" t="s">
        <v>297</v>
      </c>
      <c r="F284" s="1" t="s">
        <v>77</v>
      </c>
      <c r="G284" s="1" t="s">
        <v>118</v>
      </c>
      <c r="H284" s="1" t="s">
        <v>75</v>
      </c>
      <c r="I284" s="16">
        <v>332</v>
      </c>
      <c r="J284" s="16">
        <v>546</v>
      </c>
      <c r="K284" s="63">
        <v>0.15</v>
      </c>
      <c r="L284" s="16">
        <v>0</v>
      </c>
      <c r="M284" s="16">
        <v>6</v>
      </c>
      <c r="N284" s="16">
        <v>1</v>
      </c>
      <c r="O284" s="26">
        <f t="shared" si="20"/>
        <v>0</v>
      </c>
      <c r="P284" s="13" t="str">
        <f t="shared" si="19"/>
        <v>Bad</v>
      </c>
      <c r="Q284" s="13">
        <f t="shared" si="17"/>
        <v>1.098901098901099E-2</v>
      </c>
      <c r="R284" s="16">
        <v>54</v>
      </c>
      <c r="S284" s="49">
        <v>0.40298507</v>
      </c>
      <c r="T284" s="27">
        <f>IF(Table4[[#This Row],[Link clicks]]=0,0,Table4[[#This Row],[Amount spent ]]/Table4[[#This Row],[Link clicks]])</f>
        <v>0</v>
      </c>
      <c r="U284" s="62" t="s">
        <v>407</v>
      </c>
      <c r="V284" s="1" t="s">
        <v>413</v>
      </c>
      <c r="W284" s="1">
        <v>0</v>
      </c>
    </row>
    <row r="285" spans="1:23" x14ac:dyDescent="0.25">
      <c r="A285" s="48" t="s">
        <v>69</v>
      </c>
      <c r="B285" s="12" t="s">
        <v>358</v>
      </c>
      <c r="C285" s="1" t="str">
        <f t="shared" si="18"/>
        <v>Kuwait Target Group</v>
      </c>
      <c r="D285" s="1" t="s">
        <v>73</v>
      </c>
      <c r="E285" s="12" t="s">
        <v>298</v>
      </c>
      <c r="F285" s="1" t="s">
        <v>77</v>
      </c>
      <c r="G285" s="1" t="s">
        <v>74</v>
      </c>
      <c r="H285" s="1" t="s">
        <v>94</v>
      </c>
      <c r="I285" s="16">
        <v>254</v>
      </c>
      <c r="J285" s="16">
        <v>369</v>
      </c>
      <c r="K285" s="63">
        <v>0.14000000000000001</v>
      </c>
      <c r="L285" s="16">
        <v>1</v>
      </c>
      <c r="M285" s="16">
        <v>42</v>
      </c>
      <c r="N285" s="16">
        <v>43</v>
      </c>
      <c r="O285" s="26">
        <f t="shared" si="20"/>
        <v>0.27100271002710025</v>
      </c>
      <c r="P285" s="13" t="str">
        <f t="shared" si="19"/>
        <v>Good</v>
      </c>
      <c r="Q285" s="13">
        <f t="shared" si="17"/>
        <v>0.11382113821138211</v>
      </c>
      <c r="R285" s="16">
        <v>143</v>
      </c>
      <c r="S285" s="49">
        <v>0.15442765</v>
      </c>
      <c r="T285" s="27">
        <f>IF(Table4[[#This Row],[Link clicks]]=0,0,Table4[[#This Row],[Amount spent ]]/Table4[[#This Row],[Link clicks]])</f>
        <v>0.14000000000000001</v>
      </c>
      <c r="U285" s="62" t="s">
        <v>407</v>
      </c>
      <c r="V285" s="1" t="s">
        <v>413</v>
      </c>
      <c r="W285" s="1">
        <v>3.937007874015748E-3</v>
      </c>
    </row>
    <row r="286" spans="1:23" x14ac:dyDescent="0.25">
      <c r="A286" s="48" t="s">
        <v>69</v>
      </c>
      <c r="B286" s="12" t="s">
        <v>358</v>
      </c>
      <c r="C286" s="1" t="str">
        <f t="shared" si="18"/>
        <v>Kuwait Target Group</v>
      </c>
      <c r="D286" s="1" t="s">
        <v>73</v>
      </c>
      <c r="E286" s="12" t="s">
        <v>299</v>
      </c>
      <c r="F286" s="1" t="s">
        <v>78</v>
      </c>
      <c r="G286" s="1" t="s">
        <v>118</v>
      </c>
      <c r="H286" s="1" t="s">
        <v>75</v>
      </c>
      <c r="I286" s="16">
        <v>271</v>
      </c>
      <c r="J286" s="16">
        <v>413</v>
      </c>
      <c r="K286" s="63">
        <v>0.11</v>
      </c>
      <c r="L286" s="16">
        <v>0</v>
      </c>
      <c r="M286" s="16">
        <v>2</v>
      </c>
      <c r="N286" s="16">
        <v>0</v>
      </c>
      <c r="O286" s="26">
        <f t="shared" si="20"/>
        <v>0</v>
      </c>
      <c r="P286" s="13" t="str">
        <f t="shared" si="19"/>
        <v>Bad</v>
      </c>
      <c r="Q286" s="13">
        <f t="shared" si="17"/>
        <v>4.8426150121065378E-3</v>
      </c>
      <c r="R286" s="16">
        <v>104</v>
      </c>
      <c r="S286" s="49">
        <v>0.10077519</v>
      </c>
      <c r="T286" s="27">
        <f>IF(Table4[[#This Row],[Link clicks]]=0,0,Table4[[#This Row],[Amount spent ]]/Table4[[#This Row],[Link clicks]])</f>
        <v>0</v>
      </c>
      <c r="U286" s="62" t="s">
        <v>407</v>
      </c>
      <c r="V286" s="1" t="s">
        <v>413</v>
      </c>
      <c r="W286" s="1">
        <v>0</v>
      </c>
    </row>
    <row r="287" spans="1:23" x14ac:dyDescent="0.25">
      <c r="A287" s="48" t="s">
        <v>69</v>
      </c>
      <c r="B287" s="12" t="s">
        <v>358</v>
      </c>
      <c r="C287" s="1" t="str">
        <f t="shared" si="18"/>
        <v>Kuwait Target Group</v>
      </c>
      <c r="D287" s="1" t="s">
        <v>73</v>
      </c>
      <c r="E287" s="12" t="s">
        <v>310</v>
      </c>
      <c r="F287" s="1" t="s">
        <v>77</v>
      </c>
      <c r="G287" s="1" t="s">
        <v>74</v>
      </c>
      <c r="H287" s="1" t="s">
        <v>75</v>
      </c>
      <c r="I287" s="16">
        <v>2</v>
      </c>
      <c r="J287" s="16">
        <v>2</v>
      </c>
      <c r="K287" s="63">
        <v>0</v>
      </c>
      <c r="L287" s="16">
        <v>0</v>
      </c>
      <c r="M287" s="16">
        <v>0</v>
      </c>
      <c r="N287" s="16">
        <v>0</v>
      </c>
      <c r="O287" s="26">
        <f t="shared" si="20"/>
        <v>0</v>
      </c>
      <c r="P287" s="13" t="str">
        <f t="shared" si="19"/>
        <v>Bad</v>
      </c>
      <c r="Q287" s="13">
        <f t="shared" si="17"/>
        <v>0</v>
      </c>
      <c r="R287" s="16">
        <v>233</v>
      </c>
      <c r="S287" s="49">
        <v>0.24045407999999999</v>
      </c>
      <c r="T287" s="27">
        <f>IF(Table4[[#This Row],[Link clicks]]=0,0,Table4[[#This Row],[Amount spent ]]/Table4[[#This Row],[Link clicks]])</f>
        <v>0</v>
      </c>
      <c r="U287" s="62" t="s">
        <v>407</v>
      </c>
      <c r="V287" s="1" t="s">
        <v>413</v>
      </c>
      <c r="W287" s="1">
        <v>0</v>
      </c>
    </row>
    <row r="288" spans="1:23" x14ac:dyDescent="0.25">
      <c r="A288" s="48" t="s">
        <v>69</v>
      </c>
      <c r="B288" s="12" t="s">
        <v>358</v>
      </c>
      <c r="C288" s="1" t="str">
        <f t="shared" si="18"/>
        <v>Kuwait Target Group</v>
      </c>
      <c r="D288" s="1" t="s">
        <v>73</v>
      </c>
      <c r="E288" s="12" t="s">
        <v>311</v>
      </c>
      <c r="F288" s="1" t="s">
        <v>77</v>
      </c>
      <c r="G288" s="1" t="s">
        <v>74</v>
      </c>
      <c r="H288" s="1" t="s">
        <v>75</v>
      </c>
      <c r="I288" s="16">
        <v>3</v>
      </c>
      <c r="J288" s="16">
        <v>3</v>
      </c>
      <c r="K288" s="63">
        <v>0</v>
      </c>
      <c r="L288" s="16">
        <v>0</v>
      </c>
      <c r="M288" s="16">
        <v>1</v>
      </c>
      <c r="N288" s="16">
        <v>0</v>
      </c>
      <c r="O288" s="26">
        <f t="shared" si="20"/>
        <v>0</v>
      </c>
      <c r="P288" s="13" t="str">
        <f t="shared" si="19"/>
        <v>Bad</v>
      </c>
      <c r="Q288" s="13">
        <f t="shared" si="17"/>
        <v>0.33333333333333331</v>
      </c>
      <c r="R288" s="16">
        <v>79</v>
      </c>
      <c r="S288" s="49">
        <v>0.18764845999999999</v>
      </c>
      <c r="T288" s="27">
        <f>IF(Table4[[#This Row],[Link clicks]]=0,0,Table4[[#This Row],[Amount spent ]]/Table4[[#This Row],[Link clicks]])</f>
        <v>0</v>
      </c>
      <c r="U288" s="62" t="s">
        <v>407</v>
      </c>
      <c r="V288" s="1" t="s">
        <v>413</v>
      </c>
      <c r="W288" s="1">
        <v>0</v>
      </c>
    </row>
    <row r="289" spans="1:23" x14ac:dyDescent="0.25">
      <c r="A289" s="48" t="s">
        <v>69</v>
      </c>
      <c r="B289" s="12" t="s">
        <v>358</v>
      </c>
      <c r="C289" s="1" t="str">
        <f t="shared" si="18"/>
        <v>Kuwait Target Group</v>
      </c>
      <c r="D289" s="1" t="s">
        <v>73</v>
      </c>
      <c r="E289" s="12" t="s">
        <v>312</v>
      </c>
      <c r="F289" s="1" t="s">
        <v>77</v>
      </c>
      <c r="G289" s="1" t="s">
        <v>74</v>
      </c>
      <c r="H289" s="1" t="s">
        <v>75</v>
      </c>
      <c r="I289" s="16">
        <v>2</v>
      </c>
      <c r="J289" s="16">
        <v>2</v>
      </c>
      <c r="K289" s="63">
        <v>0</v>
      </c>
      <c r="L289" s="16">
        <v>0</v>
      </c>
      <c r="M289" s="16">
        <v>0</v>
      </c>
      <c r="N289" s="16">
        <v>0</v>
      </c>
      <c r="O289" s="26">
        <f t="shared" si="20"/>
        <v>0</v>
      </c>
      <c r="P289" s="13" t="str">
        <f t="shared" si="19"/>
        <v>Bad</v>
      </c>
      <c r="Q289" s="13">
        <f t="shared" si="17"/>
        <v>0</v>
      </c>
      <c r="R289" s="16">
        <v>6</v>
      </c>
      <c r="S289" s="49">
        <v>1.8072290000000001E-2</v>
      </c>
      <c r="T289" s="27">
        <f>IF(Table4[[#This Row],[Link clicks]]=0,0,Table4[[#This Row],[Amount spent ]]/Table4[[#This Row],[Link clicks]])</f>
        <v>0</v>
      </c>
      <c r="U289" s="62" t="s">
        <v>407</v>
      </c>
      <c r="V289" s="1" t="s">
        <v>413</v>
      </c>
      <c r="W289" s="1">
        <v>0</v>
      </c>
    </row>
    <row r="290" spans="1:23" x14ac:dyDescent="0.25">
      <c r="A290" s="48" t="s">
        <v>69</v>
      </c>
      <c r="B290" s="12" t="s">
        <v>358</v>
      </c>
      <c r="C290" s="1" t="str">
        <f t="shared" si="18"/>
        <v>Kuwait Target Group</v>
      </c>
      <c r="D290" s="1" t="s">
        <v>73</v>
      </c>
      <c r="E290" s="12" t="s">
        <v>313</v>
      </c>
      <c r="F290" s="1" t="s">
        <v>78</v>
      </c>
      <c r="G290" s="1" t="s">
        <v>74</v>
      </c>
      <c r="H290" s="1" t="s">
        <v>75</v>
      </c>
      <c r="I290" s="16">
        <v>1</v>
      </c>
      <c r="J290" s="16">
        <v>1</v>
      </c>
      <c r="K290" s="63">
        <v>0</v>
      </c>
      <c r="L290" s="16">
        <v>0</v>
      </c>
      <c r="M290" s="16">
        <v>1</v>
      </c>
      <c r="N290" s="16">
        <v>0</v>
      </c>
      <c r="O290" s="26">
        <f t="shared" si="20"/>
        <v>0</v>
      </c>
      <c r="P290" s="13" t="str">
        <f t="shared" si="19"/>
        <v>Bad</v>
      </c>
      <c r="Q290" s="13">
        <f t="shared" si="17"/>
        <v>1</v>
      </c>
      <c r="R290" s="16">
        <v>43</v>
      </c>
      <c r="S290" s="49">
        <v>0.16929134000000001</v>
      </c>
      <c r="T290" s="27">
        <f>IF(Table4[[#This Row],[Link clicks]]=0,0,Table4[[#This Row],[Amount spent ]]/Table4[[#This Row],[Link clicks]])</f>
        <v>0</v>
      </c>
      <c r="U290" s="62" t="s">
        <v>407</v>
      </c>
      <c r="V290" s="1" t="s">
        <v>413</v>
      </c>
      <c r="W290" s="1">
        <v>0</v>
      </c>
    </row>
    <row r="291" spans="1:23" x14ac:dyDescent="0.25">
      <c r="A291" s="48" t="s">
        <v>69</v>
      </c>
      <c r="B291" s="12" t="s">
        <v>358</v>
      </c>
      <c r="C291" s="1" t="str">
        <f t="shared" si="18"/>
        <v>Kuwait Target Group</v>
      </c>
      <c r="D291" s="1" t="s">
        <v>73</v>
      </c>
      <c r="E291" s="12" t="s">
        <v>314</v>
      </c>
      <c r="F291" s="1" t="s">
        <v>78</v>
      </c>
      <c r="G291" s="1" t="s">
        <v>74</v>
      </c>
      <c r="H291" s="1" t="s">
        <v>75</v>
      </c>
      <c r="I291" s="16">
        <v>3</v>
      </c>
      <c r="J291" s="16">
        <v>3</v>
      </c>
      <c r="K291" s="63">
        <v>0</v>
      </c>
      <c r="L291" s="16">
        <v>0</v>
      </c>
      <c r="M291" s="16">
        <v>0</v>
      </c>
      <c r="N291" s="16">
        <v>0</v>
      </c>
      <c r="O291" s="26">
        <f t="shared" si="20"/>
        <v>0</v>
      </c>
      <c r="P291" s="13" t="str">
        <f t="shared" si="19"/>
        <v>Bad</v>
      </c>
      <c r="Q291" s="13">
        <f t="shared" si="17"/>
        <v>0</v>
      </c>
      <c r="R291" s="16">
        <v>2</v>
      </c>
      <c r="S291" s="49">
        <v>7.3800699999999999E-3</v>
      </c>
      <c r="T291" s="27">
        <f>IF(Table4[[#This Row],[Link clicks]]=0,0,Table4[[#This Row],[Amount spent ]]/Table4[[#This Row],[Link clicks]])</f>
        <v>0</v>
      </c>
      <c r="U291" s="62" t="s">
        <v>407</v>
      </c>
      <c r="V291" s="1" t="s">
        <v>413</v>
      </c>
      <c r="W291" s="1">
        <v>0</v>
      </c>
    </row>
    <row r="292" spans="1:23" x14ac:dyDescent="0.25">
      <c r="A292" s="48" t="s">
        <v>69</v>
      </c>
      <c r="B292" s="12" t="s">
        <v>358</v>
      </c>
      <c r="C292" s="1" t="str">
        <f t="shared" si="18"/>
        <v>Kuwait Target Group</v>
      </c>
      <c r="D292" s="1" t="s">
        <v>73</v>
      </c>
      <c r="E292" s="12" t="s">
        <v>315</v>
      </c>
      <c r="F292" s="1" t="s">
        <v>78</v>
      </c>
      <c r="G292" s="1" t="s">
        <v>74</v>
      </c>
      <c r="H292" s="1" t="s">
        <v>75</v>
      </c>
      <c r="I292" s="16">
        <v>1</v>
      </c>
      <c r="J292" s="16">
        <v>1</v>
      </c>
      <c r="K292" s="63">
        <v>0</v>
      </c>
      <c r="L292" s="16">
        <v>0</v>
      </c>
      <c r="M292" s="16">
        <v>1</v>
      </c>
      <c r="N292" s="16">
        <v>0</v>
      </c>
      <c r="O292" s="26">
        <f t="shared" si="20"/>
        <v>0</v>
      </c>
      <c r="P292" s="13" t="str">
        <f t="shared" si="19"/>
        <v>Bad</v>
      </c>
      <c r="Q292" s="13">
        <f t="shared" si="17"/>
        <v>1</v>
      </c>
      <c r="R292" s="16">
        <v>12</v>
      </c>
      <c r="S292" s="49">
        <v>0.25</v>
      </c>
      <c r="T292" s="27">
        <f>IF(Table4[[#This Row],[Link clicks]]=0,0,Table4[[#This Row],[Amount spent ]]/Table4[[#This Row],[Link clicks]])</f>
        <v>0</v>
      </c>
      <c r="U292" s="62" t="s">
        <v>407</v>
      </c>
      <c r="V292" s="1" t="s">
        <v>413</v>
      </c>
      <c r="W292" s="1">
        <v>0</v>
      </c>
    </row>
    <row r="293" spans="1:23" x14ac:dyDescent="0.25">
      <c r="A293" s="48" t="s">
        <v>68</v>
      </c>
      <c r="B293" s="12" t="s">
        <v>359</v>
      </c>
      <c r="C293" s="1" t="str">
        <f t="shared" si="18"/>
        <v>Oman Target Group</v>
      </c>
      <c r="D293" s="1" t="s">
        <v>73</v>
      </c>
      <c r="E293" s="12" t="s">
        <v>156</v>
      </c>
      <c r="F293" s="1" t="s">
        <v>77</v>
      </c>
      <c r="G293" s="1" t="s">
        <v>74</v>
      </c>
      <c r="H293" s="1" t="s">
        <v>92</v>
      </c>
      <c r="I293" s="16">
        <v>279681</v>
      </c>
      <c r="J293" s="16">
        <v>1038201</v>
      </c>
      <c r="K293" s="63">
        <v>402.21</v>
      </c>
      <c r="L293" s="16">
        <v>4540</v>
      </c>
      <c r="M293" s="16">
        <v>151523</v>
      </c>
      <c r="N293" s="16">
        <v>2519</v>
      </c>
      <c r="O293" s="26">
        <f t="shared" si="20"/>
        <v>0.43729489761616486</v>
      </c>
      <c r="P293" s="13" t="str">
        <f t="shared" si="19"/>
        <v>Good</v>
      </c>
      <c r="Q293" s="13">
        <f t="shared" ref="Q293:Q356" si="21">M293/J293</f>
        <v>0.14594765368170518</v>
      </c>
      <c r="R293" s="16">
        <v>31</v>
      </c>
      <c r="S293" s="49">
        <v>0.73809524000000004</v>
      </c>
      <c r="T293" s="27">
        <f>IF(Table4[[#This Row],[Link clicks]]=0,0,Table4[[#This Row],[Amount spent ]]/Table4[[#This Row],[Link clicks]])</f>
        <v>8.8592511013215858E-2</v>
      </c>
      <c r="U293" s="62" t="s">
        <v>407</v>
      </c>
      <c r="V293" s="1" t="s">
        <v>413</v>
      </c>
      <c r="W293" s="1">
        <v>1.6232779488059609E-2</v>
      </c>
    </row>
    <row r="294" spans="1:23" x14ac:dyDescent="0.25">
      <c r="A294" s="48" t="s">
        <v>68</v>
      </c>
      <c r="B294" s="12" t="s">
        <v>359</v>
      </c>
      <c r="C294" s="1" t="str">
        <f t="shared" si="18"/>
        <v>Oman Target Group</v>
      </c>
      <c r="D294" s="1" t="s">
        <v>73</v>
      </c>
      <c r="E294" s="12" t="s">
        <v>159</v>
      </c>
      <c r="F294" s="1" t="s">
        <v>77</v>
      </c>
      <c r="G294" s="1" t="s">
        <v>74</v>
      </c>
      <c r="H294" s="1" t="s">
        <v>92</v>
      </c>
      <c r="I294" s="16">
        <v>270978</v>
      </c>
      <c r="J294" s="16">
        <v>992375</v>
      </c>
      <c r="K294" s="63">
        <v>362.06</v>
      </c>
      <c r="L294" s="16">
        <v>5149</v>
      </c>
      <c r="M294" s="16">
        <v>130705</v>
      </c>
      <c r="N294" s="16">
        <v>4015</v>
      </c>
      <c r="O294" s="26">
        <f t="shared" si="20"/>
        <v>0.51885627912835364</v>
      </c>
      <c r="P294" s="13" t="str">
        <f t="shared" si="19"/>
        <v>Good</v>
      </c>
      <c r="Q294" s="13">
        <f t="shared" si="21"/>
        <v>0.1317092832850485</v>
      </c>
      <c r="R294" s="16">
        <v>28</v>
      </c>
      <c r="S294" s="49">
        <v>0.35897435999999999</v>
      </c>
      <c r="T294" s="27">
        <f>IF(Table4[[#This Row],[Link clicks]]=0,0,Table4[[#This Row],[Amount spent ]]/Table4[[#This Row],[Link clicks]])</f>
        <v>7.0316566323557969E-2</v>
      </c>
      <c r="U294" s="62" t="s">
        <v>407</v>
      </c>
      <c r="V294" s="1" t="s">
        <v>413</v>
      </c>
      <c r="W294" s="1">
        <v>1.9001542560650678E-2</v>
      </c>
    </row>
    <row r="295" spans="1:23" x14ac:dyDescent="0.25">
      <c r="A295" s="48" t="s">
        <v>68</v>
      </c>
      <c r="B295" s="12" t="s">
        <v>359</v>
      </c>
      <c r="C295" s="1" t="str">
        <f t="shared" si="18"/>
        <v>Oman Target Group</v>
      </c>
      <c r="D295" s="1" t="s">
        <v>73</v>
      </c>
      <c r="E295" s="12" t="s">
        <v>166</v>
      </c>
      <c r="F295" s="1" t="s">
        <v>78</v>
      </c>
      <c r="G295" s="1" t="s">
        <v>74</v>
      </c>
      <c r="H295" s="1" t="s">
        <v>92</v>
      </c>
      <c r="I295" s="16">
        <v>213313</v>
      </c>
      <c r="J295" s="16">
        <v>799838</v>
      </c>
      <c r="K295" s="63">
        <v>296.19</v>
      </c>
      <c r="L295" s="16">
        <v>3366</v>
      </c>
      <c r="M295" s="16">
        <v>109739</v>
      </c>
      <c r="N295" s="16">
        <v>3200</v>
      </c>
      <c r="O295" s="26">
        <f t="shared" si="20"/>
        <v>0.42083521913187422</v>
      </c>
      <c r="P295" s="13" t="str">
        <f t="shared" si="19"/>
        <v>Good</v>
      </c>
      <c r="Q295" s="13">
        <f t="shared" si="21"/>
        <v>0.13720153331049537</v>
      </c>
      <c r="R295" s="16">
        <v>27</v>
      </c>
      <c r="S295" s="49">
        <v>0.421875</v>
      </c>
      <c r="T295" s="27">
        <f>IF(Table4[[#This Row],[Link clicks]]=0,0,Table4[[#This Row],[Amount spent ]]/Table4[[#This Row],[Link clicks]])</f>
        <v>8.7994652406417115E-2</v>
      </c>
      <c r="U295" s="62" t="s">
        <v>407</v>
      </c>
      <c r="V295" s="1" t="s">
        <v>413</v>
      </c>
      <c r="W295" s="1">
        <v>1.5779628995888671E-2</v>
      </c>
    </row>
    <row r="296" spans="1:23" x14ac:dyDescent="0.25">
      <c r="A296" s="48" t="s">
        <v>68</v>
      </c>
      <c r="B296" s="12" t="s">
        <v>359</v>
      </c>
      <c r="C296" s="1" t="str">
        <f t="shared" si="18"/>
        <v>Oman Target Group</v>
      </c>
      <c r="D296" s="1" t="s">
        <v>73</v>
      </c>
      <c r="E296" s="12" t="s">
        <v>178</v>
      </c>
      <c r="F296" s="1" t="s">
        <v>78</v>
      </c>
      <c r="G296" s="1" t="s">
        <v>74</v>
      </c>
      <c r="H296" s="1" t="s">
        <v>92</v>
      </c>
      <c r="I296" s="16">
        <v>244092</v>
      </c>
      <c r="J296" s="16">
        <v>866065</v>
      </c>
      <c r="K296" s="63">
        <v>172.55</v>
      </c>
      <c r="L296" s="16">
        <v>3539</v>
      </c>
      <c r="M296" s="16">
        <v>44280</v>
      </c>
      <c r="N296" s="16">
        <v>1677</v>
      </c>
      <c r="O296" s="26">
        <f t="shared" si="20"/>
        <v>0.40862983725240026</v>
      </c>
      <c r="P296" s="13" t="str">
        <f t="shared" si="19"/>
        <v>Good</v>
      </c>
      <c r="Q296" s="13">
        <f t="shared" si="21"/>
        <v>5.1127802185748181E-2</v>
      </c>
      <c r="R296" s="16">
        <v>20</v>
      </c>
      <c r="S296" s="49">
        <v>0.32258065000000002</v>
      </c>
      <c r="T296" s="27">
        <f>IF(Table4[[#This Row],[Link clicks]]=0,0,Table4[[#This Row],[Amount spent ]]/Table4[[#This Row],[Link clicks]])</f>
        <v>4.8756710935292456E-2</v>
      </c>
      <c r="U296" s="62" t="s">
        <v>407</v>
      </c>
      <c r="V296" s="1" t="s">
        <v>413</v>
      </c>
      <c r="W296" s="1">
        <v>1.4498631663471149E-2</v>
      </c>
    </row>
    <row r="297" spans="1:23" x14ac:dyDescent="0.25">
      <c r="A297" s="48" t="s">
        <v>68</v>
      </c>
      <c r="B297" s="12" t="s">
        <v>359</v>
      </c>
      <c r="C297" s="1" t="str">
        <f t="shared" si="18"/>
        <v>Oman Target Group</v>
      </c>
      <c r="D297" s="1" t="s">
        <v>73</v>
      </c>
      <c r="E297" s="12" t="s">
        <v>179</v>
      </c>
      <c r="F297" s="1" t="s">
        <v>77</v>
      </c>
      <c r="G297" s="1" t="s">
        <v>98</v>
      </c>
      <c r="H297" s="1" t="s">
        <v>94</v>
      </c>
      <c r="I297" s="16">
        <v>256449</v>
      </c>
      <c r="J297" s="16">
        <v>836397</v>
      </c>
      <c r="K297" s="63">
        <v>164.97</v>
      </c>
      <c r="L297" s="16">
        <v>2419</v>
      </c>
      <c r="M297" s="16">
        <v>0</v>
      </c>
      <c r="N297" s="16">
        <v>0</v>
      </c>
      <c r="O297" s="26">
        <f t="shared" si="20"/>
        <v>0.28921672363722012</v>
      </c>
      <c r="P297" s="13" t="str">
        <f t="shared" si="19"/>
        <v>Good</v>
      </c>
      <c r="Q297" s="13">
        <f t="shared" si="21"/>
        <v>0</v>
      </c>
      <c r="R297" s="16">
        <v>0</v>
      </c>
      <c r="S297" s="49">
        <v>0</v>
      </c>
      <c r="T297" s="27">
        <f>IF(Table4[[#This Row],[Link clicks]]=0,0,Table4[[#This Row],[Amount spent ]]/Table4[[#This Row],[Link clicks]])</f>
        <v>6.8197602315006198E-2</v>
      </c>
      <c r="U297" s="62" t="s">
        <v>407</v>
      </c>
      <c r="V297" s="1" t="s">
        <v>413</v>
      </c>
      <c r="W297" s="1">
        <v>9.4326747228493778E-3</v>
      </c>
    </row>
    <row r="298" spans="1:23" x14ac:dyDescent="0.25">
      <c r="A298" s="48" t="s">
        <v>68</v>
      </c>
      <c r="B298" s="12" t="s">
        <v>359</v>
      </c>
      <c r="C298" s="1" t="str">
        <f t="shared" si="18"/>
        <v>Oman Target Group</v>
      </c>
      <c r="D298" s="1" t="s">
        <v>73</v>
      </c>
      <c r="E298" s="12" t="s">
        <v>188</v>
      </c>
      <c r="F298" s="1" t="s">
        <v>77</v>
      </c>
      <c r="G298" s="1" t="s">
        <v>74</v>
      </c>
      <c r="H298" s="1" t="s">
        <v>94</v>
      </c>
      <c r="I298" s="16">
        <v>97825</v>
      </c>
      <c r="J298" s="16">
        <v>247282</v>
      </c>
      <c r="K298" s="63">
        <v>118.16</v>
      </c>
      <c r="L298" s="16">
        <v>1539</v>
      </c>
      <c r="M298" s="16">
        <v>51886</v>
      </c>
      <c r="N298" s="16">
        <v>760</v>
      </c>
      <c r="O298" s="26">
        <f t="shared" si="20"/>
        <v>0.62236636714358506</v>
      </c>
      <c r="P298" s="13" t="str">
        <f t="shared" si="19"/>
        <v>Good</v>
      </c>
      <c r="Q298" s="13">
        <f t="shared" si="21"/>
        <v>0.20982521978955201</v>
      </c>
      <c r="R298" s="16">
        <v>7</v>
      </c>
      <c r="S298" s="49">
        <v>0.17948718</v>
      </c>
      <c r="T298" s="27">
        <f>IF(Table4[[#This Row],[Link clicks]]=0,0,Table4[[#This Row],[Amount spent ]]/Table4[[#This Row],[Link clicks]])</f>
        <v>7.6777128005198175E-2</v>
      </c>
      <c r="U298" s="62" t="s">
        <v>407</v>
      </c>
      <c r="V298" s="1" t="s">
        <v>413</v>
      </c>
      <c r="W298" s="1">
        <v>1.573217480194224E-2</v>
      </c>
    </row>
    <row r="299" spans="1:23" x14ac:dyDescent="0.25">
      <c r="A299" s="48" t="s">
        <v>68</v>
      </c>
      <c r="B299" s="12" t="s">
        <v>359</v>
      </c>
      <c r="C299" s="1" t="str">
        <f t="shared" si="18"/>
        <v>Oman Target Group</v>
      </c>
      <c r="D299" s="1" t="s">
        <v>73</v>
      </c>
      <c r="E299" s="12" t="s">
        <v>189</v>
      </c>
      <c r="F299" s="1" t="s">
        <v>77</v>
      </c>
      <c r="G299" s="1" t="s">
        <v>74</v>
      </c>
      <c r="H299" s="1" t="s">
        <v>92</v>
      </c>
      <c r="I299" s="16">
        <v>210494</v>
      </c>
      <c r="J299" s="16">
        <v>587830</v>
      </c>
      <c r="K299" s="63">
        <v>117.88</v>
      </c>
      <c r="L299" s="16">
        <v>2151</v>
      </c>
      <c r="M299" s="16">
        <v>32287</v>
      </c>
      <c r="N299" s="16">
        <v>804</v>
      </c>
      <c r="O299" s="26">
        <f t="shared" si="20"/>
        <v>0.36592212034091487</v>
      </c>
      <c r="P299" s="13" t="str">
        <f t="shared" si="19"/>
        <v>Good</v>
      </c>
      <c r="Q299" s="13">
        <f t="shared" si="21"/>
        <v>5.4925743837504037E-2</v>
      </c>
      <c r="R299" s="16">
        <v>9</v>
      </c>
      <c r="S299" s="49">
        <v>0.23076922999999999</v>
      </c>
      <c r="T299" s="27">
        <f>IF(Table4[[#This Row],[Link clicks]]=0,0,Table4[[#This Row],[Amount spent ]]/Table4[[#This Row],[Link clicks]])</f>
        <v>5.4802417480241748E-2</v>
      </c>
      <c r="U299" s="62" t="s">
        <v>407</v>
      </c>
      <c r="V299" s="1" t="s">
        <v>413</v>
      </c>
      <c r="W299" s="1">
        <v>1.021881858865336E-2</v>
      </c>
    </row>
    <row r="300" spans="1:23" x14ac:dyDescent="0.25">
      <c r="A300" s="48" t="s">
        <v>68</v>
      </c>
      <c r="B300" s="12" t="s">
        <v>359</v>
      </c>
      <c r="C300" s="1" t="str">
        <f t="shared" si="18"/>
        <v>Oman Target Group</v>
      </c>
      <c r="D300" s="1" t="s">
        <v>73</v>
      </c>
      <c r="E300" s="12" t="s">
        <v>194</v>
      </c>
      <c r="F300" s="1" t="s">
        <v>78</v>
      </c>
      <c r="G300" s="1" t="s">
        <v>74</v>
      </c>
      <c r="H300" s="1" t="s">
        <v>94</v>
      </c>
      <c r="I300" s="16">
        <v>210367</v>
      </c>
      <c r="J300" s="16">
        <v>557328</v>
      </c>
      <c r="K300" s="63">
        <v>110.36</v>
      </c>
      <c r="L300" s="16">
        <v>2217</v>
      </c>
      <c r="M300" s="16">
        <v>23222</v>
      </c>
      <c r="N300" s="16">
        <v>824</v>
      </c>
      <c r="O300" s="26">
        <f t="shared" si="20"/>
        <v>0.39779088795108086</v>
      </c>
      <c r="P300" s="13" t="str">
        <f t="shared" si="19"/>
        <v>Good</v>
      </c>
      <c r="Q300" s="13">
        <f t="shared" si="21"/>
        <v>4.1666666666666664E-2</v>
      </c>
      <c r="R300" s="16">
        <v>8</v>
      </c>
      <c r="S300" s="49">
        <v>0.4</v>
      </c>
      <c r="T300" s="27">
        <f>IF(Table4[[#This Row],[Link clicks]]=0,0,Table4[[#This Row],[Amount spent ]]/Table4[[#This Row],[Link clicks]])</f>
        <v>4.9778980604420389E-2</v>
      </c>
      <c r="U300" s="62" t="s">
        <v>407</v>
      </c>
      <c r="V300" s="1" t="s">
        <v>413</v>
      </c>
      <c r="W300" s="1">
        <v>1.053872518028018E-2</v>
      </c>
    </row>
    <row r="301" spans="1:23" x14ac:dyDescent="0.25">
      <c r="A301" s="48" t="s">
        <v>68</v>
      </c>
      <c r="B301" s="12" t="s">
        <v>359</v>
      </c>
      <c r="C301" s="1" t="str">
        <f t="shared" si="18"/>
        <v>Oman Target Group</v>
      </c>
      <c r="D301" s="1" t="s">
        <v>73</v>
      </c>
      <c r="E301" s="12" t="s">
        <v>204</v>
      </c>
      <c r="F301" s="1" t="s">
        <v>78</v>
      </c>
      <c r="G301" s="1" t="s">
        <v>74</v>
      </c>
      <c r="H301" s="1" t="s">
        <v>75</v>
      </c>
      <c r="I301" s="16">
        <v>134491</v>
      </c>
      <c r="J301" s="16">
        <v>414195</v>
      </c>
      <c r="K301" s="63">
        <v>78.69</v>
      </c>
      <c r="L301" s="16">
        <v>78</v>
      </c>
      <c r="M301" s="16">
        <v>11989</v>
      </c>
      <c r="N301" s="16">
        <v>109</v>
      </c>
      <c r="O301" s="26">
        <f t="shared" si="20"/>
        <v>1.8831709701951981E-2</v>
      </c>
      <c r="P301" s="13" t="str">
        <f t="shared" si="19"/>
        <v>Bad</v>
      </c>
      <c r="Q301" s="13">
        <f t="shared" si="21"/>
        <v>2.8945303540602856E-2</v>
      </c>
      <c r="R301" s="16">
        <v>2</v>
      </c>
      <c r="S301" s="49">
        <v>0.10526315999999999</v>
      </c>
      <c r="T301" s="27">
        <f>IF(Table4[[#This Row],[Link clicks]]=0,0,Table4[[#This Row],[Amount spent ]]/Table4[[#This Row],[Link clicks]])</f>
        <v>1.0088461538461537</v>
      </c>
      <c r="U301" s="62" t="s">
        <v>407</v>
      </c>
      <c r="V301" s="1" t="s">
        <v>413</v>
      </c>
      <c r="W301" s="1">
        <v>5.7996445858830706E-4</v>
      </c>
    </row>
    <row r="302" spans="1:23" x14ac:dyDescent="0.25">
      <c r="A302" s="48" t="s">
        <v>68</v>
      </c>
      <c r="B302" s="12" t="s">
        <v>359</v>
      </c>
      <c r="C302" s="1" t="str">
        <f t="shared" si="18"/>
        <v>Oman Target Group</v>
      </c>
      <c r="D302" s="1" t="s">
        <v>73</v>
      </c>
      <c r="E302" s="12" t="s">
        <v>206</v>
      </c>
      <c r="F302" s="1" t="s">
        <v>77</v>
      </c>
      <c r="G302" s="1" t="s">
        <v>74</v>
      </c>
      <c r="H302" s="1" t="s">
        <v>94</v>
      </c>
      <c r="I302" s="16">
        <v>94290</v>
      </c>
      <c r="J302" s="16">
        <v>161778</v>
      </c>
      <c r="K302" s="63">
        <v>76.900000000000006</v>
      </c>
      <c r="L302" s="16">
        <v>862</v>
      </c>
      <c r="M302" s="16">
        <v>38749</v>
      </c>
      <c r="N302" s="16">
        <v>891</v>
      </c>
      <c r="O302" s="26">
        <f t="shared" si="20"/>
        <v>0.53282893842178791</v>
      </c>
      <c r="P302" s="13" t="str">
        <f t="shared" si="19"/>
        <v>Good</v>
      </c>
      <c r="Q302" s="13">
        <f t="shared" si="21"/>
        <v>0.23951958857199371</v>
      </c>
      <c r="R302" s="16">
        <v>0</v>
      </c>
      <c r="S302" s="49">
        <v>0</v>
      </c>
      <c r="T302" s="27">
        <f>IF(Table4[[#This Row],[Link clicks]]=0,0,Table4[[#This Row],[Amount spent ]]/Table4[[#This Row],[Link clicks]])</f>
        <v>8.9211136890951281E-2</v>
      </c>
      <c r="U302" s="62" t="s">
        <v>407</v>
      </c>
      <c r="V302" s="1" t="s">
        <v>413</v>
      </c>
      <c r="W302" s="1">
        <v>9.1420086965743989E-3</v>
      </c>
    </row>
    <row r="303" spans="1:23" x14ac:dyDescent="0.25">
      <c r="A303" s="48" t="s">
        <v>68</v>
      </c>
      <c r="B303" s="12" t="s">
        <v>359</v>
      </c>
      <c r="C303" s="1" t="str">
        <f t="shared" si="18"/>
        <v>Oman Target Group</v>
      </c>
      <c r="D303" s="1" t="s">
        <v>73</v>
      </c>
      <c r="E303" s="12" t="s">
        <v>209</v>
      </c>
      <c r="F303" s="1" t="s">
        <v>77</v>
      </c>
      <c r="G303" s="1" t="s">
        <v>74</v>
      </c>
      <c r="H303" s="1" t="s">
        <v>94</v>
      </c>
      <c r="I303" s="16">
        <v>151521</v>
      </c>
      <c r="J303" s="16">
        <v>315774</v>
      </c>
      <c r="K303" s="63">
        <v>61.75</v>
      </c>
      <c r="L303" s="16">
        <v>1153</v>
      </c>
      <c r="M303" s="16">
        <v>14278</v>
      </c>
      <c r="N303" s="16">
        <v>453</v>
      </c>
      <c r="O303" s="26">
        <f t="shared" si="20"/>
        <v>0.36513455826002139</v>
      </c>
      <c r="P303" s="13" t="str">
        <f t="shared" si="19"/>
        <v>Good</v>
      </c>
      <c r="Q303" s="13">
        <f t="shared" si="21"/>
        <v>4.5215882244896664E-2</v>
      </c>
      <c r="R303" s="16">
        <v>0</v>
      </c>
      <c r="S303" s="49">
        <v>0</v>
      </c>
      <c r="T303" s="27">
        <f>IF(Table4[[#This Row],[Link clicks]]=0,0,Table4[[#This Row],[Amount spent ]]/Table4[[#This Row],[Link clicks]])</f>
        <v>5.3555941023417174E-2</v>
      </c>
      <c r="U303" s="62" t="s">
        <v>407</v>
      </c>
      <c r="V303" s="1" t="s">
        <v>413</v>
      </c>
      <c r="W303" s="1">
        <v>7.6095062730578604E-3</v>
      </c>
    </row>
    <row r="304" spans="1:23" x14ac:dyDescent="0.25">
      <c r="A304" s="48" t="s">
        <v>68</v>
      </c>
      <c r="B304" s="12" t="s">
        <v>359</v>
      </c>
      <c r="C304" s="1" t="str">
        <f t="shared" si="18"/>
        <v>Oman Target Group</v>
      </c>
      <c r="D304" s="1" t="s">
        <v>73</v>
      </c>
      <c r="E304" s="12" t="s">
        <v>211</v>
      </c>
      <c r="F304" s="1" t="s">
        <v>78</v>
      </c>
      <c r="G304" s="1" t="s">
        <v>98</v>
      </c>
      <c r="H304" s="1" t="s">
        <v>94</v>
      </c>
      <c r="I304" s="16">
        <v>131552</v>
      </c>
      <c r="J304" s="16">
        <v>293212</v>
      </c>
      <c r="K304" s="63">
        <v>59.47</v>
      </c>
      <c r="L304" s="16">
        <v>902</v>
      </c>
      <c r="M304" s="16">
        <v>0</v>
      </c>
      <c r="N304" s="16">
        <v>0</v>
      </c>
      <c r="O304" s="26">
        <f t="shared" si="20"/>
        <v>0.30762724581531453</v>
      </c>
      <c r="P304" s="13" t="str">
        <f t="shared" si="19"/>
        <v>Good</v>
      </c>
      <c r="Q304" s="13">
        <f t="shared" si="21"/>
        <v>0</v>
      </c>
      <c r="R304" s="16">
        <v>0</v>
      </c>
      <c r="S304" s="49">
        <v>0</v>
      </c>
      <c r="T304" s="27">
        <f>IF(Table4[[#This Row],[Link clicks]]=0,0,Table4[[#This Row],[Amount spent ]]/Table4[[#This Row],[Link clicks]])</f>
        <v>6.5931263858093128E-2</v>
      </c>
      <c r="U304" s="62" t="s">
        <v>407</v>
      </c>
      <c r="V304" s="1" t="s">
        <v>413</v>
      </c>
      <c r="W304" s="1">
        <v>6.8566042325468252E-3</v>
      </c>
    </row>
    <row r="305" spans="1:23" x14ac:dyDescent="0.25">
      <c r="A305" s="48" t="s">
        <v>68</v>
      </c>
      <c r="B305" s="12" t="s">
        <v>359</v>
      </c>
      <c r="C305" s="1" t="str">
        <f t="shared" si="18"/>
        <v>Oman Target Group</v>
      </c>
      <c r="D305" s="1" t="s">
        <v>73</v>
      </c>
      <c r="E305" s="12" t="s">
        <v>213</v>
      </c>
      <c r="F305" s="1" t="s">
        <v>77</v>
      </c>
      <c r="G305" s="1" t="s">
        <v>98</v>
      </c>
      <c r="H305" s="1" t="s">
        <v>94</v>
      </c>
      <c r="I305" s="16">
        <v>139156</v>
      </c>
      <c r="J305" s="16">
        <v>298669</v>
      </c>
      <c r="K305" s="63">
        <v>56.98</v>
      </c>
      <c r="L305" s="16">
        <v>689</v>
      </c>
      <c r="M305" s="16">
        <v>0</v>
      </c>
      <c r="N305" s="16">
        <v>0</v>
      </c>
      <c r="O305" s="26">
        <f t="shared" si="20"/>
        <v>0.2306901620188235</v>
      </c>
      <c r="P305" s="13" t="str">
        <f t="shared" si="19"/>
        <v>Good</v>
      </c>
      <c r="Q305" s="13">
        <f t="shared" si="21"/>
        <v>0</v>
      </c>
      <c r="R305" s="16">
        <v>0</v>
      </c>
      <c r="S305" s="49">
        <v>0</v>
      </c>
      <c r="T305" s="27">
        <f>IF(Table4[[#This Row],[Link clicks]]=0,0,Table4[[#This Row],[Amount spent ]]/Table4[[#This Row],[Link clicks]])</f>
        <v>8.2699564586357036E-2</v>
      </c>
      <c r="U305" s="62" t="s">
        <v>407</v>
      </c>
      <c r="V305" s="1" t="s">
        <v>413</v>
      </c>
      <c r="W305" s="1">
        <v>4.9512777027221249E-3</v>
      </c>
    </row>
    <row r="306" spans="1:23" x14ac:dyDescent="0.25">
      <c r="A306" s="48" t="s">
        <v>68</v>
      </c>
      <c r="B306" s="12" t="s">
        <v>359</v>
      </c>
      <c r="C306" s="1" t="str">
        <f t="shared" si="18"/>
        <v>Oman Target Group</v>
      </c>
      <c r="D306" s="1" t="s">
        <v>73</v>
      </c>
      <c r="E306" s="12" t="s">
        <v>215</v>
      </c>
      <c r="F306" s="1" t="s">
        <v>78</v>
      </c>
      <c r="G306" s="1" t="s">
        <v>74</v>
      </c>
      <c r="H306" s="1" t="s">
        <v>94</v>
      </c>
      <c r="I306" s="16">
        <v>113759</v>
      </c>
      <c r="J306" s="16">
        <v>257301</v>
      </c>
      <c r="K306" s="63">
        <v>50.29</v>
      </c>
      <c r="L306" s="16">
        <v>952</v>
      </c>
      <c r="M306" s="16">
        <v>9959</v>
      </c>
      <c r="N306" s="16">
        <v>570</v>
      </c>
      <c r="O306" s="26">
        <f t="shared" si="20"/>
        <v>0.36999467549679171</v>
      </c>
      <c r="P306" s="13" t="str">
        <f t="shared" si="19"/>
        <v>Good</v>
      </c>
      <c r="Q306" s="13">
        <f t="shared" si="21"/>
        <v>3.8705640475551979E-2</v>
      </c>
      <c r="R306" s="16">
        <v>0</v>
      </c>
      <c r="S306" s="49">
        <v>0</v>
      </c>
      <c r="T306" s="27">
        <f>IF(Table4[[#This Row],[Link clicks]]=0,0,Table4[[#This Row],[Amount spent ]]/Table4[[#This Row],[Link clicks]])</f>
        <v>5.2825630252100839E-2</v>
      </c>
      <c r="U306" s="62" t="s">
        <v>407</v>
      </c>
      <c r="V306" s="1" t="s">
        <v>413</v>
      </c>
      <c r="W306" s="1">
        <v>8.3685686407229311E-3</v>
      </c>
    </row>
    <row r="307" spans="1:23" x14ac:dyDescent="0.25">
      <c r="A307" s="48" t="s">
        <v>68</v>
      </c>
      <c r="B307" s="12" t="s">
        <v>359</v>
      </c>
      <c r="C307" s="1" t="str">
        <f t="shared" si="18"/>
        <v>Oman Target Group</v>
      </c>
      <c r="D307" s="1" t="s">
        <v>73</v>
      </c>
      <c r="E307" s="12" t="s">
        <v>220</v>
      </c>
      <c r="F307" s="1" t="s">
        <v>78</v>
      </c>
      <c r="G307" s="1" t="s">
        <v>74</v>
      </c>
      <c r="H307" s="1" t="s">
        <v>92</v>
      </c>
      <c r="I307" s="16">
        <v>49264</v>
      </c>
      <c r="J307" s="16">
        <v>110340</v>
      </c>
      <c r="K307" s="63">
        <v>45.11</v>
      </c>
      <c r="L307" s="16">
        <v>488</v>
      </c>
      <c r="M307" s="16">
        <v>22250</v>
      </c>
      <c r="N307" s="16">
        <v>227</v>
      </c>
      <c r="O307" s="26">
        <f t="shared" si="20"/>
        <v>0.44226934928403122</v>
      </c>
      <c r="P307" s="13" t="str">
        <f t="shared" si="19"/>
        <v>Good</v>
      </c>
      <c r="Q307" s="13">
        <f t="shared" si="21"/>
        <v>0.2016494471633134</v>
      </c>
      <c r="R307" s="16">
        <v>1</v>
      </c>
      <c r="S307" s="49">
        <v>1</v>
      </c>
      <c r="T307" s="27">
        <f>IF(Table4[[#This Row],[Link clicks]]=0,0,Table4[[#This Row],[Amount spent ]]/Table4[[#This Row],[Link clicks]])</f>
        <v>9.243852459016394E-2</v>
      </c>
      <c r="U307" s="62" t="s">
        <v>407</v>
      </c>
      <c r="V307" s="1" t="s">
        <v>413</v>
      </c>
      <c r="W307" s="1">
        <v>9.9058135758363104E-3</v>
      </c>
    </row>
    <row r="308" spans="1:23" x14ac:dyDescent="0.25">
      <c r="A308" s="48" t="s">
        <v>68</v>
      </c>
      <c r="B308" s="12" t="s">
        <v>359</v>
      </c>
      <c r="C308" s="1" t="str">
        <f t="shared" si="18"/>
        <v>Oman Target Group</v>
      </c>
      <c r="D308" s="1" t="s">
        <v>73</v>
      </c>
      <c r="E308" s="12" t="s">
        <v>221</v>
      </c>
      <c r="F308" s="1" t="s">
        <v>78</v>
      </c>
      <c r="G308" s="1" t="s">
        <v>74</v>
      </c>
      <c r="H308" s="1" t="s">
        <v>94</v>
      </c>
      <c r="I308" s="16">
        <v>43575</v>
      </c>
      <c r="J308" s="16">
        <v>61468</v>
      </c>
      <c r="K308" s="63">
        <v>43.37</v>
      </c>
      <c r="L308" s="16">
        <v>844</v>
      </c>
      <c r="M308" s="16">
        <v>33837</v>
      </c>
      <c r="N308" s="16">
        <v>146</v>
      </c>
      <c r="O308" s="26">
        <f t="shared" si="20"/>
        <v>1.3730721676319386</v>
      </c>
      <c r="P308" s="13" t="str">
        <f t="shared" si="19"/>
        <v>Good</v>
      </c>
      <c r="Q308" s="13">
        <f t="shared" si="21"/>
        <v>0.55048155137632593</v>
      </c>
      <c r="R308" s="16">
        <v>1</v>
      </c>
      <c r="S308" s="49">
        <v>0.25</v>
      </c>
      <c r="T308" s="27">
        <f>IF(Table4[[#This Row],[Link clicks]]=0,0,Table4[[#This Row],[Amount spent ]]/Table4[[#This Row],[Link clicks]])</f>
        <v>5.1386255924170614E-2</v>
      </c>
      <c r="U308" s="62" t="s">
        <v>407</v>
      </c>
      <c r="V308" s="1" t="s">
        <v>413</v>
      </c>
      <c r="W308" s="1">
        <v>1.93689041881813E-2</v>
      </c>
    </row>
    <row r="309" spans="1:23" x14ac:dyDescent="0.25">
      <c r="A309" s="48" t="s">
        <v>68</v>
      </c>
      <c r="B309" s="12" t="s">
        <v>359</v>
      </c>
      <c r="C309" s="1" t="str">
        <f t="shared" si="18"/>
        <v>Oman Target Group</v>
      </c>
      <c r="D309" s="1" t="s">
        <v>73</v>
      </c>
      <c r="E309" s="12" t="s">
        <v>232</v>
      </c>
      <c r="F309" s="1" t="s">
        <v>78</v>
      </c>
      <c r="G309" s="1" t="s">
        <v>74</v>
      </c>
      <c r="H309" s="1" t="s">
        <v>75</v>
      </c>
      <c r="I309" s="16">
        <v>91948</v>
      </c>
      <c r="J309" s="16">
        <v>172397</v>
      </c>
      <c r="K309" s="63">
        <v>33.71</v>
      </c>
      <c r="L309" s="16">
        <v>34</v>
      </c>
      <c r="M309" s="16">
        <v>4018</v>
      </c>
      <c r="N309" s="16">
        <v>23</v>
      </c>
      <c r="O309" s="26">
        <f t="shared" si="20"/>
        <v>1.972192091509713E-2</v>
      </c>
      <c r="P309" s="13" t="str">
        <f t="shared" si="19"/>
        <v>Bad</v>
      </c>
      <c r="Q309" s="13">
        <f t="shared" si="21"/>
        <v>2.3306670069664786E-2</v>
      </c>
      <c r="R309" s="16">
        <v>0</v>
      </c>
      <c r="S309" s="49">
        <v>0</v>
      </c>
      <c r="T309" s="27">
        <f>IF(Table4[[#This Row],[Link clicks]]=0,0,Table4[[#This Row],[Amount spent ]]/Table4[[#This Row],[Link clicks]])</f>
        <v>0.9914705882352941</v>
      </c>
      <c r="U309" s="62" t="s">
        <v>407</v>
      </c>
      <c r="V309" s="1" t="s">
        <v>413</v>
      </c>
      <c r="W309" s="1">
        <v>3.6977422021142393E-4</v>
      </c>
    </row>
    <row r="310" spans="1:23" x14ac:dyDescent="0.25">
      <c r="A310" s="48" t="s">
        <v>68</v>
      </c>
      <c r="B310" s="12" t="s">
        <v>359</v>
      </c>
      <c r="C310" s="1" t="str">
        <f t="shared" si="18"/>
        <v>Oman Target Group</v>
      </c>
      <c r="D310" s="1" t="s">
        <v>73</v>
      </c>
      <c r="E310" s="12" t="s">
        <v>234</v>
      </c>
      <c r="F310" s="1" t="s">
        <v>77</v>
      </c>
      <c r="G310" s="1" t="s">
        <v>98</v>
      </c>
      <c r="H310" s="1" t="s">
        <v>94</v>
      </c>
      <c r="I310" s="16">
        <v>80462</v>
      </c>
      <c r="J310" s="16">
        <v>164052</v>
      </c>
      <c r="K310" s="63">
        <v>31.82</v>
      </c>
      <c r="L310" s="16">
        <v>406</v>
      </c>
      <c r="M310" s="16">
        <v>0</v>
      </c>
      <c r="N310" s="16">
        <v>0</v>
      </c>
      <c r="O310" s="26">
        <f t="shared" si="20"/>
        <v>0.2474825055470217</v>
      </c>
      <c r="P310" s="13" t="str">
        <f t="shared" si="19"/>
        <v>Good</v>
      </c>
      <c r="Q310" s="13">
        <f t="shared" si="21"/>
        <v>0</v>
      </c>
      <c r="R310" s="16">
        <v>0</v>
      </c>
      <c r="S310" s="49">
        <v>0</v>
      </c>
      <c r="T310" s="27">
        <f>IF(Table4[[#This Row],[Link clicks]]=0,0,Table4[[#This Row],[Amount spent ]]/Table4[[#This Row],[Link clicks]])</f>
        <v>7.837438423645321E-2</v>
      </c>
      <c r="U310" s="62" t="s">
        <v>407</v>
      </c>
      <c r="V310" s="1" t="s">
        <v>413</v>
      </c>
      <c r="W310" s="1">
        <v>5.0458601575899186E-3</v>
      </c>
    </row>
    <row r="311" spans="1:23" x14ac:dyDescent="0.25">
      <c r="A311" s="48" t="s">
        <v>68</v>
      </c>
      <c r="B311" s="12" t="s">
        <v>359</v>
      </c>
      <c r="C311" s="1" t="str">
        <f t="shared" si="18"/>
        <v>Oman Target Group</v>
      </c>
      <c r="D311" s="1" t="s">
        <v>73</v>
      </c>
      <c r="E311" s="12" t="s">
        <v>236</v>
      </c>
      <c r="F311" s="1" t="s">
        <v>78</v>
      </c>
      <c r="G311" s="1" t="s">
        <v>74</v>
      </c>
      <c r="H311" s="1" t="s">
        <v>94</v>
      </c>
      <c r="I311" s="16">
        <v>27256</v>
      </c>
      <c r="J311" s="16">
        <v>38553</v>
      </c>
      <c r="K311" s="63">
        <v>28.96</v>
      </c>
      <c r="L311" s="16">
        <v>527</v>
      </c>
      <c r="M311" s="16">
        <v>21324</v>
      </c>
      <c r="N311" s="16">
        <v>122</v>
      </c>
      <c r="O311" s="26">
        <f t="shared" si="20"/>
        <v>1.3669493943402589</v>
      </c>
      <c r="P311" s="13" t="str">
        <f t="shared" si="19"/>
        <v>Good</v>
      </c>
      <c r="Q311" s="13">
        <f t="shared" si="21"/>
        <v>0.55310870749358032</v>
      </c>
      <c r="R311" s="16">
        <v>0</v>
      </c>
      <c r="S311" s="49">
        <v>0</v>
      </c>
      <c r="T311" s="27">
        <f>IF(Table4[[#This Row],[Link clicks]]=0,0,Table4[[#This Row],[Amount spent ]]/Table4[[#This Row],[Link clicks]])</f>
        <v>5.4952561669829224E-2</v>
      </c>
      <c r="U311" s="62" t="s">
        <v>407</v>
      </c>
      <c r="V311" s="1" t="s">
        <v>413</v>
      </c>
      <c r="W311" s="1">
        <v>1.933519225124743E-2</v>
      </c>
    </row>
    <row r="312" spans="1:23" x14ac:dyDescent="0.25">
      <c r="A312" s="48" t="s">
        <v>68</v>
      </c>
      <c r="B312" s="12" t="s">
        <v>359</v>
      </c>
      <c r="C312" s="1" t="str">
        <f t="shared" si="18"/>
        <v>Oman Target Group</v>
      </c>
      <c r="D312" s="1" t="s">
        <v>73</v>
      </c>
      <c r="E312" s="12" t="s">
        <v>239</v>
      </c>
      <c r="F312" s="1" t="s">
        <v>77</v>
      </c>
      <c r="G312" s="1" t="s">
        <v>74</v>
      </c>
      <c r="H312" s="1" t="s">
        <v>94</v>
      </c>
      <c r="I312" s="16">
        <v>77953</v>
      </c>
      <c r="J312" s="16">
        <v>146290</v>
      </c>
      <c r="K312" s="63">
        <v>27.67</v>
      </c>
      <c r="L312" s="16">
        <v>263</v>
      </c>
      <c r="M312" s="16">
        <v>3962</v>
      </c>
      <c r="N312" s="16">
        <v>3238</v>
      </c>
      <c r="O312" s="26">
        <f t="shared" si="20"/>
        <v>0.17977988926105681</v>
      </c>
      <c r="P312" s="13" t="str">
        <f t="shared" si="19"/>
        <v>Bad</v>
      </c>
      <c r="Q312" s="13">
        <f t="shared" si="21"/>
        <v>2.7083190922140954E-2</v>
      </c>
      <c r="R312" s="16">
        <v>1</v>
      </c>
      <c r="S312" s="49">
        <v>0.33333332999999998</v>
      </c>
      <c r="T312" s="27">
        <f>IF(Table4[[#This Row],[Link clicks]]=0,0,Table4[[#This Row],[Amount spent ]]/Table4[[#This Row],[Link clicks]])</f>
        <v>0.10520912547528517</v>
      </c>
      <c r="U312" s="62" t="s">
        <v>407</v>
      </c>
      <c r="V312" s="1" t="s">
        <v>413</v>
      </c>
      <c r="W312" s="1">
        <v>3.3738278193270309E-3</v>
      </c>
    </row>
    <row r="313" spans="1:23" x14ac:dyDescent="0.25">
      <c r="A313" s="48" t="s">
        <v>68</v>
      </c>
      <c r="B313" s="12" t="s">
        <v>359</v>
      </c>
      <c r="C313" s="1" t="str">
        <f t="shared" si="18"/>
        <v>Oman Target Group</v>
      </c>
      <c r="D313" s="1" t="s">
        <v>73</v>
      </c>
      <c r="E313" s="12" t="s">
        <v>242</v>
      </c>
      <c r="F313" s="1" t="s">
        <v>77</v>
      </c>
      <c r="G313" s="1" t="s">
        <v>74</v>
      </c>
      <c r="H313" s="1" t="s">
        <v>75</v>
      </c>
      <c r="I313" s="16">
        <v>71626</v>
      </c>
      <c r="J313" s="16">
        <v>133304</v>
      </c>
      <c r="K313" s="63">
        <v>25.46</v>
      </c>
      <c r="L313" s="16">
        <v>52</v>
      </c>
      <c r="M313" s="16">
        <v>7184</v>
      </c>
      <c r="N313" s="16">
        <v>44</v>
      </c>
      <c r="O313" s="26">
        <f t="shared" si="20"/>
        <v>3.9008581888015363E-2</v>
      </c>
      <c r="P313" s="13" t="str">
        <f t="shared" si="19"/>
        <v>Bad</v>
      </c>
      <c r="Q313" s="13">
        <f t="shared" si="21"/>
        <v>5.389185620836584E-2</v>
      </c>
      <c r="R313" s="16">
        <v>0</v>
      </c>
      <c r="S313" s="49">
        <v>0</v>
      </c>
      <c r="T313" s="27">
        <f>IF(Table4[[#This Row],[Link clicks]]=0,0,Table4[[#This Row],[Amount spent ]]/Table4[[#This Row],[Link clicks]])</f>
        <v>0.48961538461538462</v>
      </c>
      <c r="U313" s="62" t="s">
        <v>407</v>
      </c>
      <c r="V313" s="1" t="s">
        <v>413</v>
      </c>
      <c r="W313" s="1">
        <v>7.2599335436852538E-4</v>
      </c>
    </row>
    <row r="314" spans="1:23" x14ac:dyDescent="0.25">
      <c r="A314" s="48" t="s">
        <v>68</v>
      </c>
      <c r="B314" s="12" t="s">
        <v>359</v>
      </c>
      <c r="C314" s="1" t="str">
        <f t="shared" si="18"/>
        <v>Oman Target Group</v>
      </c>
      <c r="D314" s="1" t="s">
        <v>73</v>
      </c>
      <c r="E314" s="12" t="s">
        <v>243</v>
      </c>
      <c r="F314" s="1" t="s">
        <v>78</v>
      </c>
      <c r="G314" s="1" t="s">
        <v>74</v>
      </c>
      <c r="H314" s="1" t="s">
        <v>94</v>
      </c>
      <c r="I314" s="16">
        <v>74543</v>
      </c>
      <c r="J314" s="16">
        <v>134861</v>
      </c>
      <c r="K314" s="63">
        <v>25.14</v>
      </c>
      <c r="L314" s="16">
        <v>446</v>
      </c>
      <c r="M314" s="16">
        <v>3661</v>
      </c>
      <c r="N314" s="16">
        <v>144</v>
      </c>
      <c r="O314" s="26">
        <f t="shared" si="20"/>
        <v>0.3307108800913533</v>
      </c>
      <c r="P314" s="13" t="str">
        <f t="shared" si="19"/>
        <v>Good</v>
      </c>
      <c r="Q314" s="13">
        <f t="shared" si="21"/>
        <v>2.7146469327678127E-2</v>
      </c>
      <c r="R314" s="16">
        <v>1</v>
      </c>
      <c r="S314" s="49">
        <v>1</v>
      </c>
      <c r="T314" s="27">
        <f>IF(Table4[[#This Row],[Link clicks]]=0,0,Table4[[#This Row],[Amount spent ]]/Table4[[#This Row],[Link clicks]])</f>
        <v>5.6367713004484309E-2</v>
      </c>
      <c r="U314" s="62" t="s">
        <v>407</v>
      </c>
      <c r="V314" s="1" t="s">
        <v>413</v>
      </c>
      <c r="W314" s="1">
        <v>5.9831238345652848E-3</v>
      </c>
    </row>
    <row r="315" spans="1:23" x14ac:dyDescent="0.25">
      <c r="A315" s="48" t="s">
        <v>68</v>
      </c>
      <c r="B315" s="12" t="s">
        <v>359</v>
      </c>
      <c r="C315" s="1" t="str">
        <f t="shared" si="18"/>
        <v>Oman Target Group</v>
      </c>
      <c r="D315" s="1" t="s">
        <v>73</v>
      </c>
      <c r="E315" s="12" t="s">
        <v>252</v>
      </c>
      <c r="F315" s="1" t="s">
        <v>77</v>
      </c>
      <c r="G315" s="1" t="s">
        <v>74</v>
      </c>
      <c r="H315" s="1" t="s">
        <v>75</v>
      </c>
      <c r="I315" s="16">
        <v>61166</v>
      </c>
      <c r="J315" s="16">
        <v>102413</v>
      </c>
      <c r="K315" s="63">
        <v>19.37</v>
      </c>
      <c r="L315" s="16">
        <v>36</v>
      </c>
      <c r="M315" s="16">
        <v>3034</v>
      </c>
      <c r="N315" s="16">
        <v>14</v>
      </c>
      <c r="O315" s="26">
        <f t="shared" si="20"/>
        <v>3.5151787370743946E-2</v>
      </c>
      <c r="P315" s="13" t="str">
        <f t="shared" si="19"/>
        <v>Bad</v>
      </c>
      <c r="Q315" s="13">
        <f t="shared" si="21"/>
        <v>2.9625145245232538E-2</v>
      </c>
      <c r="R315" s="16">
        <v>0</v>
      </c>
      <c r="S315" s="49">
        <v>0</v>
      </c>
      <c r="T315" s="27">
        <f>IF(Table4[[#This Row],[Link clicks]]=0,0,Table4[[#This Row],[Amount spent ]]/Table4[[#This Row],[Link clicks]])</f>
        <v>0.53805555555555562</v>
      </c>
      <c r="U315" s="62" t="s">
        <v>407</v>
      </c>
      <c r="V315" s="1" t="s">
        <v>413</v>
      </c>
      <c r="W315" s="1">
        <v>5.8856227315829052E-4</v>
      </c>
    </row>
    <row r="316" spans="1:23" x14ac:dyDescent="0.25">
      <c r="A316" s="48" t="s">
        <v>68</v>
      </c>
      <c r="B316" s="12" t="s">
        <v>359</v>
      </c>
      <c r="C316" s="1" t="str">
        <f t="shared" si="18"/>
        <v>Oman Target Group</v>
      </c>
      <c r="D316" s="1" t="s">
        <v>73</v>
      </c>
      <c r="E316" s="12" t="s">
        <v>253</v>
      </c>
      <c r="F316" s="1" t="s">
        <v>78</v>
      </c>
      <c r="G316" s="1" t="s">
        <v>98</v>
      </c>
      <c r="H316" s="1" t="s">
        <v>94</v>
      </c>
      <c r="I316" s="16">
        <v>48718</v>
      </c>
      <c r="J316" s="16">
        <v>98421</v>
      </c>
      <c r="K316" s="63">
        <v>18.920000000000002</v>
      </c>
      <c r="L316" s="16">
        <v>228</v>
      </c>
      <c r="M316" s="16">
        <v>0</v>
      </c>
      <c r="N316" s="16">
        <v>0</v>
      </c>
      <c r="O316" s="26">
        <f t="shared" si="20"/>
        <v>0.23165787789191333</v>
      </c>
      <c r="P316" s="13" t="str">
        <f t="shared" si="19"/>
        <v>Good</v>
      </c>
      <c r="Q316" s="13">
        <f t="shared" si="21"/>
        <v>0</v>
      </c>
      <c r="R316" s="16">
        <v>1</v>
      </c>
      <c r="S316" s="49">
        <v>1</v>
      </c>
      <c r="T316" s="27">
        <f>IF(Table4[[#This Row],[Link clicks]]=0,0,Table4[[#This Row],[Amount spent ]]/Table4[[#This Row],[Link clicks]])</f>
        <v>8.298245614035088E-2</v>
      </c>
      <c r="U316" s="62" t="s">
        <v>407</v>
      </c>
      <c r="V316" s="1" t="s">
        <v>413</v>
      </c>
      <c r="W316" s="1">
        <v>4.6799950736893959E-3</v>
      </c>
    </row>
    <row r="317" spans="1:23" x14ac:dyDescent="0.25">
      <c r="A317" s="48" t="s">
        <v>68</v>
      </c>
      <c r="B317" s="12" t="s">
        <v>359</v>
      </c>
      <c r="C317" s="1" t="str">
        <f t="shared" si="18"/>
        <v>Oman Target Group</v>
      </c>
      <c r="D317" s="1" t="s">
        <v>73</v>
      </c>
      <c r="E317" s="12" t="s">
        <v>254</v>
      </c>
      <c r="F317" s="1" t="s">
        <v>78</v>
      </c>
      <c r="G317" s="1" t="s">
        <v>74</v>
      </c>
      <c r="H317" s="1" t="s">
        <v>94</v>
      </c>
      <c r="I317" s="16">
        <v>46006</v>
      </c>
      <c r="J317" s="16">
        <v>99290</v>
      </c>
      <c r="K317" s="63">
        <v>18.84</v>
      </c>
      <c r="L317" s="16">
        <v>177</v>
      </c>
      <c r="M317" s="16">
        <v>1874</v>
      </c>
      <c r="N317" s="16">
        <v>1627</v>
      </c>
      <c r="O317" s="26">
        <f t="shared" si="20"/>
        <v>0.17826568637325008</v>
      </c>
      <c r="P317" s="13" t="str">
        <f t="shared" si="19"/>
        <v>Bad</v>
      </c>
      <c r="Q317" s="13">
        <f t="shared" si="21"/>
        <v>1.8874005438614162E-2</v>
      </c>
      <c r="R317" s="16">
        <v>17</v>
      </c>
      <c r="S317" s="49">
        <v>0.5</v>
      </c>
      <c r="T317" s="27">
        <f>IF(Table4[[#This Row],[Link clicks]]=0,0,Table4[[#This Row],[Amount spent ]]/Table4[[#This Row],[Link clicks]])</f>
        <v>0.1064406779661017</v>
      </c>
      <c r="U317" s="62" t="s">
        <v>407</v>
      </c>
      <c r="V317" s="1" t="s">
        <v>413</v>
      </c>
      <c r="W317" s="1">
        <v>3.8473242620527758E-3</v>
      </c>
    </row>
    <row r="318" spans="1:23" x14ac:dyDescent="0.25">
      <c r="A318" s="48" t="s">
        <v>68</v>
      </c>
      <c r="B318" s="12" t="s">
        <v>359</v>
      </c>
      <c r="C318" s="1" t="str">
        <f t="shared" si="18"/>
        <v>Oman Target Group</v>
      </c>
      <c r="D318" s="1" t="s">
        <v>73</v>
      </c>
      <c r="E318" s="12" t="s">
        <v>255</v>
      </c>
      <c r="F318" s="1" t="s">
        <v>77</v>
      </c>
      <c r="G318" s="1" t="s">
        <v>74</v>
      </c>
      <c r="H318" s="1" t="s">
        <v>94</v>
      </c>
      <c r="I318" s="16">
        <v>55552</v>
      </c>
      <c r="J318" s="16">
        <v>93929</v>
      </c>
      <c r="K318" s="63">
        <v>18.16</v>
      </c>
      <c r="L318" s="16">
        <v>314</v>
      </c>
      <c r="M318" s="16">
        <v>3532</v>
      </c>
      <c r="N318" s="16">
        <v>148</v>
      </c>
      <c r="O318" s="26">
        <f t="shared" si="20"/>
        <v>0.33429505264614762</v>
      </c>
      <c r="P318" s="13" t="str">
        <f t="shared" si="19"/>
        <v>Good</v>
      </c>
      <c r="Q318" s="13">
        <f t="shared" si="21"/>
        <v>3.7602870253063483E-2</v>
      </c>
      <c r="R318" s="16">
        <v>13</v>
      </c>
      <c r="S318" s="49">
        <v>0.28888889000000001</v>
      </c>
      <c r="T318" s="27">
        <f>IF(Table4[[#This Row],[Link clicks]]=0,0,Table4[[#This Row],[Amount spent ]]/Table4[[#This Row],[Link clicks]])</f>
        <v>5.7834394904458603E-2</v>
      </c>
      <c r="U318" s="62" t="s">
        <v>407</v>
      </c>
      <c r="V318" s="1" t="s">
        <v>413</v>
      </c>
      <c r="W318" s="1">
        <v>5.6523617511520744E-3</v>
      </c>
    </row>
    <row r="319" spans="1:23" x14ac:dyDescent="0.25">
      <c r="A319" s="48" t="s">
        <v>68</v>
      </c>
      <c r="B319" s="12" t="s">
        <v>359</v>
      </c>
      <c r="C319" s="1" t="str">
        <f t="shared" si="18"/>
        <v>Oman Target Group</v>
      </c>
      <c r="D319" s="1" t="s">
        <v>73</v>
      </c>
      <c r="E319" s="12" t="s">
        <v>256</v>
      </c>
      <c r="F319" s="1" t="s">
        <v>78</v>
      </c>
      <c r="G319" s="1" t="s">
        <v>98</v>
      </c>
      <c r="H319" s="1" t="s">
        <v>94</v>
      </c>
      <c r="I319" s="16">
        <v>48577</v>
      </c>
      <c r="J319" s="16">
        <v>83062</v>
      </c>
      <c r="K319" s="63">
        <v>16.7</v>
      </c>
      <c r="L319" s="16">
        <v>196</v>
      </c>
      <c r="M319" s="16">
        <v>0</v>
      </c>
      <c r="N319" s="16">
        <v>0</v>
      </c>
      <c r="O319" s="26">
        <f t="shared" si="20"/>
        <v>0.2359683128265633</v>
      </c>
      <c r="P319" s="13" t="str">
        <f t="shared" si="19"/>
        <v>Good</v>
      </c>
      <c r="Q319" s="13">
        <f t="shared" si="21"/>
        <v>0</v>
      </c>
      <c r="R319" s="16">
        <v>0</v>
      </c>
      <c r="S319" s="49">
        <v>0</v>
      </c>
      <c r="T319" s="27">
        <f>IF(Table4[[#This Row],[Link clicks]]=0,0,Table4[[#This Row],[Amount spent ]]/Table4[[#This Row],[Link clicks]])</f>
        <v>8.5204081632653056E-2</v>
      </c>
      <c r="U319" s="62" t="s">
        <v>407</v>
      </c>
      <c r="V319" s="1" t="s">
        <v>413</v>
      </c>
      <c r="W319" s="1">
        <v>4.0348312987627888E-3</v>
      </c>
    </row>
    <row r="320" spans="1:23" x14ac:dyDescent="0.25">
      <c r="A320" s="48" t="s">
        <v>68</v>
      </c>
      <c r="B320" s="12" t="s">
        <v>359</v>
      </c>
      <c r="C320" s="1" t="str">
        <f t="shared" si="18"/>
        <v>Oman Target Group</v>
      </c>
      <c r="D320" s="1" t="s">
        <v>73</v>
      </c>
      <c r="E320" s="12" t="s">
        <v>257</v>
      </c>
      <c r="F320" s="1" t="s">
        <v>78</v>
      </c>
      <c r="G320" s="1" t="s">
        <v>74</v>
      </c>
      <c r="H320" s="1" t="s">
        <v>92</v>
      </c>
      <c r="I320" s="16">
        <v>48014</v>
      </c>
      <c r="J320" s="16">
        <v>84105</v>
      </c>
      <c r="K320" s="63">
        <v>16.02</v>
      </c>
      <c r="L320" s="16">
        <v>294</v>
      </c>
      <c r="M320" s="16">
        <v>4125</v>
      </c>
      <c r="N320" s="16">
        <v>179</v>
      </c>
      <c r="O320" s="26">
        <f t="shared" si="20"/>
        <v>0.3495630461922597</v>
      </c>
      <c r="P320" s="13" t="str">
        <f t="shared" si="19"/>
        <v>Good</v>
      </c>
      <c r="Q320" s="13">
        <f t="shared" si="21"/>
        <v>4.9045835562689495E-2</v>
      </c>
      <c r="R320" s="16">
        <v>0</v>
      </c>
      <c r="S320" s="49">
        <v>0</v>
      </c>
      <c r="T320" s="27">
        <f>IF(Table4[[#This Row],[Link clicks]]=0,0,Table4[[#This Row],[Amount spent ]]/Table4[[#This Row],[Link clicks]])</f>
        <v>5.4489795918367348E-2</v>
      </c>
      <c r="U320" s="62" t="s">
        <v>407</v>
      </c>
      <c r="V320" s="1" t="s">
        <v>413</v>
      </c>
      <c r="W320" s="1">
        <v>6.1232140625650851E-3</v>
      </c>
    </row>
    <row r="321" spans="1:23" x14ac:dyDescent="0.25">
      <c r="A321" s="48" t="s">
        <v>68</v>
      </c>
      <c r="B321" s="12" t="s">
        <v>359</v>
      </c>
      <c r="C321" s="1" t="str">
        <f t="shared" si="18"/>
        <v>Oman Target Group</v>
      </c>
      <c r="D321" s="1" t="s">
        <v>73</v>
      </c>
      <c r="E321" s="12" t="s">
        <v>260</v>
      </c>
      <c r="F321" s="1" t="s">
        <v>77</v>
      </c>
      <c r="G321" s="1" t="s">
        <v>74</v>
      </c>
      <c r="H321" s="1" t="s">
        <v>94</v>
      </c>
      <c r="I321" s="16">
        <v>49201</v>
      </c>
      <c r="J321" s="16">
        <v>80609</v>
      </c>
      <c r="K321" s="63">
        <v>15.25</v>
      </c>
      <c r="L321" s="16">
        <v>280</v>
      </c>
      <c r="M321" s="16">
        <v>2675</v>
      </c>
      <c r="N321" s="16">
        <v>76</v>
      </c>
      <c r="O321" s="26">
        <f t="shared" si="20"/>
        <v>0.34735575432023719</v>
      </c>
      <c r="P321" s="13" t="str">
        <f t="shared" si="19"/>
        <v>Good</v>
      </c>
      <c r="Q321" s="13">
        <f t="shared" si="21"/>
        <v>3.3184880100236944E-2</v>
      </c>
      <c r="R321" s="16">
        <v>0</v>
      </c>
      <c r="S321" s="49">
        <v>0</v>
      </c>
      <c r="T321" s="27">
        <f>IF(Table4[[#This Row],[Link clicks]]=0,0,Table4[[#This Row],[Amount spent ]]/Table4[[#This Row],[Link clicks]])</f>
        <v>5.4464285714285715E-2</v>
      </c>
      <c r="U321" s="62" t="s">
        <v>407</v>
      </c>
      <c r="V321" s="1" t="s">
        <v>413</v>
      </c>
      <c r="W321" s="1">
        <v>5.6909412410316874E-3</v>
      </c>
    </row>
    <row r="322" spans="1:23" x14ac:dyDescent="0.25">
      <c r="A322" s="48" t="s">
        <v>68</v>
      </c>
      <c r="B322" s="12" t="s">
        <v>359</v>
      </c>
      <c r="C322" s="1" t="str">
        <f t="shared" ref="C322:C385" si="22">IF(A322 = "AE","United Arab Emirates Target Group",IF(A322 = "BAH","Bahrain Target Group",IF(A322="JED","Jeddah Target Group",IF(A322="KWT","Kuwait Target Group",IF(A322="QAT","Qatar Target Group",IF(A322="RIY","Riyadh Target Group","Oman Target Group"))))))</f>
        <v>Oman Target Group</v>
      </c>
      <c r="D322" s="1" t="s">
        <v>73</v>
      </c>
      <c r="E322" s="12" t="s">
        <v>268</v>
      </c>
      <c r="F322" s="1" t="s">
        <v>78</v>
      </c>
      <c r="G322" s="1" t="s">
        <v>74</v>
      </c>
      <c r="H322" s="1" t="s">
        <v>92</v>
      </c>
      <c r="I322" s="16">
        <v>37920</v>
      </c>
      <c r="J322" s="16">
        <v>60724</v>
      </c>
      <c r="K322" s="63">
        <v>11.17</v>
      </c>
      <c r="L322" s="16">
        <v>135</v>
      </c>
      <c r="M322" s="16">
        <v>1882</v>
      </c>
      <c r="N322" s="16">
        <v>43</v>
      </c>
      <c r="O322" s="26">
        <f t="shared" si="20"/>
        <v>0.22231737039720706</v>
      </c>
      <c r="P322" s="13" t="str">
        <f t="shared" ref="P322:P385" si="23">IF(O322&gt;0.2,"Good","Bad")</f>
        <v>Good</v>
      </c>
      <c r="Q322" s="13">
        <f t="shared" si="21"/>
        <v>3.0992688228706936E-2</v>
      </c>
      <c r="R322" s="16">
        <v>0</v>
      </c>
      <c r="S322" s="49">
        <v>0</v>
      </c>
      <c r="T322" s="27">
        <f>IF(Table4[[#This Row],[Link clicks]]=0,0,Table4[[#This Row],[Amount spent ]]/Table4[[#This Row],[Link clicks]])</f>
        <v>8.274074074074074E-2</v>
      </c>
      <c r="U322" s="62" t="s">
        <v>407</v>
      </c>
      <c r="V322" s="1" t="s">
        <v>413</v>
      </c>
      <c r="W322" s="1">
        <v>3.5601265822784809E-3</v>
      </c>
    </row>
    <row r="323" spans="1:23" x14ac:dyDescent="0.25">
      <c r="A323" s="48" t="s">
        <v>68</v>
      </c>
      <c r="B323" s="12" t="s">
        <v>359</v>
      </c>
      <c r="C323" s="1" t="str">
        <f t="shared" si="22"/>
        <v>Oman Target Group</v>
      </c>
      <c r="D323" s="1" t="s">
        <v>73</v>
      </c>
      <c r="E323" s="12" t="s">
        <v>270</v>
      </c>
      <c r="F323" s="1" t="s">
        <v>78</v>
      </c>
      <c r="G323" s="1" t="s">
        <v>74</v>
      </c>
      <c r="H323" s="1" t="s">
        <v>75</v>
      </c>
      <c r="I323" s="16">
        <v>39672</v>
      </c>
      <c r="J323" s="16">
        <v>52086</v>
      </c>
      <c r="K323" s="63">
        <v>10.29</v>
      </c>
      <c r="L323" s="16">
        <v>35</v>
      </c>
      <c r="M323" s="16">
        <v>2679</v>
      </c>
      <c r="N323" s="16">
        <v>62</v>
      </c>
      <c r="O323" s="26">
        <f t="shared" ref="O323:O386" si="24">IF(J323=0,0,(L323/J323)*100)</f>
        <v>6.7196559536151751E-2</v>
      </c>
      <c r="P323" s="13" t="str">
        <f t="shared" si="23"/>
        <v>Bad</v>
      </c>
      <c r="Q323" s="13">
        <f t="shared" si="21"/>
        <v>5.1434166570671583E-2</v>
      </c>
      <c r="R323" s="16">
        <v>0</v>
      </c>
      <c r="S323" s="49">
        <v>0</v>
      </c>
      <c r="T323" s="27">
        <f>IF(Table4[[#This Row],[Link clicks]]=0,0,Table4[[#This Row],[Amount spent ]]/Table4[[#This Row],[Link clicks]])</f>
        <v>0.29399999999999998</v>
      </c>
      <c r="U323" s="62" t="s">
        <v>407</v>
      </c>
      <c r="V323" s="1" t="s">
        <v>413</v>
      </c>
      <c r="W323" s="1">
        <v>8.8223432143577337E-4</v>
      </c>
    </row>
    <row r="324" spans="1:23" x14ac:dyDescent="0.25">
      <c r="A324" s="48" t="s">
        <v>68</v>
      </c>
      <c r="B324" s="12" t="s">
        <v>359</v>
      </c>
      <c r="C324" s="1" t="str">
        <f t="shared" si="22"/>
        <v>Oman Target Group</v>
      </c>
      <c r="D324" s="1" t="s">
        <v>73</v>
      </c>
      <c r="E324" s="12" t="s">
        <v>273</v>
      </c>
      <c r="F324" s="1" t="s">
        <v>77</v>
      </c>
      <c r="G324" s="1" t="s">
        <v>118</v>
      </c>
      <c r="H324" s="1" t="s">
        <v>75</v>
      </c>
      <c r="I324" s="16">
        <v>19820</v>
      </c>
      <c r="J324" s="16">
        <v>46822</v>
      </c>
      <c r="K324" s="63">
        <v>9.48</v>
      </c>
      <c r="L324" s="16">
        <v>11</v>
      </c>
      <c r="M324" s="16">
        <v>570</v>
      </c>
      <c r="N324" s="16">
        <v>115</v>
      </c>
      <c r="O324" s="26">
        <f t="shared" si="24"/>
        <v>2.3493229678356327E-2</v>
      </c>
      <c r="P324" s="13" t="str">
        <f t="shared" si="23"/>
        <v>Bad</v>
      </c>
      <c r="Q324" s="13">
        <f t="shared" si="21"/>
        <v>1.2173764469693734E-2</v>
      </c>
      <c r="R324" s="16">
        <v>0</v>
      </c>
      <c r="S324" s="49">
        <v>0</v>
      </c>
      <c r="T324" s="27">
        <f>IF(Table4[[#This Row],[Link clicks]]=0,0,Table4[[#This Row],[Amount spent ]]/Table4[[#This Row],[Link clicks]])</f>
        <v>0.86181818181818182</v>
      </c>
      <c r="U324" s="62" t="s">
        <v>407</v>
      </c>
      <c r="V324" s="1" t="s">
        <v>413</v>
      </c>
      <c r="W324" s="1">
        <v>5.5499495459132185E-4</v>
      </c>
    </row>
    <row r="325" spans="1:23" x14ac:dyDescent="0.25">
      <c r="A325" s="48" t="s">
        <v>68</v>
      </c>
      <c r="B325" s="12" t="s">
        <v>359</v>
      </c>
      <c r="C325" s="1" t="str">
        <f t="shared" si="22"/>
        <v>Oman Target Group</v>
      </c>
      <c r="D325" s="1" t="s">
        <v>73</v>
      </c>
      <c r="E325" s="12" t="s">
        <v>275</v>
      </c>
      <c r="F325" s="1" t="s">
        <v>77</v>
      </c>
      <c r="G325" s="1" t="s">
        <v>74</v>
      </c>
      <c r="H325" s="1" t="s">
        <v>75</v>
      </c>
      <c r="I325" s="16">
        <v>31575</v>
      </c>
      <c r="J325" s="16">
        <v>45649</v>
      </c>
      <c r="K325" s="63">
        <v>8.51</v>
      </c>
      <c r="L325" s="16">
        <v>20</v>
      </c>
      <c r="M325" s="16">
        <v>2600</v>
      </c>
      <c r="N325" s="16">
        <v>57</v>
      </c>
      <c r="O325" s="26">
        <f t="shared" si="24"/>
        <v>4.3812569826283163E-2</v>
      </c>
      <c r="P325" s="13" t="str">
        <f t="shared" si="23"/>
        <v>Bad</v>
      </c>
      <c r="Q325" s="13">
        <f t="shared" si="21"/>
        <v>5.6956340774168106E-2</v>
      </c>
      <c r="R325" s="16">
        <v>0</v>
      </c>
      <c r="S325" s="49">
        <v>0</v>
      </c>
      <c r="T325" s="27">
        <f>IF(Table4[[#This Row],[Link clicks]]=0,0,Table4[[#This Row],[Amount spent ]]/Table4[[#This Row],[Link clicks]])</f>
        <v>0.42549999999999999</v>
      </c>
      <c r="U325" s="62" t="s">
        <v>407</v>
      </c>
      <c r="V325" s="1" t="s">
        <v>413</v>
      </c>
      <c r="W325" s="1">
        <v>6.334125098970705E-4</v>
      </c>
    </row>
    <row r="326" spans="1:23" x14ac:dyDescent="0.25">
      <c r="A326" s="48" t="s">
        <v>68</v>
      </c>
      <c r="B326" s="12" t="s">
        <v>359</v>
      </c>
      <c r="C326" s="1" t="str">
        <f t="shared" si="22"/>
        <v>Oman Target Group</v>
      </c>
      <c r="D326" s="1" t="s">
        <v>73</v>
      </c>
      <c r="E326" s="12" t="s">
        <v>276</v>
      </c>
      <c r="F326" s="1" t="s">
        <v>77</v>
      </c>
      <c r="G326" s="1" t="s">
        <v>74</v>
      </c>
      <c r="H326" s="1" t="s">
        <v>92</v>
      </c>
      <c r="I326" s="16">
        <v>28208</v>
      </c>
      <c r="J326" s="16">
        <v>44517</v>
      </c>
      <c r="K326" s="63">
        <v>8.36</v>
      </c>
      <c r="L326" s="16">
        <v>92</v>
      </c>
      <c r="M326" s="16">
        <v>1550</v>
      </c>
      <c r="N326" s="16">
        <v>36</v>
      </c>
      <c r="O326" s="26">
        <f t="shared" si="24"/>
        <v>0.2066626232675158</v>
      </c>
      <c r="P326" s="13" t="str">
        <f t="shared" si="23"/>
        <v>Good</v>
      </c>
      <c r="Q326" s="13">
        <f t="shared" si="21"/>
        <v>3.4818159354853204E-2</v>
      </c>
      <c r="R326" s="16">
        <v>0</v>
      </c>
      <c r="S326" s="49">
        <v>0</v>
      </c>
      <c r="T326" s="27">
        <f>IF(Table4[[#This Row],[Link clicks]]=0,0,Table4[[#This Row],[Amount spent ]]/Table4[[#This Row],[Link clicks]])</f>
        <v>9.0869565217391299E-2</v>
      </c>
      <c r="U326" s="62" t="s">
        <v>407</v>
      </c>
      <c r="V326" s="1" t="s">
        <v>413</v>
      </c>
      <c r="W326" s="1">
        <v>3.2614861032331248E-3</v>
      </c>
    </row>
    <row r="327" spans="1:23" x14ac:dyDescent="0.25">
      <c r="A327" s="48" t="s">
        <v>68</v>
      </c>
      <c r="B327" s="12" t="s">
        <v>359</v>
      </c>
      <c r="C327" s="1" t="str">
        <f t="shared" si="22"/>
        <v>Oman Target Group</v>
      </c>
      <c r="D327" s="1" t="s">
        <v>73</v>
      </c>
      <c r="E327" s="12" t="s">
        <v>279</v>
      </c>
      <c r="F327" s="1" t="s">
        <v>77</v>
      </c>
      <c r="G327" s="1" t="s">
        <v>118</v>
      </c>
      <c r="H327" s="1" t="s">
        <v>94</v>
      </c>
      <c r="I327" s="16">
        <v>23520</v>
      </c>
      <c r="J327" s="16">
        <v>33987</v>
      </c>
      <c r="K327" s="63">
        <v>7.29</v>
      </c>
      <c r="L327" s="16">
        <v>79</v>
      </c>
      <c r="M327" s="16">
        <v>1089</v>
      </c>
      <c r="N327" s="16">
        <v>1124</v>
      </c>
      <c r="O327" s="26">
        <f t="shared" si="24"/>
        <v>0.23244181598846619</v>
      </c>
      <c r="P327" s="13" t="str">
        <f t="shared" si="23"/>
        <v>Good</v>
      </c>
      <c r="Q327" s="13">
        <f t="shared" si="21"/>
        <v>3.2041662988789833E-2</v>
      </c>
      <c r="R327" s="16">
        <v>0</v>
      </c>
      <c r="S327" s="49">
        <v>0</v>
      </c>
      <c r="T327" s="27">
        <f>IF(Table4[[#This Row],[Link clicks]]=0,0,Table4[[#This Row],[Amount spent ]]/Table4[[#This Row],[Link clicks]])</f>
        <v>9.2278481012658231E-2</v>
      </c>
      <c r="U327" s="62" t="s">
        <v>407</v>
      </c>
      <c r="V327" s="1" t="s">
        <v>413</v>
      </c>
      <c r="W327" s="1">
        <v>3.3588435374149661E-3</v>
      </c>
    </row>
    <row r="328" spans="1:23" x14ac:dyDescent="0.25">
      <c r="A328" s="48" t="s">
        <v>68</v>
      </c>
      <c r="B328" s="12" t="s">
        <v>359</v>
      </c>
      <c r="C328" s="1" t="str">
        <f t="shared" si="22"/>
        <v>Oman Target Group</v>
      </c>
      <c r="D328" s="1" t="s">
        <v>73</v>
      </c>
      <c r="E328" s="12" t="s">
        <v>280</v>
      </c>
      <c r="F328" s="1" t="s">
        <v>77</v>
      </c>
      <c r="G328" s="1" t="s">
        <v>74</v>
      </c>
      <c r="H328" s="1" t="s">
        <v>92</v>
      </c>
      <c r="I328" s="16">
        <v>26999</v>
      </c>
      <c r="J328" s="16">
        <v>38773</v>
      </c>
      <c r="K328" s="63">
        <v>7.19</v>
      </c>
      <c r="L328" s="16">
        <v>102</v>
      </c>
      <c r="M328" s="16">
        <v>1858</v>
      </c>
      <c r="N328" s="16">
        <v>61</v>
      </c>
      <c r="O328" s="26">
        <f t="shared" si="24"/>
        <v>0.26306966187811104</v>
      </c>
      <c r="P328" s="13" t="str">
        <f t="shared" si="23"/>
        <v>Good</v>
      </c>
      <c r="Q328" s="13">
        <f t="shared" si="21"/>
        <v>4.7919944291130424E-2</v>
      </c>
      <c r="R328" s="16">
        <v>785957</v>
      </c>
      <c r="S328" s="50">
        <v>0.17758024</v>
      </c>
      <c r="T328" s="27">
        <f>IF(Table4[[#This Row],[Link clicks]]=0,0,Table4[[#This Row],[Amount spent ]]/Table4[[#This Row],[Link clicks]])</f>
        <v>7.0490196078431377E-2</v>
      </c>
      <c r="U328" s="62" t="s">
        <v>407</v>
      </c>
      <c r="V328" s="1" t="s">
        <v>413</v>
      </c>
      <c r="W328" s="1">
        <v>3.77791770065558E-3</v>
      </c>
    </row>
    <row r="329" spans="1:23" x14ac:dyDescent="0.25">
      <c r="A329" s="48" t="s">
        <v>68</v>
      </c>
      <c r="B329" s="12" t="s">
        <v>359</v>
      </c>
      <c r="C329" s="1" t="str">
        <f t="shared" si="22"/>
        <v>Oman Target Group</v>
      </c>
      <c r="D329" s="1" t="s">
        <v>73</v>
      </c>
      <c r="E329" s="12" t="s">
        <v>283</v>
      </c>
      <c r="F329" s="1" t="s">
        <v>77</v>
      </c>
      <c r="G329" s="1" t="s">
        <v>74</v>
      </c>
      <c r="H329" s="1" t="s">
        <v>92</v>
      </c>
      <c r="I329" s="16">
        <v>8622</v>
      </c>
      <c r="J329" s="16">
        <v>17491</v>
      </c>
      <c r="K329" s="63">
        <v>6.87</v>
      </c>
      <c r="L329" s="16">
        <v>62</v>
      </c>
      <c r="M329" s="16">
        <v>2980</v>
      </c>
      <c r="N329" s="16">
        <v>16</v>
      </c>
      <c r="O329" s="26">
        <f t="shared" si="24"/>
        <v>0.35446801212051915</v>
      </c>
      <c r="P329" s="13" t="str">
        <f t="shared" si="23"/>
        <v>Good</v>
      </c>
      <c r="Q329" s="13">
        <f t="shared" si="21"/>
        <v>0.17037333485792694</v>
      </c>
      <c r="R329" s="16">
        <v>659371</v>
      </c>
      <c r="S329" s="50">
        <v>0.14171162000000001</v>
      </c>
      <c r="T329" s="27">
        <f>IF(Table4[[#This Row],[Link clicks]]=0,0,Table4[[#This Row],[Amount spent ]]/Table4[[#This Row],[Link clicks]])</f>
        <v>0.11080645161290323</v>
      </c>
      <c r="U329" s="62" t="s">
        <v>407</v>
      </c>
      <c r="V329" s="1" t="s">
        <v>413</v>
      </c>
      <c r="W329" s="1">
        <v>7.1909069821387136E-3</v>
      </c>
    </row>
    <row r="330" spans="1:23" x14ac:dyDescent="0.25">
      <c r="A330" s="48" t="s">
        <v>68</v>
      </c>
      <c r="B330" s="12" t="s">
        <v>359</v>
      </c>
      <c r="C330" s="1" t="str">
        <f t="shared" si="22"/>
        <v>Oman Target Group</v>
      </c>
      <c r="D330" s="1" t="s">
        <v>73</v>
      </c>
      <c r="E330" s="12" t="s">
        <v>286</v>
      </c>
      <c r="F330" s="1" t="s">
        <v>78</v>
      </c>
      <c r="G330" s="1" t="s">
        <v>118</v>
      </c>
      <c r="H330" s="1" t="s">
        <v>94</v>
      </c>
      <c r="I330" s="16">
        <v>17124</v>
      </c>
      <c r="J330" s="16">
        <v>23110</v>
      </c>
      <c r="K330" s="63">
        <v>4.78</v>
      </c>
      <c r="L330" s="16">
        <v>43</v>
      </c>
      <c r="M330" s="16">
        <v>827</v>
      </c>
      <c r="N330" s="16">
        <v>851</v>
      </c>
      <c r="O330" s="26">
        <f t="shared" si="24"/>
        <v>0.18606663781912591</v>
      </c>
      <c r="P330" s="13" t="str">
        <f t="shared" si="23"/>
        <v>Bad</v>
      </c>
      <c r="Q330" s="13">
        <f t="shared" si="21"/>
        <v>3.5785374296841192E-2</v>
      </c>
      <c r="R330" s="16">
        <v>175728</v>
      </c>
      <c r="S330" s="50">
        <v>6.2493979999999998E-2</v>
      </c>
      <c r="T330" s="27">
        <f>IF(Table4[[#This Row],[Link clicks]]=0,0,Table4[[#This Row],[Amount spent ]]/Table4[[#This Row],[Link clicks]])</f>
        <v>0.11116279069767443</v>
      </c>
      <c r="U330" s="62" t="s">
        <v>407</v>
      </c>
      <c r="V330" s="1" t="s">
        <v>413</v>
      </c>
      <c r="W330" s="1">
        <v>2.5110955384256011E-3</v>
      </c>
    </row>
    <row r="331" spans="1:23" x14ac:dyDescent="0.25">
      <c r="A331" s="48" t="s">
        <v>68</v>
      </c>
      <c r="B331" s="12" t="s">
        <v>359</v>
      </c>
      <c r="C331" s="1" t="str">
        <f t="shared" si="22"/>
        <v>Oman Target Group</v>
      </c>
      <c r="D331" s="1" t="s">
        <v>73</v>
      </c>
      <c r="E331" s="12" t="s">
        <v>287</v>
      </c>
      <c r="F331" s="1" t="s">
        <v>78</v>
      </c>
      <c r="G331" s="1" t="s">
        <v>74</v>
      </c>
      <c r="H331" s="1" t="s">
        <v>94</v>
      </c>
      <c r="I331" s="16">
        <v>8357</v>
      </c>
      <c r="J331" s="16">
        <v>10694</v>
      </c>
      <c r="K331" s="63">
        <v>4.76</v>
      </c>
      <c r="L331" s="16">
        <v>99</v>
      </c>
      <c r="M331" s="16">
        <v>2174</v>
      </c>
      <c r="N331" s="16">
        <v>20</v>
      </c>
      <c r="O331" s="26">
        <f t="shared" si="24"/>
        <v>0.92575275855619976</v>
      </c>
      <c r="P331" s="13" t="str">
        <f t="shared" si="23"/>
        <v>Good</v>
      </c>
      <c r="Q331" s="13">
        <f t="shared" si="21"/>
        <v>0.20329156536375537</v>
      </c>
      <c r="R331" s="16">
        <v>104231</v>
      </c>
      <c r="S331" s="50">
        <v>4.1320059999999999E-2</v>
      </c>
      <c r="T331" s="27">
        <f>IF(Table4[[#This Row],[Link clicks]]=0,0,Table4[[#This Row],[Amount spent ]]/Table4[[#This Row],[Link clicks]])</f>
        <v>4.8080808080808078E-2</v>
      </c>
      <c r="U331" s="62" t="s">
        <v>407</v>
      </c>
      <c r="V331" s="1" t="s">
        <v>413</v>
      </c>
      <c r="W331" s="1">
        <v>1.184635634797176E-2</v>
      </c>
    </row>
    <row r="332" spans="1:23" x14ac:dyDescent="0.25">
      <c r="A332" s="48" t="s">
        <v>68</v>
      </c>
      <c r="B332" s="12" t="s">
        <v>359</v>
      </c>
      <c r="C332" s="1" t="str">
        <f t="shared" si="22"/>
        <v>Oman Target Group</v>
      </c>
      <c r="D332" s="1" t="s">
        <v>73</v>
      </c>
      <c r="E332" s="12" t="s">
        <v>289</v>
      </c>
      <c r="F332" s="1" t="s">
        <v>78</v>
      </c>
      <c r="G332" s="1" t="s">
        <v>74</v>
      </c>
      <c r="H332" s="1" t="s">
        <v>92</v>
      </c>
      <c r="I332" s="16">
        <v>5610</v>
      </c>
      <c r="J332" s="16">
        <v>9061</v>
      </c>
      <c r="K332" s="63">
        <v>3.54</v>
      </c>
      <c r="L332" s="16">
        <v>52</v>
      </c>
      <c r="M332" s="16">
        <v>1659</v>
      </c>
      <c r="N332" s="16">
        <v>8</v>
      </c>
      <c r="O332" s="26">
        <f t="shared" si="24"/>
        <v>0.57388809182209477</v>
      </c>
      <c r="P332" s="13" t="str">
        <f t="shared" si="23"/>
        <v>Good</v>
      </c>
      <c r="Q332" s="13">
        <f t="shared" si="21"/>
        <v>0.18309237391016445</v>
      </c>
      <c r="R332" s="16">
        <v>4587</v>
      </c>
      <c r="S332" s="50">
        <v>1.7089799999999999E-3</v>
      </c>
      <c r="T332" s="27">
        <f>IF(Table4[[#This Row],[Link clicks]]=0,0,Table4[[#This Row],[Amount spent ]]/Table4[[#This Row],[Link clicks]])</f>
        <v>6.8076923076923077E-2</v>
      </c>
      <c r="U332" s="62" t="s">
        <v>407</v>
      </c>
      <c r="V332" s="1" t="s">
        <v>413</v>
      </c>
      <c r="W332" s="1">
        <v>9.2691622103386814E-3</v>
      </c>
    </row>
    <row r="333" spans="1:23" x14ac:dyDescent="0.25">
      <c r="A333" s="48" t="s">
        <v>68</v>
      </c>
      <c r="B333" s="12" t="s">
        <v>359</v>
      </c>
      <c r="C333" s="1" t="str">
        <f t="shared" si="22"/>
        <v>Oman Target Group</v>
      </c>
      <c r="D333" s="1" t="s">
        <v>73</v>
      </c>
      <c r="E333" s="12" t="s">
        <v>290</v>
      </c>
      <c r="F333" s="1" t="s">
        <v>77</v>
      </c>
      <c r="G333" s="1" t="s">
        <v>74</v>
      </c>
      <c r="H333" s="1" t="s">
        <v>94</v>
      </c>
      <c r="I333" s="16">
        <v>5596</v>
      </c>
      <c r="J333" s="16">
        <v>6104</v>
      </c>
      <c r="K333" s="63">
        <v>3.51</v>
      </c>
      <c r="L333" s="16">
        <v>96</v>
      </c>
      <c r="M333" s="16">
        <v>2533</v>
      </c>
      <c r="N333" s="16">
        <v>5</v>
      </c>
      <c r="O333" s="26">
        <f t="shared" si="24"/>
        <v>1.5727391874180863</v>
      </c>
      <c r="P333" s="13" t="str">
        <f t="shared" si="23"/>
        <v>Good</v>
      </c>
      <c r="Q333" s="13">
        <f t="shared" si="21"/>
        <v>0.4149737876802097</v>
      </c>
      <c r="R333" s="16">
        <v>165518</v>
      </c>
      <c r="S333" s="50">
        <v>0.20617742999999999</v>
      </c>
      <c r="T333" s="27">
        <f>IF(Table4[[#This Row],[Link clicks]]=0,0,Table4[[#This Row],[Amount spent ]]/Table4[[#This Row],[Link clicks]])</f>
        <v>3.6562499999999998E-2</v>
      </c>
      <c r="U333" s="62" t="s">
        <v>407</v>
      </c>
      <c r="V333" s="1" t="s">
        <v>413</v>
      </c>
      <c r="W333" s="1">
        <v>1.7155110793423869E-2</v>
      </c>
    </row>
    <row r="334" spans="1:23" x14ac:dyDescent="0.25">
      <c r="A334" s="48" t="s">
        <v>68</v>
      </c>
      <c r="B334" s="12" t="s">
        <v>359</v>
      </c>
      <c r="C334" s="1" t="str">
        <f t="shared" si="22"/>
        <v>Oman Target Group</v>
      </c>
      <c r="D334" s="1" t="s">
        <v>73</v>
      </c>
      <c r="E334" s="12" t="s">
        <v>291</v>
      </c>
      <c r="F334" s="1" t="s">
        <v>77</v>
      </c>
      <c r="G334" s="1" t="s">
        <v>74</v>
      </c>
      <c r="H334" s="1" t="s">
        <v>94</v>
      </c>
      <c r="I334" s="16">
        <v>2495</v>
      </c>
      <c r="J334" s="16">
        <v>3143</v>
      </c>
      <c r="K334" s="63">
        <v>1.63</v>
      </c>
      <c r="L334" s="16">
        <v>14</v>
      </c>
      <c r="M334" s="16">
        <v>970</v>
      </c>
      <c r="N334" s="16">
        <v>833</v>
      </c>
      <c r="O334" s="26">
        <f t="shared" si="24"/>
        <v>0.44543429844097993</v>
      </c>
      <c r="P334" s="13" t="str">
        <f t="shared" si="23"/>
        <v>Good</v>
      </c>
      <c r="Q334" s="13">
        <f t="shared" si="21"/>
        <v>0.30862233534839323</v>
      </c>
      <c r="R334" s="16">
        <v>2913</v>
      </c>
      <c r="S334" s="50">
        <v>1.88197E-3</v>
      </c>
      <c r="T334" s="27">
        <f>IF(Table4[[#This Row],[Link clicks]]=0,0,Table4[[#This Row],[Amount spent ]]/Table4[[#This Row],[Link clicks]])</f>
        <v>0.11642857142857142</v>
      </c>
      <c r="U334" s="62" t="s">
        <v>407</v>
      </c>
      <c r="V334" s="1" t="s">
        <v>413</v>
      </c>
      <c r="W334" s="1">
        <v>5.6112224448897786E-3</v>
      </c>
    </row>
    <row r="335" spans="1:23" x14ac:dyDescent="0.25">
      <c r="A335" s="48" t="s">
        <v>68</v>
      </c>
      <c r="B335" s="12" t="s">
        <v>359</v>
      </c>
      <c r="C335" s="1" t="str">
        <f t="shared" si="22"/>
        <v>Oman Target Group</v>
      </c>
      <c r="D335" s="1" t="s">
        <v>73</v>
      </c>
      <c r="E335" s="12" t="s">
        <v>294</v>
      </c>
      <c r="F335" s="1" t="s">
        <v>78</v>
      </c>
      <c r="G335" s="1" t="s">
        <v>118</v>
      </c>
      <c r="H335" s="1" t="s">
        <v>75</v>
      </c>
      <c r="I335" s="16">
        <v>3337</v>
      </c>
      <c r="J335" s="16">
        <v>4659</v>
      </c>
      <c r="K335" s="63">
        <v>0.89</v>
      </c>
      <c r="L335" s="16">
        <v>0</v>
      </c>
      <c r="M335" s="16">
        <v>37</v>
      </c>
      <c r="N335" s="16">
        <v>8</v>
      </c>
      <c r="O335" s="26">
        <f t="shared" si="24"/>
        <v>0</v>
      </c>
      <c r="P335" s="13" t="str">
        <f t="shared" si="23"/>
        <v>Bad</v>
      </c>
      <c r="Q335" s="13">
        <f t="shared" si="21"/>
        <v>7.9416183730414251E-3</v>
      </c>
      <c r="R335" s="16">
        <v>35410</v>
      </c>
      <c r="S335" s="50">
        <v>3.6278919999999999E-2</v>
      </c>
      <c r="T335" s="27">
        <f>IF(Table4[[#This Row],[Link clicks]]=0,0,Table4[[#This Row],[Amount spent ]]/Table4[[#This Row],[Link clicks]])</f>
        <v>0</v>
      </c>
      <c r="U335" s="62" t="s">
        <v>407</v>
      </c>
      <c r="V335" s="1" t="s">
        <v>413</v>
      </c>
      <c r="W335" s="1">
        <v>0</v>
      </c>
    </row>
    <row r="336" spans="1:23" x14ac:dyDescent="0.25">
      <c r="A336" s="48" t="s">
        <v>68</v>
      </c>
      <c r="B336" s="12" t="s">
        <v>359</v>
      </c>
      <c r="C336" s="1" t="str">
        <f t="shared" si="22"/>
        <v>Oman Target Group</v>
      </c>
      <c r="D336" s="1" t="s">
        <v>73</v>
      </c>
      <c r="E336" s="12" t="s">
        <v>296</v>
      </c>
      <c r="F336" s="1" t="s">
        <v>78</v>
      </c>
      <c r="G336" s="1" t="s">
        <v>74</v>
      </c>
      <c r="H336" s="1" t="s">
        <v>94</v>
      </c>
      <c r="I336" s="16">
        <v>969</v>
      </c>
      <c r="J336" s="16">
        <v>1115</v>
      </c>
      <c r="K336" s="63">
        <v>0.42</v>
      </c>
      <c r="L336" s="16">
        <v>3</v>
      </c>
      <c r="M336" s="16">
        <v>232</v>
      </c>
      <c r="N336" s="16">
        <v>194</v>
      </c>
      <c r="O336" s="26">
        <f t="shared" si="24"/>
        <v>0.26905829596412556</v>
      </c>
      <c r="P336" s="13" t="str">
        <f t="shared" si="23"/>
        <v>Good</v>
      </c>
      <c r="Q336" s="13">
        <f t="shared" si="21"/>
        <v>0.20807174887892377</v>
      </c>
      <c r="R336" s="16">
        <v>899</v>
      </c>
      <c r="S336" s="50">
        <v>1.52235E-3</v>
      </c>
      <c r="T336" s="27">
        <f>IF(Table4[[#This Row],[Link clicks]]=0,0,Table4[[#This Row],[Amount spent ]]/Table4[[#This Row],[Link clicks]])</f>
        <v>0.13999999999999999</v>
      </c>
      <c r="U336" s="62" t="s">
        <v>407</v>
      </c>
      <c r="V336" s="1" t="s">
        <v>413</v>
      </c>
      <c r="W336" s="1">
        <v>3.095975232198143E-3</v>
      </c>
    </row>
    <row r="337" spans="1:23" x14ac:dyDescent="0.25">
      <c r="A337" s="48" t="s">
        <v>68</v>
      </c>
      <c r="B337" s="12" t="s">
        <v>359</v>
      </c>
      <c r="C337" s="1" t="str">
        <f t="shared" si="22"/>
        <v>Oman Target Group</v>
      </c>
      <c r="D337" s="1" t="s">
        <v>73</v>
      </c>
      <c r="E337" s="12" t="s">
        <v>300</v>
      </c>
      <c r="F337" s="1" t="s">
        <v>78</v>
      </c>
      <c r="G337" s="1" t="s">
        <v>74</v>
      </c>
      <c r="H337" s="1" t="s">
        <v>75</v>
      </c>
      <c r="I337" s="16">
        <v>42</v>
      </c>
      <c r="J337" s="16">
        <v>57</v>
      </c>
      <c r="K337" s="63">
        <v>0.02</v>
      </c>
      <c r="L337" s="16">
        <v>0</v>
      </c>
      <c r="M337" s="16">
        <v>31</v>
      </c>
      <c r="N337" s="16">
        <v>0</v>
      </c>
      <c r="O337" s="26">
        <f t="shared" si="24"/>
        <v>0</v>
      </c>
      <c r="P337" s="13" t="str">
        <f t="shared" si="23"/>
        <v>Bad</v>
      </c>
      <c r="Q337" s="13">
        <f t="shared" si="21"/>
        <v>0.54385964912280704</v>
      </c>
      <c r="R337" s="16">
        <v>671</v>
      </c>
      <c r="S337" s="50">
        <v>1.4921299999999999E-3</v>
      </c>
      <c r="T337" s="27">
        <f>IF(Table4[[#This Row],[Link clicks]]=0,0,Table4[[#This Row],[Amount spent ]]/Table4[[#This Row],[Link clicks]])</f>
        <v>0</v>
      </c>
      <c r="U337" s="62" t="s">
        <v>407</v>
      </c>
      <c r="V337" s="1" t="s">
        <v>413</v>
      </c>
      <c r="W337" s="1">
        <v>0</v>
      </c>
    </row>
    <row r="338" spans="1:23" x14ac:dyDescent="0.25">
      <c r="A338" s="48" t="s">
        <v>68</v>
      </c>
      <c r="B338" s="12" t="s">
        <v>359</v>
      </c>
      <c r="C338" s="1" t="str">
        <f t="shared" si="22"/>
        <v>Oman Target Group</v>
      </c>
      <c r="D338" s="1" t="s">
        <v>73</v>
      </c>
      <c r="E338" s="12" t="s">
        <v>301</v>
      </c>
      <c r="F338" s="1" t="s">
        <v>77</v>
      </c>
      <c r="G338" s="1" t="s">
        <v>74</v>
      </c>
      <c r="H338" s="1" t="s">
        <v>75</v>
      </c>
      <c r="I338" s="16">
        <v>78</v>
      </c>
      <c r="J338" s="16">
        <v>90</v>
      </c>
      <c r="K338" s="63">
        <v>0.01</v>
      </c>
      <c r="L338" s="16">
        <v>0</v>
      </c>
      <c r="M338" s="16">
        <v>28</v>
      </c>
      <c r="N338" s="16">
        <v>1</v>
      </c>
      <c r="O338" s="26">
        <f t="shared" si="24"/>
        <v>0</v>
      </c>
      <c r="P338" s="13" t="str">
        <f t="shared" si="23"/>
        <v>Bad</v>
      </c>
      <c r="Q338" s="13">
        <f t="shared" si="21"/>
        <v>0.31111111111111112</v>
      </c>
      <c r="R338" s="16">
        <v>15440</v>
      </c>
      <c r="S338" s="50">
        <v>3.7464730000000002E-2</v>
      </c>
      <c r="T338" s="27">
        <f>IF(Table4[[#This Row],[Link clicks]]=0,0,Table4[[#This Row],[Amount spent ]]/Table4[[#This Row],[Link clicks]])</f>
        <v>0</v>
      </c>
      <c r="U338" s="62" t="s">
        <v>407</v>
      </c>
      <c r="V338" s="1" t="s">
        <v>413</v>
      </c>
      <c r="W338" s="1">
        <v>0</v>
      </c>
    </row>
    <row r="339" spans="1:23" x14ac:dyDescent="0.25">
      <c r="A339" s="48" t="s">
        <v>68</v>
      </c>
      <c r="B339" s="12" t="s">
        <v>359</v>
      </c>
      <c r="C339" s="1" t="str">
        <f t="shared" si="22"/>
        <v>Oman Target Group</v>
      </c>
      <c r="D339" s="1" t="s">
        <v>73</v>
      </c>
      <c r="E339" s="12" t="s">
        <v>302</v>
      </c>
      <c r="F339" s="1" t="s">
        <v>77</v>
      </c>
      <c r="G339" s="1" t="s">
        <v>74</v>
      </c>
      <c r="H339" s="1" t="s">
        <v>75</v>
      </c>
      <c r="I339" s="16">
        <v>64</v>
      </c>
      <c r="J339" s="16">
        <v>78</v>
      </c>
      <c r="K339" s="63">
        <v>0.01</v>
      </c>
      <c r="L339" s="16">
        <v>0</v>
      </c>
      <c r="M339" s="16">
        <v>27</v>
      </c>
      <c r="N339" s="16">
        <v>0</v>
      </c>
      <c r="O339" s="26">
        <f t="shared" si="24"/>
        <v>0</v>
      </c>
      <c r="P339" s="13" t="str">
        <f t="shared" si="23"/>
        <v>Bad</v>
      </c>
      <c r="Q339" s="13">
        <f t="shared" si="21"/>
        <v>0.34615384615384615</v>
      </c>
      <c r="R339" s="16">
        <v>47914</v>
      </c>
      <c r="S339" s="50">
        <v>0.78377936000000004</v>
      </c>
      <c r="T339" s="27">
        <f>IF(Table4[[#This Row],[Link clicks]]=0,0,Table4[[#This Row],[Amount spent ]]/Table4[[#This Row],[Link clicks]])</f>
        <v>0</v>
      </c>
      <c r="U339" s="62" t="s">
        <v>407</v>
      </c>
      <c r="V339" s="1" t="s">
        <v>413</v>
      </c>
      <c r="W339" s="1">
        <v>0</v>
      </c>
    </row>
    <row r="340" spans="1:23" x14ac:dyDescent="0.25">
      <c r="A340" s="48" t="s">
        <v>68</v>
      </c>
      <c r="B340" s="12" t="s">
        <v>359</v>
      </c>
      <c r="C340" s="1" t="str">
        <f t="shared" si="22"/>
        <v>Oman Target Group</v>
      </c>
      <c r="D340" s="1" t="s">
        <v>73</v>
      </c>
      <c r="E340" s="12" t="s">
        <v>303</v>
      </c>
      <c r="F340" s="1" t="s">
        <v>77</v>
      </c>
      <c r="G340" s="1" t="s">
        <v>74</v>
      </c>
      <c r="H340" s="1" t="s">
        <v>75</v>
      </c>
      <c r="I340" s="16">
        <v>62</v>
      </c>
      <c r="J340" s="16">
        <v>73</v>
      </c>
      <c r="K340" s="63">
        <v>0.01</v>
      </c>
      <c r="L340" s="16">
        <v>0</v>
      </c>
      <c r="M340" s="16">
        <v>20</v>
      </c>
      <c r="N340" s="16">
        <v>0</v>
      </c>
      <c r="O340" s="26">
        <f t="shared" si="24"/>
        <v>0</v>
      </c>
      <c r="P340" s="13" t="str">
        <f t="shared" si="23"/>
        <v>Bad</v>
      </c>
      <c r="Q340" s="13">
        <f t="shared" si="21"/>
        <v>0.27397260273972601</v>
      </c>
      <c r="R340" s="16">
        <v>7616</v>
      </c>
      <c r="S340" s="50">
        <v>2.9380900000000001E-2</v>
      </c>
      <c r="T340" s="27">
        <f>IF(Table4[[#This Row],[Link clicks]]=0,0,Table4[[#This Row],[Amount spent ]]/Table4[[#This Row],[Link clicks]])</f>
        <v>0</v>
      </c>
      <c r="U340" s="62" t="s">
        <v>407</v>
      </c>
      <c r="V340" s="1" t="s">
        <v>413</v>
      </c>
      <c r="W340" s="1">
        <v>0</v>
      </c>
    </row>
    <row r="341" spans="1:23" x14ac:dyDescent="0.25">
      <c r="A341" s="48" t="s">
        <v>68</v>
      </c>
      <c r="B341" s="12" t="s">
        <v>359</v>
      </c>
      <c r="C341" s="1" t="str">
        <f t="shared" si="22"/>
        <v>Oman Target Group</v>
      </c>
      <c r="D341" s="1" t="s">
        <v>73</v>
      </c>
      <c r="E341" s="12" t="s">
        <v>316</v>
      </c>
      <c r="F341" s="1" t="s">
        <v>78</v>
      </c>
      <c r="G341" s="1" t="s">
        <v>74</v>
      </c>
      <c r="H341" s="1" t="s">
        <v>75</v>
      </c>
      <c r="I341" s="16">
        <v>34</v>
      </c>
      <c r="J341" s="16">
        <v>42</v>
      </c>
      <c r="K341" s="63">
        <v>0</v>
      </c>
      <c r="L341" s="16">
        <v>0</v>
      </c>
      <c r="M341" s="16">
        <v>17</v>
      </c>
      <c r="N341" s="16">
        <v>0</v>
      </c>
      <c r="O341" s="26">
        <f t="shared" si="24"/>
        <v>0</v>
      </c>
      <c r="P341" s="13" t="str">
        <f t="shared" si="23"/>
        <v>Bad</v>
      </c>
      <c r="Q341" s="13">
        <f t="shared" si="21"/>
        <v>0.40476190476190477</v>
      </c>
      <c r="R341" s="16">
        <v>11599</v>
      </c>
      <c r="S341" s="50">
        <v>4.9927899999999997E-2</v>
      </c>
      <c r="T341" s="27">
        <f>IF(Table4[[#This Row],[Link clicks]]=0,0,Table4[[#This Row],[Amount spent ]]/Table4[[#This Row],[Link clicks]])</f>
        <v>0</v>
      </c>
      <c r="U341" s="62" t="s">
        <v>407</v>
      </c>
      <c r="V341" s="1" t="s">
        <v>413</v>
      </c>
      <c r="W341" s="1">
        <v>0</v>
      </c>
    </row>
    <row r="342" spans="1:23" x14ac:dyDescent="0.25">
      <c r="A342" s="48" t="s">
        <v>68</v>
      </c>
      <c r="B342" s="12" t="s">
        <v>359</v>
      </c>
      <c r="C342" s="1" t="str">
        <f t="shared" si="22"/>
        <v>Oman Target Group</v>
      </c>
      <c r="D342" s="1" t="s">
        <v>73</v>
      </c>
      <c r="E342" s="12" t="s">
        <v>317</v>
      </c>
      <c r="F342" s="1" t="s">
        <v>78</v>
      </c>
      <c r="G342" s="1" t="s">
        <v>74</v>
      </c>
      <c r="H342" s="1" t="s">
        <v>75</v>
      </c>
      <c r="I342" s="16">
        <v>45</v>
      </c>
      <c r="J342" s="16">
        <v>55</v>
      </c>
      <c r="K342" s="63">
        <v>0</v>
      </c>
      <c r="L342" s="16">
        <v>0</v>
      </c>
      <c r="M342" s="16">
        <v>13</v>
      </c>
      <c r="N342" s="16">
        <v>0</v>
      </c>
      <c r="O342" s="26">
        <f t="shared" si="24"/>
        <v>0</v>
      </c>
      <c r="P342" s="13" t="str">
        <f t="shared" si="23"/>
        <v>Bad</v>
      </c>
      <c r="Q342" s="13">
        <f t="shared" si="21"/>
        <v>0.23636363636363636</v>
      </c>
      <c r="R342" s="16">
        <v>12352</v>
      </c>
      <c r="S342" s="50">
        <v>5.6306179999999997E-2</v>
      </c>
      <c r="T342" s="27">
        <f>IF(Table4[[#This Row],[Link clicks]]=0,0,Table4[[#This Row],[Amount spent ]]/Table4[[#This Row],[Link clicks]])</f>
        <v>0</v>
      </c>
      <c r="U342" s="62" t="s">
        <v>407</v>
      </c>
      <c r="V342" s="1" t="s">
        <v>413</v>
      </c>
      <c r="W342" s="1">
        <v>0</v>
      </c>
    </row>
    <row r="343" spans="1:23" x14ac:dyDescent="0.25">
      <c r="A343" s="48" t="s">
        <v>67</v>
      </c>
      <c r="B343" s="12" t="s">
        <v>360</v>
      </c>
      <c r="C343" s="1" t="str">
        <f t="shared" si="22"/>
        <v>Qatar Target Group</v>
      </c>
      <c r="D343" s="1" t="s">
        <v>73</v>
      </c>
      <c r="E343" s="12" t="s">
        <v>146</v>
      </c>
      <c r="F343" s="1" t="s">
        <v>77</v>
      </c>
      <c r="G343" s="1" t="s">
        <v>74</v>
      </c>
      <c r="H343" s="1" t="s">
        <v>92</v>
      </c>
      <c r="I343" s="16">
        <v>456578</v>
      </c>
      <c r="J343" s="16">
        <v>2296226</v>
      </c>
      <c r="K343" s="63">
        <v>967.61</v>
      </c>
      <c r="L343" s="16">
        <v>10599</v>
      </c>
      <c r="M343" s="16">
        <v>318547</v>
      </c>
      <c r="N343" s="16">
        <v>8571</v>
      </c>
      <c r="O343" s="26">
        <f t="shared" si="24"/>
        <v>0.46158348524927423</v>
      </c>
      <c r="P343" s="13" t="str">
        <f t="shared" si="23"/>
        <v>Good</v>
      </c>
      <c r="Q343" s="13">
        <f t="shared" si="21"/>
        <v>0.13872632746079872</v>
      </c>
      <c r="R343" s="16">
        <v>3432</v>
      </c>
      <c r="S343" s="50">
        <v>1.737E-2</v>
      </c>
      <c r="T343" s="27">
        <f>IF(Table4[[#This Row],[Link clicks]]=0,0,Table4[[#This Row],[Amount spent ]]/Table4[[#This Row],[Link clicks]])</f>
        <v>9.1292574771204837E-2</v>
      </c>
      <c r="U343" s="62" t="s">
        <v>407</v>
      </c>
      <c r="V343" s="1" t="s">
        <v>413</v>
      </c>
      <c r="W343" s="1">
        <v>2.321399629417098E-2</v>
      </c>
    </row>
    <row r="344" spans="1:23" x14ac:dyDescent="0.25">
      <c r="A344" s="48" t="s">
        <v>67</v>
      </c>
      <c r="B344" s="12" t="s">
        <v>360</v>
      </c>
      <c r="C344" s="1" t="str">
        <f t="shared" si="22"/>
        <v>Qatar Target Group</v>
      </c>
      <c r="D344" s="1" t="s">
        <v>73</v>
      </c>
      <c r="E344" s="12" t="s">
        <v>154</v>
      </c>
      <c r="F344" s="1" t="s">
        <v>77</v>
      </c>
      <c r="G344" s="1" t="s">
        <v>74</v>
      </c>
      <c r="H344" s="1" t="s">
        <v>94</v>
      </c>
      <c r="I344" s="16">
        <v>253378</v>
      </c>
      <c r="J344" s="16">
        <v>737111</v>
      </c>
      <c r="K344" s="63">
        <v>418.6</v>
      </c>
      <c r="L344" s="16">
        <v>5663</v>
      </c>
      <c r="M344" s="16">
        <v>223538</v>
      </c>
      <c r="N344" s="16">
        <v>3000</v>
      </c>
      <c r="O344" s="26">
        <f t="shared" si="24"/>
        <v>0.76826963645909507</v>
      </c>
      <c r="P344" s="13" t="str">
        <f t="shared" si="23"/>
        <v>Good</v>
      </c>
      <c r="Q344" s="13">
        <f t="shared" si="21"/>
        <v>0.30326233091081262</v>
      </c>
      <c r="R344" s="16">
        <v>351</v>
      </c>
      <c r="S344" s="50">
        <v>1.7343899999999999E-3</v>
      </c>
      <c r="T344" s="27">
        <f>IF(Table4[[#This Row],[Link clicks]]=0,0,Table4[[#This Row],[Amount spent ]]/Table4[[#This Row],[Link clicks]])</f>
        <v>7.3918417799752792E-2</v>
      </c>
      <c r="U344" s="62" t="s">
        <v>407</v>
      </c>
      <c r="V344" s="1" t="s">
        <v>413</v>
      </c>
      <c r="W344" s="1">
        <v>2.235000670934335E-2</v>
      </c>
    </row>
    <row r="345" spans="1:23" x14ac:dyDescent="0.25">
      <c r="A345" s="48" t="s">
        <v>67</v>
      </c>
      <c r="B345" s="12" t="s">
        <v>360</v>
      </c>
      <c r="C345" s="1" t="str">
        <f t="shared" si="22"/>
        <v>Qatar Target Group</v>
      </c>
      <c r="D345" s="1" t="s">
        <v>73</v>
      </c>
      <c r="E345" s="12" t="s">
        <v>157</v>
      </c>
      <c r="F345" s="1" t="s">
        <v>77</v>
      </c>
      <c r="G345" s="1" t="s">
        <v>98</v>
      </c>
      <c r="H345" s="1" t="s">
        <v>94</v>
      </c>
      <c r="I345" s="16">
        <v>360056</v>
      </c>
      <c r="J345" s="16">
        <v>1438856</v>
      </c>
      <c r="K345" s="63">
        <v>379.39</v>
      </c>
      <c r="L345" s="16">
        <v>3591</v>
      </c>
      <c r="M345" s="16">
        <v>0</v>
      </c>
      <c r="N345" s="16">
        <v>0</v>
      </c>
      <c r="O345" s="26">
        <f t="shared" si="24"/>
        <v>0.24957327209950128</v>
      </c>
      <c r="P345" s="13" t="str">
        <f t="shared" si="23"/>
        <v>Good</v>
      </c>
      <c r="Q345" s="13">
        <f t="shared" si="21"/>
        <v>0</v>
      </c>
      <c r="R345" s="16">
        <v>347</v>
      </c>
      <c r="S345" s="50">
        <v>1.7510799999999999E-3</v>
      </c>
      <c r="T345" s="27">
        <f>IF(Table4[[#This Row],[Link clicks]]=0,0,Table4[[#This Row],[Amount spent ]]/Table4[[#This Row],[Link clicks]])</f>
        <v>0.10565023670286827</v>
      </c>
      <c r="U345" s="62" t="s">
        <v>407</v>
      </c>
      <c r="V345" s="1" t="s">
        <v>413</v>
      </c>
      <c r="W345" s="1">
        <v>9.973448574666163E-3</v>
      </c>
    </row>
    <row r="346" spans="1:23" x14ac:dyDescent="0.25">
      <c r="A346" s="48" t="s">
        <v>67</v>
      </c>
      <c r="B346" s="12" t="s">
        <v>360</v>
      </c>
      <c r="C346" s="1" t="str">
        <f t="shared" si="22"/>
        <v>Qatar Target Group</v>
      </c>
      <c r="D346" s="1" t="s">
        <v>73</v>
      </c>
      <c r="E346" s="12" t="s">
        <v>169</v>
      </c>
      <c r="F346" s="1" t="s">
        <v>77</v>
      </c>
      <c r="G346" s="1" t="s">
        <v>74</v>
      </c>
      <c r="H346" s="1" t="s">
        <v>92</v>
      </c>
      <c r="I346" s="16">
        <v>304182</v>
      </c>
      <c r="J346" s="16">
        <v>1058536</v>
      </c>
      <c r="K346" s="63">
        <v>269.02</v>
      </c>
      <c r="L346" s="16">
        <v>4284</v>
      </c>
      <c r="M346" s="16">
        <v>55163</v>
      </c>
      <c r="N346" s="16">
        <v>1757</v>
      </c>
      <c r="O346" s="26">
        <f t="shared" si="24"/>
        <v>0.40470990122206518</v>
      </c>
      <c r="P346" s="13" t="str">
        <f t="shared" si="23"/>
        <v>Good</v>
      </c>
      <c r="Q346" s="13">
        <f t="shared" si="21"/>
        <v>5.2112540338731986E-2</v>
      </c>
      <c r="R346" s="16">
        <v>20633</v>
      </c>
      <c r="S346" s="50">
        <v>0.17549245999999999</v>
      </c>
      <c r="T346" s="27">
        <f>IF(Table4[[#This Row],[Link clicks]]=0,0,Table4[[#This Row],[Amount spent ]]/Table4[[#This Row],[Link clicks]])</f>
        <v>6.2796451914098966E-2</v>
      </c>
      <c r="U346" s="62" t="s">
        <v>407</v>
      </c>
      <c r="V346" s="1" t="s">
        <v>413</v>
      </c>
      <c r="W346" s="1">
        <v>1.4083673590153259E-2</v>
      </c>
    </row>
    <row r="347" spans="1:23" x14ac:dyDescent="0.25">
      <c r="A347" s="48" t="s">
        <v>67</v>
      </c>
      <c r="B347" s="12" t="s">
        <v>360</v>
      </c>
      <c r="C347" s="1" t="str">
        <f t="shared" si="22"/>
        <v>Qatar Target Group</v>
      </c>
      <c r="D347" s="1" t="s">
        <v>73</v>
      </c>
      <c r="E347" s="12" t="s">
        <v>170</v>
      </c>
      <c r="F347" s="1" t="s">
        <v>78</v>
      </c>
      <c r="G347" s="1" t="s">
        <v>74</v>
      </c>
      <c r="H347" s="1" t="s">
        <v>92</v>
      </c>
      <c r="I347" s="16">
        <v>153249</v>
      </c>
      <c r="J347" s="16">
        <v>580815</v>
      </c>
      <c r="K347" s="63">
        <v>264.85000000000002</v>
      </c>
      <c r="L347" s="16">
        <v>1741</v>
      </c>
      <c r="M347" s="16">
        <v>102494</v>
      </c>
      <c r="N347" s="16">
        <v>2314</v>
      </c>
      <c r="O347" s="26">
        <f t="shared" si="24"/>
        <v>0.29975121165947849</v>
      </c>
      <c r="P347" s="13" t="str">
        <f t="shared" si="23"/>
        <v>Good</v>
      </c>
      <c r="Q347" s="13">
        <f t="shared" si="21"/>
        <v>0.17646582818969897</v>
      </c>
      <c r="R347" s="16">
        <v>8479</v>
      </c>
      <c r="S347" s="50">
        <v>4.1823480000000003E-2</v>
      </c>
      <c r="T347" s="27">
        <f>IF(Table4[[#This Row],[Link clicks]]=0,0,Table4[[#This Row],[Amount spent ]]/Table4[[#This Row],[Link clicks]])</f>
        <v>0.15212521539345206</v>
      </c>
      <c r="U347" s="62" t="s">
        <v>407</v>
      </c>
      <c r="V347" s="1" t="s">
        <v>413</v>
      </c>
      <c r="W347" s="1">
        <v>1.136059615397164E-2</v>
      </c>
    </row>
    <row r="348" spans="1:23" x14ac:dyDescent="0.25">
      <c r="A348" s="48" t="s">
        <v>67</v>
      </c>
      <c r="B348" s="12" t="s">
        <v>360</v>
      </c>
      <c r="C348" s="1" t="str">
        <f t="shared" si="22"/>
        <v>Qatar Target Group</v>
      </c>
      <c r="D348" s="1" t="s">
        <v>73</v>
      </c>
      <c r="E348" s="12" t="s">
        <v>173</v>
      </c>
      <c r="F348" s="1" t="s">
        <v>78</v>
      </c>
      <c r="G348" s="1" t="s">
        <v>98</v>
      </c>
      <c r="H348" s="1" t="s">
        <v>94</v>
      </c>
      <c r="I348" s="16">
        <v>280577</v>
      </c>
      <c r="J348" s="16">
        <v>837278</v>
      </c>
      <c r="K348" s="63">
        <v>228.24</v>
      </c>
      <c r="L348" s="16">
        <v>1948</v>
      </c>
      <c r="M348" s="16">
        <v>0</v>
      </c>
      <c r="N348" s="16">
        <v>0</v>
      </c>
      <c r="O348" s="26">
        <f t="shared" si="24"/>
        <v>0.23265868683997432</v>
      </c>
      <c r="P348" s="13" t="str">
        <f t="shared" si="23"/>
        <v>Good</v>
      </c>
      <c r="Q348" s="13">
        <f t="shared" si="21"/>
        <v>0</v>
      </c>
      <c r="R348" s="16">
        <v>18371</v>
      </c>
      <c r="S348" s="50">
        <v>0.20523964</v>
      </c>
      <c r="T348" s="27">
        <f>IF(Table4[[#This Row],[Link clicks]]=0,0,Table4[[#This Row],[Amount spent ]]/Table4[[#This Row],[Link clicks]])</f>
        <v>0.11716632443531828</v>
      </c>
      <c r="U348" s="62" t="s">
        <v>407</v>
      </c>
      <c r="V348" s="1" t="s">
        <v>413</v>
      </c>
      <c r="W348" s="1">
        <v>6.9428356565220959E-3</v>
      </c>
    </row>
    <row r="349" spans="1:23" x14ac:dyDescent="0.25">
      <c r="A349" s="48" t="s">
        <v>67</v>
      </c>
      <c r="B349" s="12" t="s">
        <v>360</v>
      </c>
      <c r="C349" s="1" t="str">
        <f t="shared" si="22"/>
        <v>Qatar Target Group</v>
      </c>
      <c r="D349" s="1" t="s">
        <v>73</v>
      </c>
      <c r="E349" s="12" t="s">
        <v>177</v>
      </c>
      <c r="F349" s="1" t="s">
        <v>78</v>
      </c>
      <c r="G349" s="1" t="s">
        <v>74</v>
      </c>
      <c r="H349" s="1" t="s">
        <v>94</v>
      </c>
      <c r="I349" s="16">
        <v>224572</v>
      </c>
      <c r="J349" s="16">
        <v>711517</v>
      </c>
      <c r="K349" s="63">
        <v>180.71</v>
      </c>
      <c r="L349" s="16">
        <v>2903</v>
      </c>
      <c r="M349" s="16">
        <v>26585</v>
      </c>
      <c r="N349" s="16">
        <v>1556</v>
      </c>
      <c r="O349" s="26">
        <f t="shared" si="24"/>
        <v>0.40800149539645575</v>
      </c>
      <c r="P349" s="13" t="str">
        <f t="shared" si="23"/>
        <v>Good</v>
      </c>
      <c r="Q349" s="13">
        <f t="shared" si="21"/>
        <v>3.7363829676592408E-2</v>
      </c>
      <c r="R349" s="16">
        <v>4250</v>
      </c>
      <c r="S349" s="50">
        <v>2.8372109999999999E-2</v>
      </c>
      <c r="T349" s="27">
        <f>IF(Table4[[#This Row],[Link clicks]]=0,0,Table4[[#This Row],[Amount spent ]]/Table4[[#This Row],[Link clicks]])</f>
        <v>6.2249397175335862E-2</v>
      </c>
      <c r="U349" s="62" t="s">
        <v>407</v>
      </c>
      <c r="V349" s="1" t="s">
        <v>413</v>
      </c>
      <c r="W349" s="1">
        <v>1.2926811891063889E-2</v>
      </c>
    </row>
    <row r="350" spans="1:23" x14ac:dyDescent="0.25">
      <c r="A350" s="48" t="s">
        <v>67</v>
      </c>
      <c r="B350" s="12" t="s">
        <v>360</v>
      </c>
      <c r="C350" s="1" t="str">
        <f t="shared" si="22"/>
        <v>Qatar Target Group</v>
      </c>
      <c r="D350" s="1" t="s">
        <v>73</v>
      </c>
      <c r="E350" s="12" t="s">
        <v>193</v>
      </c>
      <c r="F350" s="1" t="s">
        <v>78</v>
      </c>
      <c r="G350" s="1" t="s">
        <v>74</v>
      </c>
      <c r="H350" s="1" t="s">
        <v>94</v>
      </c>
      <c r="I350" s="16">
        <v>188258</v>
      </c>
      <c r="J350" s="16">
        <v>420091</v>
      </c>
      <c r="K350" s="63">
        <v>110.37</v>
      </c>
      <c r="L350" s="16">
        <v>1442</v>
      </c>
      <c r="M350" s="16">
        <v>16806</v>
      </c>
      <c r="N350" s="16">
        <v>577</v>
      </c>
      <c r="O350" s="26">
        <f t="shared" si="24"/>
        <v>0.34325896055854566</v>
      </c>
      <c r="P350" s="13" t="str">
        <f t="shared" si="23"/>
        <v>Good</v>
      </c>
      <c r="Q350" s="13">
        <f t="shared" si="21"/>
        <v>4.0005617830422453E-2</v>
      </c>
      <c r="R350" s="16">
        <v>6789</v>
      </c>
      <c r="S350" s="50">
        <v>4.2193649999999999E-2</v>
      </c>
      <c r="T350" s="27">
        <f>IF(Table4[[#This Row],[Link clicks]]=0,0,Table4[[#This Row],[Amount spent ]]/Table4[[#This Row],[Link clicks]])</f>
        <v>7.6539528432732318E-2</v>
      </c>
      <c r="U350" s="62" t="s">
        <v>407</v>
      </c>
      <c r="V350" s="1" t="s">
        <v>413</v>
      </c>
      <c r="W350" s="1">
        <v>7.6597010485610177E-3</v>
      </c>
    </row>
    <row r="351" spans="1:23" x14ac:dyDescent="0.25">
      <c r="A351" s="48" t="s">
        <v>67</v>
      </c>
      <c r="B351" s="12" t="s">
        <v>360</v>
      </c>
      <c r="C351" s="1" t="str">
        <f t="shared" si="22"/>
        <v>Qatar Target Group</v>
      </c>
      <c r="D351" s="1" t="s">
        <v>73</v>
      </c>
      <c r="E351" s="12" t="s">
        <v>198</v>
      </c>
      <c r="F351" s="1" t="s">
        <v>77</v>
      </c>
      <c r="G351" s="1" t="s">
        <v>74</v>
      </c>
      <c r="H351" s="1" t="s">
        <v>92</v>
      </c>
      <c r="I351" s="16">
        <v>51344</v>
      </c>
      <c r="J351" s="16">
        <v>158990</v>
      </c>
      <c r="K351" s="63">
        <v>86.98</v>
      </c>
      <c r="L351" s="16">
        <v>452</v>
      </c>
      <c r="M351" s="16">
        <v>30800</v>
      </c>
      <c r="N351" s="16">
        <v>179</v>
      </c>
      <c r="O351" s="26">
        <f t="shared" si="24"/>
        <v>0.28429460972388199</v>
      </c>
      <c r="P351" s="13" t="str">
        <f t="shared" si="23"/>
        <v>Good</v>
      </c>
      <c r="Q351" s="13">
        <f t="shared" si="21"/>
        <v>0.19372287565255678</v>
      </c>
      <c r="R351" s="16">
        <v>2713</v>
      </c>
      <c r="S351" s="50">
        <v>2.2055479999999999E-2</v>
      </c>
      <c r="T351" s="27">
        <f>IF(Table4[[#This Row],[Link clicks]]=0,0,Table4[[#This Row],[Amount spent ]]/Table4[[#This Row],[Link clicks]])</f>
        <v>0.19243362831858407</v>
      </c>
      <c r="U351" s="62" t="s">
        <v>407</v>
      </c>
      <c r="V351" s="1" t="s">
        <v>413</v>
      </c>
      <c r="W351" s="1">
        <v>8.8033655344344035E-3</v>
      </c>
    </row>
    <row r="352" spans="1:23" x14ac:dyDescent="0.25">
      <c r="A352" s="48" t="s">
        <v>67</v>
      </c>
      <c r="B352" s="12" t="s">
        <v>360</v>
      </c>
      <c r="C352" s="1" t="str">
        <f t="shared" si="22"/>
        <v>Qatar Target Group</v>
      </c>
      <c r="D352" s="1" t="s">
        <v>73</v>
      </c>
      <c r="E352" s="12" t="s">
        <v>193</v>
      </c>
      <c r="F352" s="1" t="s">
        <v>78</v>
      </c>
      <c r="G352" s="1" t="s">
        <v>74</v>
      </c>
      <c r="H352" s="1" t="s">
        <v>94</v>
      </c>
      <c r="I352" s="16">
        <v>63281</v>
      </c>
      <c r="J352" s="16">
        <v>92544</v>
      </c>
      <c r="K352" s="63">
        <v>85.53</v>
      </c>
      <c r="L352" s="16">
        <v>1199</v>
      </c>
      <c r="M352" s="16">
        <v>63926</v>
      </c>
      <c r="N352" s="16">
        <v>140</v>
      </c>
      <c r="O352" s="26">
        <f t="shared" si="24"/>
        <v>1.2955999308437069</v>
      </c>
      <c r="P352" s="13" t="str">
        <f t="shared" si="23"/>
        <v>Good</v>
      </c>
      <c r="Q352" s="13">
        <f t="shared" si="21"/>
        <v>0.69076331258644541</v>
      </c>
      <c r="R352" s="16">
        <v>13750</v>
      </c>
      <c r="S352" s="50">
        <v>0.19033512999999999</v>
      </c>
      <c r="T352" s="27">
        <f>IF(Table4[[#This Row],[Link clicks]]=0,0,Table4[[#This Row],[Amount spent ]]/Table4[[#This Row],[Link clicks]])</f>
        <v>7.1334445371142613E-2</v>
      </c>
      <c r="U352" s="62" t="s">
        <v>407</v>
      </c>
      <c r="V352" s="1" t="s">
        <v>413</v>
      </c>
      <c r="W352" s="1">
        <v>1.894723534710261E-2</v>
      </c>
    </row>
    <row r="353" spans="1:23" x14ac:dyDescent="0.25">
      <c r="A353" s="48" t="s">
        <v>67</v>
      </c>
      <c r="B353" s="12" t="s">
        <v>360</v>
      </c>
      <c r="C353" s="1" t="str">
        <f t="shared" si="22"/>
        <v>Qatar Target Group</v>
      </c>
      <c r="D353" s="1" t="s">
        <v>73</v>
      </c>
      <c r="E353" s="12" t="s">
        <v>201</v>
      </c>
      <c r="F353" s="1" t="s">
        <v>77</v>
      </c>
      <c r="G353" s="1" t="s">
        <v>98</v>
      </c>
      <c r="H353" s="1" t="s">
        <v>94</v>
      </c>
      <c r="I353" s="16">
        <v>138463</v>
      </c>
      <c r="J353" s="16">
        <v>311567</v>
      </c>
      <c r="K353" s="63">
        <v>83.68</v>
      </c>
      <c r="L353" s="16">
        <v>728</v>
      </c>
      <c r="M353" s="16">
        <v>0</v>
      </c>
      <c r="N353" s="16">
        <v>0</v>
      </c>
      <c r="O353" s="26">
        <f t="shared" si="24"/>
        <v>0.2336576081549073</v>
      </c>
      <c r="P353" s="13" t="str">
        <f t="shared" si="23"/>
        <v>Good</v>
      </c>
      <c r="Q353" s="13">
        <f t="shared" si="21"/>
        <v>0</v>
      </c>
      <c r="R353" s="16">
        <v>1645</v>
      </c>
      <c r="S353" s="50">
        <v>1.4979060000000001E-2</v>
      </c>
      <c r="T353" s="27">
        <f>IF(Table4[[#This Row],[Link clicks]]=0,0,Table4[[#This Row],[Amount spent ]]/Table4[[#This Row],[Link clicks]])</f>
        <v>0.11494505494505496</v>
      </c>
      <c r="U353" s="62" t="s">
        <v>407</v>
      </c>
      <c r="V353" s="1" t="s">
        <v>413</v>
      </c>
      <c r="W353" s="1">
        <v>5.25772227959816E-3</v>
      </c>
    </row>
    <row r="354" spans="1:23" x14ac:dyDescent="0.25">
      <c r="A354" s="48" t="s">
        <v>67</v>
      </c>
      <c r="B354" s="12" t="s">
        <v>360</v>
      </c>
      <c r="C354" s="1" t="str">
        <f t="shared" si="22"/>
        <v>Qatar Target Group</v>
      </c>
      <c r="D354" s="1" t="s">
        <v>73</v>
      </c>
      <c r="E354" s="12" t="s">
        <v>205</v>
      </c>
      <c r="F354" s="1" t="s">
        <v>78</v>
      </c>
      <c r="G354" s="1" t="s">
        <v>74</v>
      </c>
      <c r="H354" s="1" t="s">
        <v>92</v>
      </c>
      <c r="I354" s="16">
        <v>51697</v>
      </c>
      <c r="J354" s="16">
        <v>77489</v>
      </c>
      <c r="K354" s="63">
        <v>77.180000000000007</v>
      </c>
      <c r="L354" s="16">
        <v>914</v>
      </c>
      <c r="M354" s="16">
        <v>58585</v>
      </c>
      <c r="N354" s="16">
        <v>76</v>
      </c>
      <c r="O354" s="26">
        <f t="shared" si="24"/>
        <v>1.1795222547716451</v>
      </c>
      <c r="P354" s="13" t="str">
        <f t="shared" si="23"/>
        <v>Good</v>
      </c>
      <c r="Q354" s="13">
        <f t="shared" si="21"/>
        <v>0.7560427931706436</v>
      </c>
      <c r="R354" s="16">
        <v>158</v>
      </c>
      <c r="S354" s="50">
        <v>1.4109299999999999E-3</v>
      </c>
      <c r="T354" s="27">
        <f>IF(Table4[[#This Row],[Link clicks]]=0,0,Table4[[#This Row],[Amount spent ]]/Table4[[#This Row],[Link clicks]])</f>
        <v>8.444201312910285E-2</v>
      </c>
      <c r="U354" s="62" t="s">
        <v>407</v>
      </c>
      <c r="V354" s="1" t="s">
        <v>413</v>
      </c>
      <c r="W354" s="1">
        <v>1.767994274329265E-2</v>
      </c>
    </row>
    <row r="355" spans="1:23" x14ac:dyDescent="0.25">
      <c r="A355" s="48" t="s">
        <v>67</v>
      </c>
      <c r="B355" s="12" t="s">
        <v>360</v>
      </c>
      <c r="C355" s="1" t="str">
        <f t="shared" si="22"/>
        <v>Qatar Target Group</v>
      </c>
      <c r="D355" s="1" t="s">
        <v>73</v>
      </c>
      <c r="E355" s="12" t="s">
        <v>205</v>
      </c>
      <c r="F355" s="1" t="s">
        <v>78</v>
      </c>
      <c r="G355" s="1" t="s">
        <v>74</v>
      </c>
      <c r="H355" s="1" t="s">
        <v>92</v>
      </c>
      <c r="I355" s="16">
        <v>104406</v>
      </c>
      <c r="J355" s="16">
        <v>267493</v>
      </c>
      <c r="K355" s="63">
        <v>67.23</v>
      </c>
      <c r="L355" s="16">
        <v>1111</v>
      </c>
      <c r="M355" s="16">
        <v>13825</v>
      </c>
      <c r="N355" s="16">
        <v>521</v>
      </c>
      <c r="O355" s="26">
        <f t="shared" si="24"/>
        <v>0.41533797146093537</v>
      </c>
      <c r="P355" s="13" t="str">
        <f t="shared" si="23"/>
        <v>Good</v>
      </c>
      <c r="Q355" s="13">
        <f t="shared" si="21"/>
        <v>5.1683595458572748E-2</v>
      </c>
      <c r="R355" s="16">
        <v>3588</v>
      </c>
      <c r="S355" s="50">
        <v>3.6576409999999997E-2</v>
      </c>
      <c r="T355" s="27">
        <f>IF(Table4[[#This Row],[Link clicks]]=0,0,Table4[[#This Row],[Amount spent ]]/Table4[[#This Row],[Link clicks]])</f>
        <v>6.0513051305130516E-2</v>
      </c>
      <c r="U355" s="62" t="s">
        <v>407</v>
      </c>
      <c r="V355" s="1" t="s">
        <v>413</v>
      </c>
      <c r="W355" s="1">
        <v>1.064115089171121E-2</v>
      </c>
    </row>
    <row r="356" spans="1:23" x14ac:dyDescent="0.25">
      <c r="A356" s="48" t="s">
        <v>67</v>
      </c>
      <c r="B356" s="12" t="s">
        <v>360</v>
      </c>
      <c r="C356" s="1" t="str">
        <f t="shared" si="22"/>
        <v>Qatar Target Group</v>
      </c>
      <c r="D356" s="1" t="s">
        <v>73</v>
      </c>
      <c r="E356" s="12" t="s">
        <v>208</v>
      </c>
      <c r="F356" s="1" t="s">
        <v>77</v>
      </c>
      <c r="G356" s="1" t="s">
        <v>74</v>
      </c>
      <c r="H356" s="1" t="s">
        <v>94</v>
      </c>
      <c r="I356" s="16">
        <v>120095</v>
      </c>
      <c r="J356" s="16">
        <v>255383</v>
      </c>
      <c r="K356" s="63">
        <v>65.06</v>
      </c>
      <c r="L356" s="16">
        <v>809</v>
      </c>
      <c r="M356" s="16">
        <v>10136</v>
      </c>
      <c r="N356" s="16">
        <v>318</v>
      </c>
      <c r="O356" s="26">
        <f t="shared" si="24"/>
        <v>0.31677911215703469</v>
      </c>
      <c r="P356" s="13" t="str">
        <f t="shared" si="23"/>
        <v>Good</v>
      </c>
      <c r="Q356" s="13">
        <f t="shared" si="21"/>
        <v>3.96894076739642E-2</v>
      </c>
      <c r="R356" s="16">
        <v>2654</v>
      </c>
      <c r="S356" s="50">
        <v>3.2801469999999999E-2</v>
      </c>
      <c r="T356" s="27">
        <f>IF(Table4[[#This Row],[Link clicks]]=0,0,Table4[[#This Row],[Amount spent ]]/Table4[[#This Row],[Link clicks]])</f>
        <v>8.042027194066749E-2</v>
      </c>
      <c r="U356" s="62" t="s">
        <v>407</v>
      </c>
      <c r="V356" s="1" t="s">
        <v>413</v>
      </c>
      <c r="W356" s="1">
        <v>6.7363337357924978E-3</v>
      </c>
    </row>
    <row r="357" spans="1:23" x14ac:dyDescent="0.25">
      <c r="A357" s="48" t="s">
        <v>67</v>
      </c>
      <c r="B357" s="12" t="s">
        <v>360</v>
      </c>
      <c r="C357" s="1" t="str">
        <f t="shared" si="22"/>
        <v>Qatar Target Group</v>
      </c>
      <c r="D357" s="1" t="s">
        <v>73</v>
      </c>
      <c r="E357" s="12" t="s">
        <v>154</v>
      </c>
      <c r="F357" s="1" t="s">
        <v>77</v>
      </c>
      <c r="G357" s="1" t="s">
        <v>74</v>
      </c>
      <c r="H357" s="1" t="s">
        <v>94</v>
      </c>
      <c r="I357" s="16">
        <v>102044</v>
      </c>
      <c r="J357" s="16">
        <v>191753</v>
      </c>
      <c r="K357" s="63">
        <v>49.12</v>
      </c>
      <c r="L357" s="16">
        <v>586</v>
      </c>
      <c r="M357" s="16">
        <v>7264</v>
      </c>
      <c r="N357" s="16">
        <v>358</v>
      </c>
      <c r="O357" s="26">
        <f t="shared" si="24"/>
        <v>0.30560147689997025</v>
      </c>
      <c r="P357" s="13" t="str">
        <f t="shared" si="23"/>
        <v>Good</v>
      </c>
      <c r="Q357" s="13">
        <f t="shared" ref="Q357:Q420" si="25">M357/J357</f>
        <v>3.7882067034153311E-2</v>
      </c>
      <c r="R357" s="16">
        <v>2518</v>
      </c>
      <c r="S357" s="50">
        <v>3.1281829999999997E-2</v>
      </c>
      <c r="T357" s="27">
        <f>IF(Table4[[#This Row],[Link clicks]]=0,0,Table4[[#This Row],[Amount spent ]]/Table4[[#This Row],[Link clicks]])</f>
        <v>8.3822525597269618E-2</v>
      </c>
      <c r="U357" s="62" t="s">
        <v>407</v>
      </c>
      <c r="V357" s="1" t="s">
        <v>413</v>
      </c>
      <c r="W357" s="1">
        <v>5.7426208302300968E-3</v>
      </c>
    </row>
    <row r="358" spans="1:23" x14ac:dyDescent="0.25">
      <c r="A358" s="48" t="s">
        <v>67</v>
      </c>
      <c r="B358" s="12" t="s">
        <v>360</v>
      </c>
      <c r="C358" s="1" t="str">
        <f t="shared" si="22"/>
        <v>Qatar Target Group</v>
      </c>
      <c r="D358" s="1" t="s">
        <v>73</v>
      </c>
      <c r="E358" s="12" t="s">
        <v>27</v>
      </c>
      <c r="F358" s="1" t="s">
        <v>77</v>
      </c>
      <c r="G358" s="1" t="s">
        <v>74</v>
      </c>
      <c r="H358" s="1" t="s">
        <v>75</v>
      </c>
      <c r="I358" s="16">
        <v>74593</v>
      </c>
      <c r="J358" s="16">
        <v>117023</v>
      </c>
      <c r="K358" s="63">
        <v>30.72</v>
      </c>
      <c r="L358" s="16">
        <v>113</v>
      </c>
      <c r="M358" s="16">
        <v>6608</v>
      </c>
      <c r="N358" s="16">
        <v>91</v>
      </c>
      <c r="O358" s="26">
        <f t="shared" si="24"/>
        <v>9.6562214265571725E-2</v>
      </c>
      <c r="P358" s="13" t="str">
        <f t="shared" si="23"/>
        <v>Bad</v>
      </c>
      <c r="Q358" s="13">
        <f t="shared" si="25"/>
        <v>5.6467532023619288E-2</v>
      </c>
      <c r="R358" s="16">
        <v>82</v>
      </c>
      <c r="S358" s="50">
        <v>1.21503E-3</v>
      </c>
      <c r="T358" s="27">
        <f>IF(Table4[[#This Row],[Link clicks]]=0,0,Table4[[#This Row],[Amount spent ]]/Table4[[#This Row],[Link clicks]])</f>
        <v>0.27185840707964598</v>
      </c>
      <c r="U358" s="62" t="s">
        <v>407</v>
      </c>
      <c r="V358" s="1" t="s">
        <v>413</v>
      </c>
      <c r="W358" s="1">
        <v>1.5148874559275001E-3</v>
      </c>
    </row>
    <row r="359" spans="1:23" x14ac:dyDescent="0.25">
      <c r="A359" s="48" t="s">
        <v>67</v>
      </c>
      <c r="B359" s="12" t="s">
        <v>360</v>
      </c>
      <c r="C359" s="1" t="str">
        <f t="shared" si="22"/>
        <v>Qatar Target Group</v>
      </c>
      <c r="D359" s="1" t="s">
        <v>73</v>
      </c>
      <c r="E359" s="12" t="s">
        <v>237</v>
      </c>
      <c r="F359" s="1" t="s">
        <v>77</v>
      </c>
      <c r="G359" s="1" t="s">
        <v>74</v>
      </c>
      <c r="H359" s="1" t="s">
        <v>94</v>
      </c>
      <c r="I359" s="16">
        <v>33256</v>
      </c>
      <c r="J359" s="16">
        <v>49703</v>
      </c>
      <c r="K359" s="63">
        <v>28.68</v>
      </c>
      <c r="L359" s="16">
        <v>382</v>
      </c>
      <c r="M359" s="16">
        <v>16329</v>
      </c>
      <c r="N359" s="16">
        <v>84</v>
      </c>
      <c r="O359" s="26">
        <f t="shared" si="24"/>
        <v>0.76856527774983407</v>
      </c>
      <c r="P359" s="13" t="str">
        <f t="shared" si="23"/>
        <v>Good</v>
      </c>
      <c r="Q359" s="13">
        <f t="shared" si="25"/>
        <v>0.32853147697322094</v>
      </c>
      <c r="R359" s="16">
        <v>124</v>
      </c>
      <c r="S359" s="50">
        <v>1.6547700000000001E-3</v>
      </c>
      <c r="T359" s="27">
        <f>IF(Table4[[#This Row],[Link clicks]]=0,0,Table4[[#This Row],[Amount spent ]]/Table4[[#This Row],[Link clicks]])</f>
        <v>7.507853403141361E-2</v>
      </c>
      <c r="U359" s="62" t="s">
        <v>407</v>
      </c>
      <c r="V359" s="1" t="s">
        <v>413</v>
      </c>
      <c r="W359" s="1">
        <v>1.1486649025739719E-2</v>
      </c>
    </row>
    <row r="360" spans="1:23" x14ac:dyDescent="0.25">
      <c r="A360" s="48" t="s">
        <v>67</v>
      </c>
      <c r="B360" s="12" t="s">
        <v>360</v>
      </c>
      <c r="C360" s="1" t="str">
        <f t="shared" si="22"/>
        <v>Qatar Target Group</v>
      </c>
      <c r="D360" s="1" t="s">
        <v>73</v>
      </c>
      <c r="E360" s="12" t="s">
        <v>238</v>
      </c>
      <c r="F360" s="1" t="s">
        <v>78</v>
      </c>
      <c r="G360" s="1" t="s">
        <v>74</v>
      </c>
      <c r="H360" s="1" t="s">
        <v>94</v>
      </c>
      <c r="I360" s="16">
        <v>38712</v>
      </c>
      <c r="J360" s="16">
        <v>105503</v>
      </c>
      <c r="K360" s="63">
        <v>28.35</v>
      </c>
      <c r="L360" s="16">
        <v>214</v>
      </c>
      <c r="M360" s="16">
        <v>1596</v>
      </c>
      <c r="N360" s="16">
        <v>1395</v>
      </c>
      <c r="O360" s="26">
        <f t="shared" si="24"/>
        <v>0.20283783399524186</v>
      </c>
      <c r="P360" s="13" t="str">
        <f t="shared" si="23"/>
        <v>Good</v>
      </c>
      <c r="Q360" s="13">
        <f t="shared" si="25"/>
        <v>1.5127531918523644E-2</v>
      </c>
      <c r="R360" s="16">
        <v>7506</v>
      </c>
      <c r="S360" s="50">
        <v>0.23427697</v>
      </c>
      <c r="T360" s="27">
        <f>IF(Table4[[#This Row],[Link clicks]]=0,0,Table4[[#This Row],[Amount spent ]]/Table4[[#This Row],[Link clicks]])</f>
        <v>0.1324766355140187</v>
      </c>
      <c r="U360" s="62" t="s">
        <v>407</v>
      </c>
      <c r="V360" s="1" t="s">
        <v>413</v>
      </c>
      <c r="W360" s="1">
        <v>5.5280016532341389E-3</v>
      </c>
    </row>
    <row r="361" spans="1:23" x14ac:dyDescent="0.25">
      <c r="A361" s="48" t="s">
        <v>67</v>
      </c>
      <c r="B361" s="12" t="s">
        <v>360</v>
      </c>
      <c r="C361" s="1" t="str">
        <f t="shared" si="22"/>
        <v>Qatar Target Group</v>
      </c>
      <c r="D361" s="1" t="s">
        <v>73</v>
      </c>
      <c r="E361" s="12" t="s">
        <v>24</v>
      </c>
      <c r="F361" s="1" t="s">
        <v>77</v>
      </c>
      <c r="G361" s="1" t="s">
        <v>74</v>
      </c>
      <c r="H361" s="1" t="s">
        <v>75</v>
      </c>
      <c r="I361" s="16">
        <v>70653</v>
      </c>
      <c r="J361" s="16">
        <v>105138</v>
      </c>
      <c r="K361" s="63">
        <v>27.69</v>
      </c>
      <c r="L361" s="16">
        <v>87</v>
      </c>
      <c r="M361" s="16">
        <v>8240</v>
      </c>
      <c r="N361" s="16">
        <v>192</v>
      </c>
      <c r="O361" s="26">
        <f t="shared" si="24"/>
        <v>8.2748387833133596E-2</v>
      </c>
      <c r="P361" s="13" t="str">
        <f t="shared" si="23"/>
        <v>Bad</v>
      </c>
      <c r="Q361" s="13">
        <f t="shared" si="25"/>
        <v>7.8373185717818483E-2</v>
      </c>
      <c r="R361" s="16">
        <v>3130</v>
      </c>
      <c r="S361" s="50">
        <v>5.2539700000000002E-2</v>
      </c>
      <c r="T361" s="27">
        <f>IF(Table4[[#This Row],[Link clicks]]=0,0,Table4[[#This Row],[Amount spent ]]/Table4[[#This Row],[Link clicks]])</f>
        <v>0.31827586206896552</v>
      </c>
      <c r="U361" s="62" t="s">
        <v>407</v>
      </c>
      <c r="V361" s="1" t="s">
        <v>413</v>
      </c>
      <c r="W361" s="1">
        <v>1.2313702178251449E-3</v>
      </c>
    </row>
    <row r="362" spans="1:23" x14ac:dyDescent="0.25">
      <c r="A362" s="48" t="s">
        <v>67</v>
      </c>
      <c r="B362" s="12" t="s">
        <v>360</v>
      </c>
      <c r="C362" s="1" t="str">
        <f t="shared" si="22"/>
        <v>Qatar Target Group</v>
      </c>
      <c r="D362" s="1" t="s">
        <v>73</v>
      </c>
      <c r="E362" s="12" t="s">
        <v>241</v>
      </c>
      <c r="F362" s="1" t="s">
        <v>78</v>
      </c>
      <c r="G362" s="1" t="s">
        <v>98</v>
      </c>
      <c r="H362" s="1" t="s">
        <v>94</v>
      </c>
      <c r="I362" s="16">
        <v>47389</v>
      </c>
      <c r="J362" s="16">
        <v>98011</v>
      </c>
      <c r="K362" s="63">
        <v>25.7</v>
      </c>
      <c r="L362" s="16">
        <v>198</v>
      </c>
      <c r="M362" s="16">
        <v>0</v>
      </c>
      <c r="N362" s="16">
        <v>0</v>
      </c>
      <c r="O362" s="26">
        <f t="shared" si="24"/>
        <v>0.20201814082092825</v>
      </c>
      <c r="P362" s="13" t="str">
        <f t="shared" si="23"/>
        <v>Good</v>
      </c>
      <c r="Q362" s="13">
        <f t="shared" si="25"/>
        <v>0</v>
      </c>
      <c r="R362" s="16">
        <v>5518</v>
      </c>
      <c r="S362" s="50">
        <v>0.47651123000000001</v>
      </c>
      <c r="T362" s="27">
        <f>IF(Table4[[#This Row],[Link clicks]]=0,0,Table4[[#This Row],[Amount spent ]]/Table4[[#This Row],[Link clicks]])</f>
        <v>0.1297979797979798</v>
      </c>
      <c r="U362" s="62" t="s">
        <v>407</v>
      </c>
      <c r="V362" s="1" t="s">
        <v>413</v>
      </c>
      <c r="W362" s="1">
        <v>4.1781848108210767E-3</v>
      </c>
    </row>
    <row r="363" spans="1:23" x14ac:dyDescent="0.25">
      <c r="A363" s="48" t="s">
        <v>67</v>
      </c>
      <c r="B363" s="12" t="s">
        <v>360</v>
      </c>
      <c r="C363" s="1" t="str">
        <f t="shared" si="22"/>
        <v>Qatar Target Group</v>
      </c>
      <c r="D363" s="1" t="s">
        <v>73</v>
      </c>
      <c r="E363" s="12" t="s">
        <v>29</v>
      </c>
      <c r="F363" s="1" t="s">
        <v>78</v>
      </c>
      <c r="G363" s="1" t="s">
        <v>74</v>
      </c>
      <c r="H363" s="1" t="s">
        <v>75</v>
      </c>
      <c r="I363" s="16">
        <v>57041</v>
      </c>
      <c r="J363" s="16">
        <v>91545</v>
      </c>
      <c r="K363" s="63">
        <v>24.08</v>
      </c>
      <c r="L363" s="16">
        <v>38</v>
      </c>
      <c r="M363" s="16">
        <v>4525</v>
      </c>
      <c r="N363" s="16">
        <v>64</v>
      </c>
      <c r="O363" s="26">
        <f t="shared" si="24"/>
        <v>4.1509640067726256E-2</v>
      </c>
      <c r="P363" s="13" t="str">
        <f t="shared" si="23"/>
        <v>Bad</v>
      </c>
      <c r="Q363" s="13">
        <f t="shared" si="25"/>
        <v>4.9429242449068767E-2</v>
      </c>
      <c r="R363" s="16">
        <v>2296</v>
      </c>
      <c r="S363" s="50">
        <v>4.0536009999999997E-2</v>
      </c>
      <c r="T363" s="27">
        <f>IF(Table4[[#This Row],[Link clicks]]=0,0,Table4[[#This Row],[Amount spent ]]/Table4[[#This Row],[Link clicks]])</f>
        <v>0.63368421052631574</v>
      </c>
      <c r="U363" s="62" t="s">
        <v>407</v>
      </c>
      <c r="V363" s="1" t="s">
        <v>413</v>
      </c>
      <c r="W363" s="1">
        <v>6.6618747918164125E-4</v>
      </c>
    </row>
    <row r="364" spans="1:23" x14ac:dyDescent="0.25">
      <c r="A364" s="48" t="s">
        <v>67</v>
      </c>
      <c r="B364" s="12" t="s">
        <v>360</v>
      </c>
      <c r="C364" s="1" t="str">
        <f t="shared" si="22"/>
        <v>Qatar Target Group</v>
      </c>
      <c r="D364" s="1" t="s">
        <v>73</v>
      </c>
      <c r="E364" s="12" t="s">
        <v>177</v>
      </c>
      <c r="F364" s="1" t="s">
        <v>78</v>
      </c>
      <c r="G364" s="1" t="s">
        <v>74</v>
      </c>
      <c r="H364" s="1" t="s">
        <v>94</v>
      </c>
      <c r="I364" s="16">
        <v>22840</v>
      </c>
      <c r="J364" s="16">
        <v>31793</v>
      </c>
      <c r="K364" s="63">
        <v>24</v>
      </c>
      <c r="L364" s="16">
        <v>332</v>
      </c>
      <c r="M364" s="16">
        <v>17042</v>
      </c>
      <c r="N364" s="16">
        <v>81</v>
      </c>
      <c r="O364" s="26">
        <f t="shared" si="24"/>
        <v>1.0442550246909699</v>
      </c>
      <c r="P364" s="13" t="str">
        <f t="shared" si="23"/>
        <v>Good</v>
      </c>
      <c r="Q364" s="13">
        <f t="shared" si="25"/>
        <v>0.53602994369829837</v>
      </c>
      <c r="R364" s="16">
        <v>1732</v>
      </c>
      <c r="S364" s="50">
        <v>3.1003869999999999E-2</v>
      </c>
      <c r="T364" s="27">
        <f>IF(Table4[[#This Row],[Link clicks]]=0,0,Table4[[#This Row],[Amount spent ]]/Table4[[#This Row],[Link clicks]])</f>
        <v>7.2289156626506021E-2</v>
      </c>
      <c r="U364" s="62" t="s">
        <v>407</v>
      </c>
      <c r="V364" s="1" t="s">
        <v>413</v>
      </c>
      <c r="W364" s="1">
        <v>1.4535901926444829E-2</v>
      </c>
    </row>
    <row r="365" spans="1:23" x14ac:dyDescent="0.25">
      <c r="A365" s="48" t="s">
        <v>67</v>
      </c>
      <c r="B365" s="12" t="s">
        <v>360</v>
      </c>
      <c r="C365" s="1" t="str">
        <f t="shared" si="22"/>
        <v>Qatar Target Group</v>
      </c>
      <c r="D365" s="1" t="s">
        <v>73</v>
      </c>
      <c r="E365" s="12" t="s">
        <v>244</v>
      </c>
      <c r="F365" s="1" t="s">
        <v>78</v>
      </c>
      <c r="G365" s="1" t="s">
        <v>74</v>
      </c>
      <c r="H365" s="1" t="s">
        <v>92</v>
      </c>
      <c r="I365" s="16">
        <v>29496</v>
      </c>
      <c r="J365" s="16">
        <v>45258</v>
      </c>
      <c r="K365" s="63">
        <v>23.99</v>
      </c>
      <c r="L365" s="16">
        <v>217</v>
      </c>
      <c r="M365" s="16">
        <v>13890</v>
      </c>
      <c r="N365" s="16">
        <v>44</v>
      </c>
      <c r="O365" s="26">
        <f t="shared" si="24"/>
        <v>0.47947324229970389</v>
      </c>
      <c r="P365" s="13" t="str">
        <f t="shared" si="23"/>
        <v>Good</v>
      </c>
      <c r="Q365" s="13">
        <f t="shared" si="25"/>
        <v>0.30690706615405011</v>
      </c>
      <c r="R365" s="16">
        <v>73</v>
      </c>
      <c r="S365" s="50">
        <v>1.2421699999999999E-3</v>
      </c>
      <c r="T365" s="27">
        <f>IF(Table4[[#This Row],[Link clicks]]=0,0,Table4[[#This Row],[Amount spent ]]/Table4[[#This Row],[Link clicks]])</f>
        <v>0.11055299539170506</v>
      </c>
      <c r="U365" s="62" t="s">
        <v>407</v>
      </c>
      <c r="V365" s="1" t="s">
        <v>413</v>
      </c>
      <c r="W365" s="1">
        <v>7.356929753186873E-3</v>
      </c>
    </row>
    <row r="366" spans="1:23" x14ac:dyDescent="0.25">
      <c r="A366" s="48" t="s">
        <v>67</v>
      </c>
      <c r="B366" s="12" t="s">
        <v>360</v>
      </c>
      <c r="C366" s="1" t="str">
        <f t="shared" si="22"/>
        <v>Qatar Target Group</v>
      </c>
      <c r="D366" s="1" t="s">
        <v>73</v>
      </c>
      <c r="E366" s="12" t="s">
        <v>246</v>
      </c>
      <c r="F366" s="1" t="s">
        <v>78</v>
      </c>
      <c r="G366" s="1" t="s">
        <v>74</v>
      </c>
      <c r="H366" s="1" t="s">
        <v>94</v>
      </c>
      <c r="I366" s="16">
        <v>16905</v>
      </c>
      <c r="J366" s="16">
        <v>25953</v>
      </c>
      <c r="K366" s="63">
        <v>22.74</v>
      </c>
      <c r="L366" s="16">
        <v>253</v>
      </c>
      <c r="M366" s="16">
        <v>16007</v>
      </c>
      <c r="N366" s="16">
        <v>10</v>
      </c>
      <c r="O366" s="26">
        <f t="shared" si="24"/>
        <v>0.97483913227757868</v>
      </c>
      <c r="P366" s="13" t="str">
        <f t="shared" si="23"/>
        <v>Good</v>
      </c>
      <c r="Q366" s="13">
        <f t="shared" si="25"/>
        <v>0.61676877432281429</v>
      </c>
      <c r="R366" s="16">
        <v>2080</v>
      </c>
      <c r="S366" s="50">
        <v>4.3584850000000001E-2</v>
      </c>
      <c r="T366" s="27">
        <f>IF(Table4[[#This Row],[Link clicks]]=0,0,Table4[[#This Row],[Amount spent ]]/Table4[[#This Row],[Link clicks]])</f>
        <v>8.9881422924901186E-2</v>
      </c>
      <c r="U366" s="62" t="s">
        <v>407</v>
      </c>
      <c r="V366" s="1" t="s">
        <v>413</v>
      </c>
      <c r="W366" s="1">
        <v>1.4965986394557819E-2</v>
      </c>
    </row>
    <row r="367" spans="1:23" x14ac:dyDescent="0.25">
      <c r="A367" s="48" t="s">
        <v>67</v>
      </c>
      <c r="B367" s="12" t="s">
        <v>360</v>
      </c>
      <c r="C367" s="1" t="str">
        <f t="shared" si="22"/>
        <v>Qatar Target Group</v>
      </c>
      <c r="D367" s="1" t="s">
        <v>73</v>
      </c>
      <c r="E367" s="12" t="s">
        <v>170</v>
      </c>
      <c r="F367" s="1" t="s">
        <v>78</v>
      </c>
      <c r="G367" s="1" t="s">
        <v>74</v>
      </c>
      <c r="H367" s="1" t="s">
        <v>92</v>
      </c>
      <c r="I367" s="16">
        <v>43326</v>
      </c>
      <c r="J367" s="16">
        <v>90035</v>
      </c>
      <c r="K367" s="63">
        <v>22.61</v>
      </c>
      <c r="L367" s="16">
        <v>325</v>
      </c>
      <c r="M367" s="16">
        <v>4475</v>
      </c>
      <c r="N367" s="16">
        <v>202</v>
      </c>
      <c r="O367" s="26">
        <f t="shared" si="24"/>
        <v>0.3609707336035986</v>
      </c>
      <c r="P367" s="13" t="str">
        <f t="shared" si="23"/>
        <v>Good</v>
      </c>
      <c r="Q367" s="13">
        <f t="shared" si="25"/>
        <v>4.9702893319264731E-2</v>
      </c>
      <c r="R367" s="16">
        <v>3945</v>
      </c>
      <c r="S367" s="50">
        <v>0.26467627999999999</v>
      </c>
      <c r="T367" s="27">
        <f>IF(Table4[[#This Row],[Link clicks]]=0,0,Table4[[#This Row],[Amount spent ]]/Table4[[#This Row],[Link clicks]])</f>
        <v>6.9569230769230772E-2</v>
      </c>
      <c r="U367" s="62" t="s">
        <v>407</v>
      </c>
      <c r="V367" s="1" t="s">
        <v>413</v>
      </c>
      <c r="W367" s="1">
        <v>7.5012694455984857E-3</v>
      </c>
    </row>
    <row r="368" spans="1:23" x14ac:dyDescent="0.25">
      <c r="A368" s="48" t="s">
        <v>67</v>
      </c>
      <c r="B368" s="12" t="s">
        <v>360</v>
      </c>
      <c r="C368" s="1" t="str">
        <f t="shared" si="22"/>
        <v>Qatar Target Group</v>
      </c>
      <c r="D368" s="1" t="s">
        <v>73</v>
      </c>
      <c r="E368" s="12" t="s">
        <v>251</v>
      </c>
      <c r="F368" s="1" t="s">
        <v>77</v>
      </c>
      <c r="G368" s="1" t="s">
        <v>98</v>
      </c>
      <c r="H368" s="1" t="s">
        <v>94</v>
      </c>
      <c r="I368" s="16">
        <v>40014</v>
      </c>
      <c r="J368" s="16">
        <v>77493</v>
      </c>
      <c r="K368" s="63">
        <v>20.41</v>
      </c>
      <c r="L368" s="16">
        <v>160</v>
      </c>
      <c r="M368" s="16">
        <v>0</v>
      </c>
      <c r="N368" s="16">
        <v>0</v>
      </c>
      <c r="O368" s="26">
        <f t="shared" si="24"/>
        <v>0.20647026183010078</v>
      </c>
      <c r="P368" s="13" t="str">
        <f t="shared" si="23"/>
        <v>Good</v>
      </c>
      <c r="Q368" s="13">
        <f t="shared" si="25"/>
        <v>0</v>
      </c>
      <c r="R368" s="16">
        <v>1837</v>
      </c>
      <c r="S368" s="50">
        <v>3.8841319999999999E-2</v>
      </c>
      <c r="T368" s="27">
        <f>IF(Table4[[#This Row],[Link clicks]]=0,0,Table4[[#This Row],[Amount spent ]]/Table4[[#This Row],[Link clicks]])</f>
        <v>0.1275625</v>
      </c>
      <c r="U368" s="62" t="s">
        <v>407</v>
      </c>
      <c r="V368" s="1" t="s">
        <v>413</v>
      </c>
      <c r="W368" s="1">
        <v>3.9986004898285602E-3</v>
      </c>
    </row>
    <row r="369" spans="1:23" x14ac:dyDescent="0.25">
      <c r="A369" s="48" t="s">
        <v>67</v>
      </c>
      <c r="B369" s="12" t="s">
        <v>360</v>
      </c>
      <c r="C369" s="1" t="str">
        <f t="shared" si="22"/>
        <v>Qatar Target Group</v>
      </c>
      <c r="D369" s="1" t="s">
        <v>73</v>
      </c>
      <c r="E369" s="12" t="s">
        <v>246</v>
      </c>
      <c r="F369" s="1" t="s">
        <v>78</v>
      </c>
      <c r="G369" s="1" t="s">
        <v>74</v>
      </c>
      <c r="H369" s="1" t="s">
        <v>94</v>
      </c>
      <c r="I369" s="16">
        <v>43053</v>
      </c>
      <c r="J369" s="16">
        <v>81139</v>
      </c>
      <c r="K369" s="63">
        <v>20.350000000000001</v>
      </c>
      <c r="L369" s="16">
        <v>254</v>
      </c>
      <c r="M369" s="16">
        <v>1977</v>
      </c>
      <c r="N369" s="16">
        <v>94</v>
      </c>
      <c r="O369" s="26">
        <f t="shared" si="24"/>
        <v>0.31304304958158224</v>
      </c>
      <c r="P369" s="13" t="str">
        <f t="shared" si="23"/>
        <v>Good</v>
      </c>
      <c r="Q369" s="13">
        <f t="shared" si="25"/>
        <v>2.4365594843416851E-2</v>
      </c>
      <c r="R369" s="16">
        <v>2073</v>
      </c>
      <c r="S369" s="50">
        <v>4.3772039999999998E-2</v>
      </c>
      <c r="T369" s="27">
        <f>IF(Table4[[#This Row],[Link clicks]]=0,0,Table4[[#This Row],[Amount spent ]]/Table4[[#This Row],[Link clicks]])</f>
        <v>8.011811023622048E-2</v>
      </c>
      <c r="U369" s="62" t="s">
        <v>407</v>
      </c>
      <c r="V369" s="1" t="s">
        <v>413</v>
      </c>
      <c r="W369" s="1">
        <v>5.8997050147492616E-3</v>
      </c>
    </row>
    <row r="370" spans="1:23" x14ac:dyDescent="0.25">
      <c r="A370" s="48" t="s">
        <v>67</v>
      </c>
      <c r="B370" s="12" t="s">
        <v>360</v>
      </c>
      <c r="C370" s="1" t="str">
        <f t="shared" si="22"/>
        <v>Qatar Target Group</v>
      </c>
      <c r="D370" s="1" t="s">
        <v>73</v>
      </c>
      <c r="E370" s="12" t="s">
        <v>244</v>
      </c>
      <c r="F370" s="1" t="s">
        <v>78</v>
      </c>
      <c r="G370" s="1" t="s">
        <v>74</v>
      </c>
      <c r="H370" s="1" t="s">
        <v>92</v>
      </c>
      <c r="I370" s="16">
        <v>33128</v>
      </c>
      <c r="J370" s="16">
        <v>71372</v>
      </c>
      <c r="K370" s="63">
        <v>18.41</v>
      </c>
      <c r="L370" s="16">
        <v>191</v>
      </c>
      <c r="M370" s="16">
        <v>2100</v>
      </c>
      <c r="N370" s="16">
        <v>62</v>
      </c>
      <c r="O370" s="26">
        <f t="shared" si="24"/>
        <v>0.26761194866334137</v>
      </c>
      <c r="P370" s="13" t="str">
        <f t="shared" si="23"/>
        <v>Good</v>
      </c>
      <c r="Q370" s="13">
        <f t="shared" si="25"/>
        <v>2.9423303256178895E-2</v>
      </c>
      <c r="R370" s="16">
        <v>7442</v>
      </c>
      <c r="S370" s="50">
        <v>0.50474768999999997</v>
      </c>
      <c r="T370" s="27">
        <f>IF(Table4[[#This Row],[Link clicks]]=0,0,Table4[[#This Row],[Amount spent ]]/Table4[[#This Row],[Link clicks]])</f>
        <v>9.6387434554973825E-2</v>
      </c>
      <c r="U370" s="62" t="s">
        <v>407</v>
      </c>
      <c r="V370" s="1" t="s">
        <v>413</v>
      </c>
      <c r="W370" s="1">
        <v>5.7655155759478386E-3</v>
      </c>
    </row>
    <row r="371" spans="1:23" x14ac:dyDescent="0.25">
      <c r="A371" s="48" t="s">
        <v>67</v>
      </c>
      <c r="B371" s="12" t="s">
        <v>360</v>
      </c>
      <c r="C371" s="1" t="str">
        <f t="shared" si="22"/>
        <v>Qatar Target Group</v>
      </c>
      <c r="D371" s="1" t="s">
        <v>73</v>
      </c>
      <c r="E371" s="12" t="s">
        <v>198</v>
      </c>
      <c r="F371" s="1" t="s">
        <v>77</v>
      </c>
      <c r="G371" s="1" t="s">
        <v>74</v>
      </c>
      <c r="H371" s="1" t="s">
        <v>92</v>
      </c>
      <c r="I371" s="16">
        <v>39215</v>
      </c>
      <c r="J371" s="16">
        <v>68617</v>
      </c>
      <c r="K371" s="63">
        <v>17.329999999999998</v>
      </c>
      <c r="L371" s="16">
        <v>180</v>
      </c>
      <c r="M371" s="16">
        <v>2665</v>
      </c>
      <c r="N371" s="16">
        <v>68</v>
      </c>
      <c r="O371" s="26">
        <f t="shared" si="24"/>
        <v>0.26232566273663965</v>
      </c>
      <c r="P371" s="13" t="str">
        <f t="shared" si="23"/>
        <v>Good</v>
      </c>
      <c r="Q371" s="13">
        <f t="shared" si="25"/>
        <v>3.8838771732952478E-2</v>
      </c>
      <c r="R371" s="16">
        <v>3778</v>
      </c>
      <c r="S371" s="50">
        <v>0.16876619000000001</v>
      </c>
      <c r="T371" s="27">
        <f>IF(Table4[[#This Row],[Link clicks]]=0,0,Table4[[#This Row],[Amount spent ]]/Table4[[#This Row],[Link clicks]])</f>
        <v>9.6277777777777768E-2</v>
      </c>
      <c r="U371" s="62" t="s">
        <v>407</v>
      </c>
      <c r="V371" s="1" t="s">
        <v>413</v>
      </c>
      <c r="W371" s="1">
        <v>4.5900803264057122E-3</v>
      </c>
    </row>
    <row r="372" spans="1:23" x14ac:dyDescent="0.25">
      <c r="A372" s="48" t="s">
        <v>67</v>
      </c>
      <c r="B372" s="12" t="s">
        <v>360</v>
      </c>
      <c r="C372" s="1" t="str">
        <f t="shared" si="22"/>
        <v>Qatar Target Group</v>
      </c>
      <c r="D372" s="1" t="s">
        <v>73</v>
      </c>
      <c r="E372" s="12" t="s">
        <v>258</v>
      </c>
      <c r="F372" s="1" t="s">
        <v>78</v>
      </c>
      <c r="G372" s="1" t="s">
        <v>74</v>
      </c>
      <c r="H372" s="1" t="s">
        <v>75</v>
      </c>
      <c r="I372" s="16">
        <v>44072</v>
      </c>
      <c r="J372" s="16">
        <v>59902</v>
      </c>
      <c r="K372" s="63">
        <v>15.52</v>
      </c>
      <c r="L372" s="16">
        <v>35</v>
      </c>
      <c r="M372" s="16">
        <v>2361</v>
      </c>
      <c r="N372" s="16">
        <v>31</v>
      </c>
      <c r="O372" s="26">
        <f t="shared" si="24"/>
        <v>5.8428766986077262E-2</v>
      </c>
      <c r="P372" s="13" t="str">
        <f t="shared" si="23"/>
        <v>Bad</v>
      </c>
      <c r="Q372" s="13">
        <f t="shared" si="25"/>
        <v>3.9414376815465259E-2</v>
      </c>
      <c r="R372" s="16">
        <v>45</v>
      </c>
      <c r="S372" s="50">
        <v>1.07493E-3</v>
      </c>
      <c r="T372" s="27">
        <f>IF(Table4[[#This Row],[Link clicks]]=0,0,Table4[[#This Row],[Amount spent ]]/Table4[[#This Row],[Link clicks]])</f>
        <v>0.44342857142857139</v>
      </c>
      <c r="U372" s="62" t="s">
        <v>407</v>
      </c>
      <c r="V372" s="1" t="s">
        <v>413</v>
      </c>
      <c r="W372" s="1">
        <v>7.9415501905972044E-4</v>
      </c>
    </row>
    <row r="373" spans="1:23" x14ac:dyDescent="0.25">
      <c r="A373" s="48" t="s">
        <v>67</v>
      </c>
      <c r="B373" s="12" t="s">
        <v>360</v>
      </c>
      <c r="C373" s="1" t="str">
        <f t="shared" si="22"/>
        <v>Qatar Target Group</v>
      </c>
      <c r="D373" s="1" t="s">
        <v>73</v>
      </c>
      <c r="E373" s="12" t="s">
        <v>261</v>
      </c>
      <c r="F373" s="1" t="s">
        <v>78</v>
      </c>
      <c r="G373" s="1" t="s">
        <v>98</v>
      </c>
      <c r="H373" s="1" t="s">
        <v>94</v>
      </c>
      <c r="I373" s="16">
        <v>25560</v>
      </c>
      <c r="J373" s="16">
        <v>57561</v>
      </c>
      <c r="K373" s="63">
        <v>15.16</v>
      </c>
      <c r="L373" s="16">
        <v>164</v>
      </c>
      <c r="M373" s="16">
        <v>0</v>
      </c>
      <c r="N373" s="16">
        <v>0</v>
      </c>
      <c r="O373" s="26">
        <f t="shared" si="24"/>
        <v>0.28491513351053666</v>
      </c>
      <c r="P373" s="13" t="str">
        <f t="shared" si="23"/>
        <v>Good</v>
      </c>
      <c r="Q373" s="13">
        <f t="shared" si="25"/>
        <v>0</v>
      </c>
      <c r="R373" s="16">
        <v>1802</v>
      </c>
      <c r="S373" s="50">
        <v>4.380378E-2</v>
      </c>
      <c r="T373" s="27">
        <f>IF(Table4[[#This Row],[Link clicks]]=0,0,Table4[[#This Row],[Amount spent ]]/Table4[[#This Row],[Link clicks]])</f>
        <v>9.2439024390243901E-2</v>
      </c>
      <c r="U373" s="62" t="s">
        <v>407</v>
      </c>
      <c r="V373" s="1" t="s">
        <v>413</v>
      </c>
      <c r="W373" s="1">
        <v>6.4162754303599377E-3</v>
      </c>
    </row>
    <row r="374" spans="1:23" x14ac:dyDescent="0.25">
      <c r="A374" s="48" t="s">
        <v>67</v>
      </c>
      <c r="B374" s="12" t="s">
        <v>360</v>
      </c>
      <c r="C374" s="1" t="str">
        <f t="shared" si="22"/>
        <v>Qatar Target Group</v>
      </c>
      <c r="D374" s="1" t="s">
        <v>73</v>
      </c>
      <c r="E374" s="12" t="s">
        <v>28</v>
      </c>
      <c r="F374" s="1" t="s">
        <v>78</v>
      </c>
      <c r="G374" s="1" t="s">
        <v>74</v>
      </c>
      <c r="H374" s="1" t="s">
        <v>75</v>
      </c>
      <c r="I374" s="16">
        <v>44033</v>
      </c>
      <c r="J374" s="16">
        <v>58612</v>
      </c>
      <c r="K374" s="63">
        <v>14.91</v>
      </c>
      <c r="L374" s="16">
        <v>47</v>
      </c>
      <c r="M374" s="16">
        <v>3700</v>
      </c>
      <c r="N374" s="16">
        <v>117</v>
      </c>
      <c r="O374" s="26">
        <f t="shared" si="24"/>
        <v>8.0188357332969362E-2</v>
      </c>
      <c r="P374" s="13" t="str">
        <f t="shared" si="23"/>
        <v>Bad</v>
      </c>
      <c r="Q374" s="13">
        <f t="shared" si="25"/>
        <v>6.3127004708933329E-2</v>
      </c>
      <c r="R374" s="16">
        <v>49</v>
      </c>
      <c r="S374" s="50">
        <v>1.3462999999999999E-3</v>
      </c>
      <c r="T374" s="27">
        <f>IF(Table4[[#This Row],[Link clicks]]=0,0,Table4[[#This Row],[Amount spent ]]/Table4[[#This Row],[Link clicks]])</f>
        <v>0.31723404255319149</v>
      </c>
      <c r="U374" s="62" t="s">
        <v>407</v>
      </c>
      <c r="V374" s="1" t="s">
        <v>413</v>
      </c>
      <c r="W374" s="1">
        <v>1.0673812822201529E-3</v>
      </c>
    </row>
    <row r="375" spans="1:23" x14ac:dyDescent="0.25">
      <c r="A375" s="48" t="s">
        <v>67</v>
      </c>
      <c r="B375" s="12" t="s">
        <v>360</v>
      </c>
      <c r="C375" s="1" t="str">
        <f t="shared" si="22"/>
        <v>Qatar Target Group</v>
      </c>
      <c r="D375" s="1" t="s">
        <v>73</v>
      </c>
      <c r="E375" s="12" t="s">
        <v>237</v>
      </c>
      <c r="F375" s="1" t="s">
        <v>77</v>
      </c>
      <c r="G375" s="1" t="s">
        <v>74</v>
      </c>
      <c r="H375" s="1" t="s">
        <v>94</v>
      </c>
      <c r="I375" s="16">
        <v>36088</v>
      </c>
      <c r="J375" s="16">
        <v>56645</v>
      </c>
      <c r="K375" s="63">
        <v>14.27</v>
      </c>
      <c r="L375" s="16">
        <v>170</v>
      </c>
      <c r="M375" s="16">
        <v>1822</v>
      </c>
      <c r="N375" s="16">
        <v>71</v>
      </c>
      <c r="O375" s="26">
        <f t="shared" si="24"/>
        <v>0.3001147497572601</v>
      </c>
      <c r="P375" s="13" t="str">
        <f t="shared" si="23"/>
        <v>Good</v>
      </c>
      <c r="Q375" s="13">
        <f t="shared" si="25"/>
        <v>3.2165239650454584E-2</v>
      </c>
      <c r="R375" s="16">
        <v>651</v>
      </c>
      <c r="S375" s="50">
        <v>2.2222220000000001E-2</v>
      </c>
      <c r="T375" s="27">
        <f>IF(Table4[[#This Row],[Link clicks]]=0,0,Table4[[#This Row],[Amount spent ]]/Table4[[#This Row],[Link clicks]])</f>
        <v>8.3941176470588227E-2</v>
      </c>
      <c r="U375" s="62" t="s">
        <v>407</v>
      </c>
      <c r="V375" s="1" t="s">
        <v>413</v>
      </c>
      <c r="W375" s="1">
        <v>4.7107071602748834E-3</v>
      </c>
    </row>
    <row r="376" spans="1:23" x14ac:dyDescent="0.25">
      <c r="A376" s="48" t="s">
        <v>67</v>
      </c>
      <c r="B376" s="12" t="s">
        <v>360</v>
      </c>
      <c r="C376" s="1" t="str">
        <f t="shared" si="22"/>
        <v>Qatar Target Group</v>
      </c>
      <c r="D376" s="1" t="s">
        <v>73</v>
      </c>
      <c r="E376" s="12" t="s">
        <v>262</v>
      </c>
      <c r="F376" s="1" t="s">
        <v>77</v>
      </c>
      <c r="G376" s="1" t="s">
        <v>74</v>
      </c>
      <c r="H376" s="1" t="s">
        <v>94</v>
      </c>
      <c r="I376" s="16">
        <v>27455</v>
      </c>
      <c r="J376" s="16">
        <v>54314</v>
      </c>
      <c r="K376" s="63">
        <v>13.8</v>
      </c>
      <c r="L376" s="16">
        <v>101</v>
      </c>
      <c r="M376" s="16">
        <v>823</v>
      </c>
      <c r="N376" s="16">
        <v>712</v>
      </c>
      <c r="O376" s="26">
        <f t="shared" si="24"/>
        <v>0.1859557388518614</v>
      </c>
      <c r="P376" s="13" t="str">
        <f t="shared" si="23"/>
        <v>Bad</v>
      </c>
      <c r="Q376" s="13">
        <f t="shared" si="25"/>
        <v>1.5152630997532864E-2</v>
      </c>
      <c r="R376" s="16">
        <v>455</v>
      </c>
      <c r="S376" s="50">
        <v>1.8596479999999999E-2</v>
      </c>
      <c r="T376" s="27">
        <f>IF(Table4[[#This Row],[Link clicks]]=0,0,Table4[[#This Row],[Amount spent ]]/Table4[[#This Row],[Link clicks]])</f>
        <v>0.13663366336633664</v>
      </c>
      <c r="U376" s="62" t="s">
        <v>407</v>
      </c>
      <c r="V376" s="1" t="s">
        <v>413</v>
      </c>
      <c r="W376" s="1">
        <v>3.678747040611911E-3</v>
      </c>
    </row>
    <row r="377" spans="1:23" x14ac:dyDescent="0.25">
      <c r="A377" s="48" t="s">
        <v>67</v>
      </c>
      <c r="B377" s="12" t="s">
        <v>360</v>
      </c>
      <c r="C377" s="1" t="str">
        <f t="shared" si="22"/>
        <v>Qatar Target Group</v>
      </c>
      <c r="D377" s="1" t="s">
        <v>73</v>
      </c>
      <c r="E377" s="12" t="s">
        <v>265</v>
      </c>
      <c r="F377" s="1" t="s">
        <v>77</v>
      </c>
      <c r="G377" s="1" t="s">
        <v>74</v>
      </c>
      <c r="H377" s="1" t="s">
        <v>75</v>
      </c>
      <c r="I377" s="16">
        <v>43855</v>
      </c>
      <c r="J377" s="16">
        <v>52325</v>
      </c>
      <c r="K377" s="63">
        <v>12.92</v>
      </c>
      <c r="L377" s="16">
        <v>42</v>
      </c>
      <c r="M377" s="16">
        <v>2688</v>
      </c>
      <c r="N377" s="16">
        <v>18</v>
      </c>
      <c r="O377" s="26">
        <f t="shared" si="24"/>
        <v>8.0267558528428096E-2</v>
      </c>
      <c r="P377" s="13" t="str">
        <f t="shared" si="23"/>
        <v>Bad</v>
      </c>
      <c r="Q377" s="13">
        <f t="shared" si="25"/>
        <v>5.1371237458193983E-2</v>
      </c>
      <c r="R377" s="16">
        <v>752</v>
      </c>
      <c r="S377" s="50">
        <v>3.0211720000000001E-2</v>
      </c>
      <c r="T377" s="27">
        <f>IF(Table4[[#This Row],[Link clicks]]=0,0,Table4[[#This Row],[Amount spent ]]/Table4[[#This Row],[Link clicks]])</f>
        <v>0.30761904761904763</v>
      </c>
      <c r="U377" s="62" t="s">
        <v>407</v>
      </c>
      <c r="V377" s="1" t="s">
        <v>413</v>
      </c>
      <c r="W377" s="1">
        <v>9.5770151636073427E-4</v>
      </c>
    </row>
    <row r="378" spans="1:23" x14ac:dyDescent="0.25">
      <c r="A378" s="48" t="s">
        <v>67</v>
      </c>
      <c r="B378" s="12" t="s">
        <v>360</v>
      </c>
      <c r="C378" s="1" t="str">
        <f t="shared" si="22"/>
        <v>Qatar Target Group</v>
      </c>
      <c r="D378" s="1" t="s">
        <v>73</v>
      </c>
      <c r="E378" s="12" t="s">
        <v>146</v>
      </c>
      <c r="F378" s="1" t="s">
        <v>77</v>
      </c>
      <c r="G378" s="1" t="s">
        <v>74</v>
      </c>
      <c r="H378" s="1" t="s">
        <v>92</v>
      </c>
      <c r="I378" s="16">
        <v>31183</v>
      </c>
      <c r="J378" s="16">
        <v>49744</v>
      </c>
      <c r="K378" s="63">
        <v>12.67</v>
      </c>
      <c r="L378" s="16">
        <v>128</v>
      </c>
      <c r="M378" s="16">
        <v>2265</v>
      </c>
      <c r="N378" s="16">
        <v>95</v>
      </c>
      <c r="O378" s="26">
        <f t="shared" si="24"/>
        <v>0.25731746542296557</v>
      </c>
      <c r="P378" s="13" t="str">
        <f t="shared" si="23"/>
        <v>Good</v>
      </c>
      <c r="Q378" s="13">
        <f t="shared" si="25"/>
        <v>4.5533129623673209E-2</v>
      </c>
      <c r="R378" s="16">
        <v>2667</v>
      </c>
      <c r="S378" s="50">
        <v>0.21778539999999999</v>
      </c>
      <c r="T378" s="27">
        <f>IF(Table4[[#This Row],[Link clicks]]=0,0,Table4[[#This Row],[Amount spent ]]/Table4[[#This Row],[Link clicks]])</f>
        <v>9.8984374999999999E-2</v>
      </c>
      <c r="U378" s="62" t="s">
        <v>407</v>
      </c>
      <c r="V378" s="1" t="s">
        <v>413</v>
      </c>
      <c r="W378" s="1">
        <v>4.1048006926851172E-3</v>
      </c>
    </row>
    <row r="379" spans="1:23" x14ac:dyDescent="0.25">
      <c r="A379" s="48" t="s">
        <v>67</v>
      </c>
      <c r="B379" s="12" t="s">
        <v>360</v>
      </c>
      <c r="C379" s="1" t="str">
        <f t="shared" si="22"/>
        <v>Qatar Target Group</v>
      </c>
      <c r="D379" s="1" t="s">
        <v>73</v>
      </c>
      <c r="E379" s="12" t="s">
        <v>266</v>
      </c>
      <c r="F379" s="1" t="s">
        <v>78</v>
      </c>
      <c r="G379" s="1" t="s">
        <v>118</v>
      </c>
      <c r="H379" s="1" t="s">
        <v>94</v>
      </c>
      <c r="I379" s="16">
        <v>27576</v>
      </c>
      <c r="J379" s="16">
        <v>45942</v>
      </c>
      <c r="K379" s="63">
        <v>12.32</v>
      </c>
      <c r="L379" s="16">
        <v>99</v>
      </c>
      <c r="M379" s="16">
        <v>2060</v>
      </c>
      <c r="N379" s="16">
        <v>2027</v>
      </c>
      <c r="O379" s="26">
        <f t="shared" si="24"/>
        <v>0.21548909494580124</v>
      </c>
      <c r="P379" s="13" t="str">
        <f t="shared" si="23"/>
        <v>Good</v>
      </c>
      <c r="Q379" s="13">
        <f t="shared" si="25"/>
        <v>4.4839145008924296E-2</v>
      </c>
      <c r="R379" s="16">
        <v>686</v>
      </c>
      <c r="S379" s="50">
        <v>3.133565E-2</v>
      </c>
      <c r="T379" s="27">
        <f>IF(Table4[[#This Row],[Link clicks]]=0,0,Table4[[#This Row],[Amount spent ]]/Table4[[#This Row],[Link clicks]])</f>
        <v>0.12444444444444444</v>
      </c>
      <c r="U379" s="62" t="s">
        <v>407</v>
      </c>
      <c r="V379" s="1" t="s">
        <v>413</v>
      </c>
      <c r="W379" s="1">
        <v>3.590078328981723E-3</v>
      </c>
    </row>
    <row r="380" spans="1:23" x14ac:dyDescent="0.25">
      <c r="A380" s="48" t="s">
        <v>67</v>
      </c>
      <c r="B380" s="12" t="s">
        <v>360</v>
      </c>
      <c r="C380" s="1" t="str">
        <f t="shared" si="22"/>
        <v>Qatar Target Group</v>
      </c>
      <c r="D380" s="1" t="s">
        <v>73</v>
      </c>
      <c r="E380" s="12" t="s">
        <v>274</v>
      </c>
      <c r="F380" s="1" t="s">
        <v>77</v>
      </c>
      <c r="G380" s="1" t="s">
        <v>118</v>
      </c>
      <c r="H380" s="1" t="s">
        <v>94</v>
      </c>
      <c r="I380" s="16">
        <v>23376</v>
      </c>
      <c r="J380" s="16">
        <v>33887</v>
      </c>
      <c r="K380" s="63">
        <v>9.2200000000000006</v>
      </c>
      <c r="L380" s="16">
        <v>69</v>
      </c>
      <c r="M380" s="16">
        <v>1130</v>
      </c>
      <c r="N380" s="16">
        <v>1159</v>
      </c>
      <c r="O380" s="26">
        <f t="shared" si="24"/>
        <v>0.20361790657184173</v>
      </c>
      <c r="P380" s="13" t="str">
        <f t="shared" si="23"/>
        <v>Good</v>
      </c>
      <c r="Q380" s="13">
        <f t="shared" si="25"/>
        <v>3.3346120931330596E-2</v>
      </c>
      <c r="R380" s="16">
        <v>613</v>
      </c>
      <c r="S380" s="50">
        <v>3.4478880000000003E-2</v>
      </c>
      <c r="T380" s="27">
        <f>IF(Table4[[#This Row],[Link clicks]]=0,0,Table4[[#This Row],[Amount spent ]]/Table4[[#This Row],[Link clicks]])</f>
        <v>0.13362318840579712</v>
      </c>
      <c r="U380" s="62" t="s">
        <v>407</v>
      </c>
      <c r="V380" s="1" t="s">
        <v>413</v>
      </c>
      <c r="W380" s="1">
        <v>2.9517453798767971E-3</v>
      </c>
    </row>
    <row r="381" spans="1:23" x14ac:dyDescent="0.25">
      <c r="A381" s="48" t="s">
        <v>67</v>
      </c>
      <c r="B381" s="12" t="s">
        <v>360</v>
      </c>
      <c r="C381" s="1" t="str">
        <f t="shared" si="22"/>
        <v>Qatar Target Group</v>
      </c>
      <c r="D381" s="1" t="s">
        <v>73</v>
      </c>
      <c r="E381" s="12" t="s">
        <v>208</v>
      </c>
      <c r="F381" s="1" t="s">
        <v>77</v>
      </c>
      <c r="G381" s="1" t="s">
        <v>74</v>
      </c>
      <c r="H381" s="1" t="s">
        <v>94</v>
      </c>
      <c r="I381" s="16">
        <v>11632</v>
      </c>
      <c r="J381" s="16">
        <v>16424</v>
      </c>
      <c r="K381" s="63">
        <v>9.06</v>
      </c>
      <c r="L381" s="16">
        <v>122</v>
      </c>
      <c r="M381" s="16">
        <v>4611</v>
      </c>
      <c r="N381" s="16">
        <v>58</v>
      </c>
      <c r="O381" s="26">
        <f t="shared" si="24"/>
        <v>0.74281539210910863</v>
      </c>
      <c r="P381" s="13" t="str">
        <f t="shared" si="23"/>
        <v>Good</v>
      </c>
      <c r="Q381" s="13">
        <f t="shared" si="25"/>
        <v>0.28074768631271313</v>
      </c>
      <c r="R381" s="16">
        <v>957</v>
      </c>
      <c r="S381" s="50">
        <v>4.9820400000000001E-2</v>
      </c>
      <c r="T381" s="27">
        <f>IF(Table4[[#This Row],[Link clicks]]=0,0,Table4[[#This Row],[Amount spent ]]/Table4[[#This Row],[Link clicks]])</f>
        <v>7.4262295081967217E-2</v>
      </c>
      <c r="U381" s="62" t="s">
        <v>407</v>
      </c>
      <c r="V381" s="1" t="s">
        <v>413</v>
      </c>
      <c r="W381" s="1">
        <v>1.048830811554333E-2</v>
      </c>
    </row>
    <row r="382" spans="1:23" x14ac:dyDescent="0.25">
      <c r="A382" s="48" t="s">
        <v>67</v>
      </c>
      <c r="B382" s="12" t="s">
        <v>360</v>
      </c>
      <c r="C382" s="1" t="str">
        <f t="shared" si="22"/>
        <v>Qatar Target Group</v>
      </c>
      <c r="D382" s="1" t="s">
        <v>73</v>
      </c>
      <c r="E382" s="12" t="s">
        <v>169</v>
      </c>
      <c r="F382" s="1" t="s">
        <v>77</v>
      </c>
      <c r="G382" s="1" t="s">
        <v>74</v>
      </c>
      <c r="H382" s="1" t="s">
        <v>92</v>
      </c>
      <c r="I382" s="16">
        <v>12884</v>
      </c>
      <c r="J382" s="16">
        <v>16746</v>
      </c>
      <c r="K382" s="63">
        <v>8.9600000000000009</v>
      </c>
      <c r="L382" s="16">
        <v>112</v>
      </c>
      <c r="M382" s="16">
        <v>4384</v>
      </c>
      <c r="N382" s="16">
        <v>46</v>
      </c>
      <c r="O382" s="26">
        <f t="shared" si="24"/>
        <v>0.66881643377522992</v>
      </c>
      <c r="P382" s="13" t="str">
        <f t="shared" si="23"/>
        <v>Good</v>
      </c>
      <c r="Q382" s="13">
        <f t="shared" si="25"/>
        <v>0.26179386122059001</v>
      </c>
      <c r="R382" s="16">
        <v>2266</v>
      </c>
      <c r="S382" s="50">
        <v>0.19950696000000001</v>
      </c>
      <c r="T382" s="27">
        <f>IF(Table4[[#This Row],[Link clicks]]=0,0,Table4[[#This Row],[Amount spent ]]/Table4[[#This Row],[Link clicks]])</f>
        <v>0.08</v>
      </c>
      <c r="U382" s="62" t="s">
        <v>407</v>
      </c>
      <c r="V382" s="1" t="s">
        <v>413</v>
      </c>
      <c r="W382" s="1">
        <v>8.6929524992238431E-3</v>
      </c>
    </row>
    <row r="383" spans="1:23" x14ac:dyDescent="0.25">
      <c r="A383" s="48" t="s">
        <v>67</v>
      </c>
      <c r="B383" s="12" t="s">
        <v>360</v>
      </c>
      <c r="C383" s="1" t="str">
        <f t="shared" si="22"/>
        <v>Qatar Target Group</v>
      </c>
      <c r="D383" s="1" t="s">
        <v>73</v>
      </c>
      <c r="E383" s="12" t="s">
        <v>262</v>
      </c>
      <c r="F383" s="1" t="s">
        <v>77</v>
      </c>
      <c r="G383" s="1" t="s">
        <v>74</v>
      </c>
      <c r="H383" s="1" t="s">
        <v>94</v>
      </c>
      <c r="I383" s="16">
        <v>1032</v>
      </c>
      <c r="J383" s="16">
        <v>1454</v>
      </c>
      <c r="K383" s="63">
        <v>0.5</v>
      </c>
      <c r="L383" s="16">
        <v>5</v>
      </c>
      <c r="M383" s="16">
        <v>101</v>
      </c>
      <c r="N383" s="16">
        <v>86</v>
      </c>
      <c r="O383" s="26">
        <f t="shared" si="24"/>
        <v>0.34387895460797796</v>
      </c>
      <c r="P383" s="13" t="str">
        <f t="shared" si="23"/>
        <v>Good</v>
      </c>
      <c r="Q383" s="13">
        <f t="shared" si="25"/>
        <v>6.9463548830811558E-2</v>
      </c>
      <c r="R383" s="16">
        <v>1810</v>
      </c>
      <c r="S383" s="50">
        <v>0.21309159</v>
      </c>
      <c r="T383" s="27">
        <f>IF(Table4[[#This Row],[Link clicks]]=0,0,Table4[[#This Row],[Amount spent ]]/Table4[[#This Row],[Link clicks]])</f>
        <v>0.1</v>
      </c>
      <c r="U383" s="62" t="s">
        <v>407</v>
      </c>
      <c r="V383" s="1" t="s">
        <v>413</v>
      </c>
      <c r="W383" s="1">
        <v>4.8449612403100766E-3</v>
      </c>
    </row>
    <row r="384" spans="1:23" x14ac:dyDescent="0.25">
      <c r="A384" s="48" t="s">
        <v>67</v>
      </c>
      <c r="B384" s="12" t="s">
        <v>360</v>
      </c>
      <c r="C384" s="1" t="str">
        <f t="shared" si="22"/>
        <v>Qatar Target Group</v>
      </c>
      <c r="D384" s="1" t="s">
        <v>73</v>
      </c>
      <c r="E384" s="12" t="s">
        <v>238</v>
      </c>
      <c r="F384" s="1" t="s">
        <v>78</v>
      </c>
      <c r="G384" s="1" t="s">
        <v>74</v>
      </c>
      <c r="H384" s="1" t="s">
        <v>94</v>
      </c>
      <c r="I384" s="16">
        <v>421</v>
      </c>
      <c r="J384" s="16">
        <v>564</v>
      </c>
      <c r="K384" s="63">
        <v>0.21</v>
      </c>
      <c r="L384" s="16">
        <v>2</v>
      </c>
      <c r="M384" s="16">
        <v>78</v>
      </c>
      <c r="N384" s="16">
        <v>68</v>
      </c>
      <c r="O384" s="26">
        <f t="shared" si="24"/>
        <v>0.3546099290780142</v>
      </c>
      <c r="P384" s="13" t="str">
        <f t="shared" si="23"/>
        <v>Good</v>
      </c>
      <c r="Q384" s="13">
        <f t="shared" si="25"/>
        <v>0.13829787234042554</v>
      </c>
      <c r="R384" s="16">
        <v>366</v>
      </c>
      <c r="S384" s="50">
        <v>2.2241130000000001E-2</v>
      </c>
      <c r="T384" s="27">
        <f>IF(Table4[[#This Row],[Link clicks]]=0,0,Table4[[#This Row],[Amount spent ]]/Table4[[#This Row],[Link clicks]])</f>
        <v>0.105</v>
      </c>
      <c r="U384" s="62" t="s">
        <v>407</v>
      </c>
      <c r="V384" s="1" t="s">
        <v>413</v>
      </c>
      <c r="W384" s="1">
        <v>4.7505938242280287E-3</v>
      </c>
    </row>
    <row r="385" spans="1:23" x14ac:dyDescent="0.25">
      <c r="A385" s="48" t="s">
        <v>67</v>
      </c>
      <c r="B385" s="12" t="s">
        <v>360</v>
      </c>
      <c r="C385" s="1" t="str">
        <f t="shared" si="22"/>
        <v>Qatar Target Group</v>
      </c>
      <c r="D385" s="1" t="s">
        <v>73</v>
      </c>
      <c r="E385" s="12" t="s">
        <v>24</v>
      </c>
      <c r="F385" s="1" t="s">
        <v>77</v>
      </c>
      <c r="G385" s="1" t="s">
        <v>74</v>
      </c>
      <c r="H385" s="1" t="s">
        <v>75</v>
      </c>
      <c r="I385" s="16">
        <v>1</v>
      </c>
      <c r="J385" s="16">
        <v>1</v>
      </c>
      <c r="K385" s="63">
        <v>0</v>
      </c>
      <c r="L385" s="16">
        <v>0</v>
      </c>
      <c r="M385" s="16">
        <v>0</v>
      </c>
      <c r="N385" s="16">
        <v>0</v>
      </c>
      <c r="O385" s="26">
        <f t="shared" si="24"/>
        <v>0</v>
      </c>
      <c r="P385" s="13" t="str">
        <f t="shared" si="23"/>
        <v>Bad</v>
      </c>
      <c r="Q385" s="13">
        <f t="shared" si="25"/>
        <v>0</v>
      </c>
      <c r="R385" s="16">
        <v>441</v>
      </c>
      <c r="S385" s="50">
        <v>3.0676129999999999E-2</v>
      </c>
      <c r="T385" s="27">
        <f>IF(Table4[[#This Row],[Link clicks]]=0,0,Table4[[#This Row],[Amount spent ]]/Table4[[#This Row],[Link clicks]])</f>
        <v>0</v>
      </c>
      <c r="U385" s="62" t="s">
        <v>407</v>
      </c>
      <c r="V385" s="1" t="s">
        <v>413</v>
      </c>
      <c r="W385" s="1">
        <v>0</v>
      </c>
    </row>
    <row r="386" spans="1:23" x14ac:dyDescent="0.25">
      <c r="A386" s="48" t="s">
        <v>67</v>
      </c>
      <c r="B386" s="12" t="s">
        <v>360</v>
      </c>
      <c r="C386" s="1" t="str">
        <f t="shared" ref="C386:C427" si="26">IF(A386 = "AE","United Arab Emirates Target Group",IF(A386 = "BAH","Bahrain Target Group",IF(A386="JED","Jeddah Target Group",IF(A386="KWT","Kuwait Target Group",IF(A386="QAT","Qatar Target Group",IF(A386="RIY","Riyadh Target Group","Oman Target Group"))))))</f>
        <v>Qatar Target Group</v>
      </c>
      <c r="D386" s="1" t="s">
        <v>73</v>
      </c>
      <c r="E386" s="12" t="s">
        <v>27</v>
      </c>
      <c r="F386" s="1" t="s">
        <v>77</v>
      </c>
      <c r="G386" s="1" t="s">
        <v>74</v>
      </c>
      <c r="H386" s="1" t="s">
        <v>75</v>
      </c>
      <c r="I386" s="16">
        <v>1</v>
      </c>
      <c r="J386" s="16">
        <v>1</v>
      </c>
      <c r="K386" s="63">
        <v>0</v>
      </c>
      <c r="L386" s="16">
        <v>0</v>
      </c>
      <c r="M386" s="16">
        <v>0</v>
      </c>
      <c r="N386" s="16">
        <v>0</v>
      </c>
      <c r="O386" s="26">
        <f t="shared" si="24"/>
        <v>0</v>
      </c>
      <c r="P386" s="13" t="str">
        <f t="shared" ref="P386:P427" si="27">IF(O386&gt;0.2,"Good","Bad")</f>
        <v>Bad</v>
      </c>
      <c r="Q386" s="13">
        <f t="shared" si="25"/>
        <v>0</v>
      </c>
      <c r="R386" s="16">
        <v>462</v>
      </c>
      <c r="S386" s="50">
        <v>3.4408279999999999E-2</v>
      </c>
      <c r="T386" s="27">
        <f>IF(Table4[[#This Row],[Link clicks]]=0,0,Table4[[#This Row],[Amount spent ]]/Table4[[#This Row],[Link clicks]])</f>
        <v>0</v>
      </c>
      <c r="U386" s="62" t="s">
        <v>407</v>
      </c>
      <c r="V386" s="1" t="s">
        <v>413</v>
      </c>
      <c r="W386" s="1">
        <v>0</v>
      </c>
    </row>
    <row r="387" spans="1:23" x14ac:dyDescent="0.25">
      <c r="A387" s="48" t="s">
        <v>67</v>
      </c>
      <c r="B387" s="12" t="s">
        <v>360</v>
      </c>
      <c r="C387" s="1" t="str">
        <f t="shared" si="26"/>
        <v>Qatar Target Group</v>
      </c>
      <c r="D387" s="1" t="s">
        <v>73</v>
      </c>
      <c r="E387" s="12" t="s">
        <v>28</v>
      </c>
      <c r="F387" s="1" t="s">
        <v>78</v>
      </c>
      <c r="G387" s="1" t="s">
        <v>74</v>
      </c>
      <c r="H387" s="1" t="s">
        <v>75</v>
      </c>
      <c r="I387" s="16">
        <v>7</v>
      </c>
      <c r="J387" s="16">
        <v>7</v>
      </c>
      <c r="K387" s="63">
        <v>0</v>
      </c>
      <c r="L387" s="16">
        <v>0</v>
      </c>
      <c r="M387" s="16">
        <v>0</v>
      </c>
      <c r="N387" s="16">
        <v>0</v>
      </c>
      <c r="O387" s="26">
        <f t="shared" ref="O387:O427" si="28">IF(J387=0,0,(L387/J387)*100)</f>
        <v>0</v>
      </c>
      <c r="P387" s="13" t="str">
        <f t="shared" si="27"/>
        <v>Bad</v>
      </c>
      <c r="Q387" s="13">
        <f t="shared" si="25"/>
        <v>0</v>
      </c>
      <c r="R387" s="16">
        <v>597</v>
      </c>
      <c r="S387" s="50">
        <v>4.300843E-2</v>
      </c>
      <c r="T387" s="27">
        <f>IF(Table4[[#This Row],[Link clicks]]=0,0,Table4[[#This Row],[Amount spent ]]/Table4[[#This Row],[Link clicks]])</f>
        <v>0</v>
      </c>
      <c r="U387" s="62" t="s">
        <v>407</v>
      </c>
      <c r="V387" s="1" t="s">
        <v>413</v>
      </c>
      <c r="W387" s="1">
        <v>0</v>
      </c>
    </row>
    <row r="388" spans="1:23" x14ac:dyDescent="0.25">
      <c r="A388" s="48" t="s">
        <v>67</v>
      </c>
      <c r="B388" s="12" t="s">
        <v>360</v>
      </c>
      <c r="C388" s="1" t="str">
        <f t="shared" si="26"/>
        <v>Qatar Target Group</v>
      </c>
      <c r="D388" s="1" t="s">
        <v>73</v>
      </c>
      <c r="E388" s="12" t="s">
        <v>29</v>
      </c>
      <c r="F388" s="1" t="s">
        <v>78</v>
      </c>
      <c r="G388" s="1" t="s">
        <v>74</v>
      </c>
      <c r="H388" s="1" t="s">
        <v>75</v>
      </c>
      <c r="I388" s="16">
        <v>3</v>
      </c>
      <c r="J388" s="16">
        <v>3</v>
      </c>
      <c r="K388" s="63">
        <v>0</v>
      </c>
      <c r="L388" s="16">
        <v>0</v>
      </c>
      <c r="M388" s="16">
        <v>0</v>
      </c>
      <c r="N388" s="16">
        <v>0</v>
      </c>
      <c r="O388" s="26">
        <f t="shared" si="28"/>
        <v>0</v>
      </c>
      <c r="P388" s="13" t="str">
        <f t="shared" si="27"/>
        <v>Bad</v>
      </c>
      <c r="Q388" s="13">
        <f t="shared" si="25"/>
        <v>0</v>
      </c>
      <c r="R388" s="16">
        <v>1486</v>
      </c>
      <c r="S388" s="50">
        <v>0.36937608999999999</v>
      </c>
      <c r="T388" s="27">
        <f>IF(Table4[[#This Row],[Link clicks]]=0,0,Table4[[#This Row],[Amount spent ]]/Table4[[#This Row],[Link clicks]])</f>
        <v>0</v>
      </c>
      <c r="U388" s="62" t="s">
        <v>407</v>
      </c>
      <c r="V388" s="1" t="s">
        <v>413</v>
      </c>
      <c r="W388" s="1">
        <v>0</v>
      </c>
    </row>
    <row r="389" spans="1:23" x14ac:dyDescent="0.25">
      <c r="A389" s="48" t="s">
        <v>67</v>
      </c>
      <c r="B389" s="12" t="s">
        <v>360</v>
      </c>
      <c r="C389" s="1" t="str">
        <f t="shared" si="26"/>
        <v>Qatar Target Group</v>
      </c>
      <c r="D389" s="1" t="s">
        <v>73</v>
      </c>
      <c r="E389" s="12" t="s">
        <v>258</v>
      </c>
      <c r="F389" s="1" t="s">
        <v>78</v>
      </c>
      <c r="G389" s="1" t="s">
        <v>74</v>
      </c>
      <c r="H389" s="1" t="s">
        <v>75</v>
      </c>
      <c r="I389" s="16">
        <v>2</v>
      </c>
      <c r="J389" s="16">
        <v>2</v>
      </c>
      <c r="K389" s="63">
        <v>0</v>
      </c>
      <c r="L389" s="16">
        <v>0</v>
      </c>
      <c r="M389" s="16">
        <v>0</v>
      </c>
      <c r="N389" s="16">
        <v>0</v>
      </c>
      <c r="O389" s="26">
        <f t="shared" si="28"/>
        <v>0</v>
      </c>
      <c r="P389" s="13" t="str">
        <f t="shared" si="27"/>
        <v>Bad</v>
      </c>
      <c r="Q389" s="13">
        <f t="shared" si="25"/>
        <v>0</v>
      </c>
      <c r="R389" s="16">
        <v>398</v>
      </c>
      <c r="S389" s="50">
        <v>3.226329E-2</v>
      </c>
      <c r="T389" s="27">
        <f>IF(Table4[[#This Row],[Link clicks]]=0,0,Table4[[#This Row],[Amount spent ]]/Table4[[#This Row],[Link clicks]])</f>
        <v>0</v>
      </c>
      <c r="U389" s="62" t="s">
        <v>407</v>
      </c>
      <c r="V389" s="1" t="s">
        <v>413</v>
      </c>
      <c r="W389" s="1">
        <v>0</v>
      </c>
    </row>
    <row r="390" spans="1:23" x14ac:dyDescent="0.25">
      <c r="A390" s="48" t="s">
        <v>66</v>
      </c>
      <c r="B390" s="12" t="s">
        <v>361</v>
      </c>
      <c r="C390" s="1" t="str">
        <f t="shared" si="26"/>
        <v>Riyadh Target Group</v>
      </c>
      <c r="D390" s="1" t="s">
        <v>73</v>
      </c>
      <c r="E390" s="12" t="s">
        <v>142</v>
      </c>
      <c r="F390" s="1" t="s">
        <v>77</v>
      </c>
      <c r="G390" s="1" t="s">
        <v>74</v>
      </c>
      <c r="H390" s="1" t="s">
        <v>92</v>
      </c>
      <c r="I390" s="16">
        <v>679301</v>
      </c>
      <c r="J390" s="16">
        <v>6014321</v>
      </c>
      <c r="K390" s="63">
        <v>5022.12</v>
      </c>
      <c r="L390" s="16">
        <v>26667</v>
      </c>
      <c r="M390" s="16">
        <v>1174872</v>
      </c>
      <c r="N390" s="16">
        <v>17334</v>
      </c>
      <c r="O390" s="26">
        <f t="shared" si="28"/>
        <v>0.44339169791569155</v>
      </c>
      <c r="P390" s="13" t="str">
        <f t="shared" si="27"/>
        <v>Good</v>
      </c>
      <c r="Q390" s="13">
        <f t="shared" si="25"/>
        <v>0.19534574227082327</v>
      </c>
      <c r="R390" s="16">
        <v>214</v>
      </c>
      <c r="S390" s="50">
        <v>2.0744470000000001E-2</v>
      </c>
      <c r="T390" s="27">
        <f>IF(Table4[[#This Row],[Link clicks]]=0,0,Table4[[#This Row],[Amount spent ]]/Table4[[#This Row],[Link clicks]])</f>
        <v>0.18832714591067612</v>
      </c>
      <c r="U390" s="62" t="s">
        <v>407</v>
      </c>
      <c r="V390" s="1" t="s">
        <v>413</v>
      </c>
      <c r="W390" s="1">
        <v>3.9256529874091159E-2</v>
      </c>
    </row>
    <row r="391" spans="1:23" x14ac:dyDescent="0.25">
      <c r="A391" s="48" t="s">
        <v>66</v>
      </c>
      <c r="B391" s="12" t="s">
        <v>361</v>
      </c>
      <c r="C391" s="1" t="str">
        <f t="shared" si="26"/>
        <v>Riyadh Target Group</v>
      </c>
      <c r="D391" s="1" t="s">
        <v>73</v>
      </c>
      <c r="E391" s="12" t="s">
        <v>143</v>
      </c>
      <c r="F391" s="1" t="s">
        <v>77</v>
      </c>
      <c r="G391" s="1" t="s">
        <v>74</v>
      </c>
      <c r="H391" s="1" t="s">
        <v>94</v>
      </c>
      <c r="I391" s="16">
        <v>782299</v>
      </c>
      <c r="J391" s="16">
        <v>4944626</v>
      </c>
      <c r="K391" s="63">
        <v>2394.12</v>
      </c>
      <c r="L391" s="16">
        <v>18676</v>
      </c>
      <c r="M391" s="16">
        <v>268649</v>
      </c>
      <c r="N391" s="16">
        <v>7782</v>
      </c>
      <c r="O391" s="26">
        <f t="shared" si="28"/>
        <v>0.37770298501848271</v>
      </c>
      <c r="P391" s="13" t="str">
        <f t="shared" si="27"/>
        <v>Good</v>
      </c>
      <c r="Q391" s="13">
        <f t="shared" si="25"/>
        <v>5.4331510613745103E-2</v>
      </c>
      <c r="R391" s="16">
        <v>2075</v>
      </c>
      <c r="S391" s="50">
        <v>0.74080685000000002</v>
      </c>
      <c r="T391" s="27">
        <f>IF(Table4[[#This Row],[Link clicks]]=0,0,Table4[[#This Row],[Amount spent ]]/Table4[[#This Row],[Link clicks]])</f>
        <v>0.12819233240522596</v>
      </c>
      <c r="U391" s="62" t="s">
        <v>407</v>
      </c>
      <c r="V391" s="1" t="s">
        <v>413</v>
      </c>
      <c r="W391" s="1">
        <v>2.3873224943403989E-2</v>
      </c>
    </row>
    <row r="392" spans="1:23" x14ac:dyDescent="0.25">
      <c r="A392" s="48" t="s">
        <v>66</v>
      </c>
      <c r="B392" s="12" t="s">
        <v>361</v>
      </c>
      <c r="C392" s="1" t="str">
        <f t="shared" si="26"/>
        <v>Riyadh Target Group</v>
      </c>
      <c r="D392" s="1" t="s">
        <v>73</v>
      </c>
      <c r="E392" s="12" t="s">
        <v>142</v>
      </c>
      <c r="F392" s="1" t="s">
        <v>77</v>
      </c>
      <c r="G392" s="1" t="s">
        <v>74</v>
      </c>
      <c r="H392" s="1" t="s">
        <v>92</v>
      </c>
      <c r="I392" s="16">
        <v>618233</v>
      </c>
      <c r="J392" s="16">
        <v>3698744</v>
      </c>
      <c r="K392" s="63">
        <v>1817.1</v>
      </c>
      <c r="L392" s="16">
        <v>15163</v>
      </c>
      <c r="M392" s="16">
        <v>247959</v>
      </c>
      <c r="N392" s="16">
        <v>8277</v>
      </c>
      <c r="O392" s="26">
        <f t="shared" si="28"/>
        <v>0.40994997220678159</v>
      </c>
      <c r="P392" s="13" t="str">
        <f t="shared" si="27"/>
        <v>Good</v>
      </c>
      <c r="Q392" s="13">
        <f t="shared" si="25"/>
        <v>6.7038702867784308E-2</v>
      </c>
      <c r="R392" s="16">
        <v>380</v>
      </c>
      <c r="S392" s="50">
        <v>4.0348269999999999E-2</v>
      </c>
      <c r="T392" s="27">
        <f>IF(Table4[[#This Row],[Link clicks]]=0,0,Table4[[#This Row],[Amount spent ]]/Table4[[#This Row],[Link clicks]])</f>
        <v>0.11983776297566444</v>
      </c>
      <c r="U392" s="62" t="s">
        <v>407</v>
      </c>
      <c r="V392" s="1" t="s">
        <v>413</v>
      </c>
      <c r="W392" s="1">
        <v>2.452635171529181E-2</v>
      </c>
    </row>
    <row r="393" spans="1:23" x14ac:dyDescent="0.25">
      <c r="A393" s="48" t="s">
        <v>66</v>
      </c>
      <c r="B393" s="12" t="s">
        <v>361</v>
      </c>
      <c r="C393" s="1" t="str">
        <f t="shared" si="26"/>
        <v>Riyadh Target Group</v>
      </c>
      <c r="D393" s="1" t="s">
        <v>73</v>
      </c>
      <c r="E393" s="12" t="s">
        <v>148</v>
      </c>
      <c r="F393" s="1" t="s">
        <v>77</v>
      </c>
      <c r="G393" s="1" t="s">
        <v>74</v>
      </c>
      <c r="H393" s="1" t="s">
        <v>94</v>
      </c>
      <c r="I393" s="16">
        <v>453492</v>
      </c>
      <c r="J393" s="16">
        <v>1693662</v>
      </c>
      <c r="K393" s="63">
        <v>812.65</v>
      </c>
      <c r="L393" s="16">
        <v>6074</v>
      </c>
      <c r="M393" s="16">
        <v>93083</v>
      </c>
      <c r="N393" s="16">
        <v>4325</v>
      </c>
      <c r="O393" s="26">
        <f t="shared" si="28"/>
        <v>0.35863117906642528</v>
      </c>
      <c r="P393" s="13" t="str">
        <f t="shared" si="27"/>
        <v>Good</v>
      </c>
      <c r="Q393" s="13">
        <f t="shared" si="25"/>
        <v>5.495960823352003E-2</v>
      </c>
      <c r="R393" s="16">
        <v>202</v>
      </c>
      <c r="S393" s="50">
        <v>2.5897440000000001E-2</v>
      </c>
      <c r="T393" s="27">
        <f>IF(Table4[[#This Row],[Link clicks]]=0,0,Table4[[#This Row],[Amount spent ]]/Table4[[#This Row],[Link clicks]])</f>
        <v>0.13379157062891012</v>
      </c>
      <c r="U393" s="62" t="s">
        <v>407</v>
      </c>
      <c r="V393" s="1" t="s">
        <v>413</v>
      </c>
      <c r="W393" s="1">
        <v>1.339384156721618E-2</v>
      </c>
    </row>
    <row r="394" spans="1:23" x14ac:dyDescent="0.25">
      <c r="A394" s="48" t="s">
        <v>66</v>
      </c>
      <c r="B394" s="12" t="s">
        <v>361</v>
      </c>
      <c r="C394" s="1" t="str">
        <f t="shared" si="26"/>
        <v>Riyadh Target Group</v>
      </c>
      <c r="D394" s="1" t="s">
        <v>73</v>
      </c>
      <c r="E394" s="12" t="s">
        <v>149</v>
      </c>
      <c r="F394" s="1" t="s">
        <v>77</v>
      </c>
      <c r="G394" s="1" t="s">
        <v>74</v>
      </c>
      <c r="H394" s="1" t="s">
        <v>92</v>
      </c>
      <c r="I394" s="16">
        <v>153185</v>
      </c>
      <c r="J394" s="16">
        <v>1020810</v>
      </c>
      <c r="K394" s="63">
        <v>774.33</v>
      </c>
      <c r="L394" s="16">
        <v>2761</v>
      </c>
      <c r="M394" s="16">
        <v>170898</v>
      </c>
      <c r="N394" s="16">
        <v>1612</v>
      </c>
      <c r="O394" s="26">
        <f t="shared" si="28"/>
        <v>0.27047148832789647</v>
      </c>
      <c r="P394" s="13" t="str">
        <f t="shared" si="27"/>
        <v>Good</v>
      </c>
      <c r="Q394" s="13">
        <f t="shared" si="25"/>
        <v>0.16741411232256737</v>
      </c>
      <c r="R394" s="16">
        <v>479</v>
      </c>
      <c r="S394" s="50">
        <v>5.5356519999999999E-2</v>
      </c>
      <c r="T394" s="27">
        <f>IF(Table4[[#This Row],[Link clicks]]=0,0,Table4[[#This Row],[Amount spent ]]/Table4[[#This Row],[Link clicks]])</f>
        <v>0.28045273451647956</v>
      </c>
      <c r="U394" s="62" t="s">
        <v>407</v>
      </c>
      <c r="V394" s="1" t="s">
        <v>413</v>
      </c>
      <c r="W394" s="1">
        <v>1.802395795933022E-2</v>
      </c>
    </row>
    <row r="395" spans="1:23" x14ac:dyDescent="0.25">
      <c r="A395" s="48" t="s">
        <v>66</v>
      </c>
      <c r="B395" s="12" t="s">
        <v>361</v>
      </c>
      <c r="C395" s="1" t="str">
        <f t="shared" si="26"/>
        <v>Riyadh Target Group</v>
      </c>
      <c r="D395" s="1" t="s">
        <v>73</v>
      </c>
      <c r="E395" s="12" t="s">
        <v>148</v>
      </c>
      <c r="F395" s="1" t="s">
        <v>77</v>
      </c>
      <c r="G395" s="1" t="s">
        <v>74</v>
      </c>
      <c r="H395" s="1" t="s">
        <v>94</v>
      </c>
      <c r="I395" s="16">
        <v>166691</v>
      </c>
      <c r="J395" s="16">
        <v>384737</v>
      </c>
      <c r="K395" s="63">
        <v>660.57</v>
      </c>
      <c r="L395" s="16">
        <v>4500</v>
      </c>
      <c r="M395" s="16">
        <v>271653</v>
      </c>
      <c r="N395" s="16">
        <v>1024</v>
      </c>
      <c r="O395" s="26">
        <f t="shared" si="28"/>
        <v>1.1696301629424775</v>
      </c>
      <c r="P395" s="13" t="str">
        <f t="shared" si="27"/>
        <v>Good</v>
      </c>
      <c r="Q395" s="13">
        <f t="shared" si="25"/>
        <v>0.7060745392306953</v>
      </c>
      <c r="R395" s="16">
        <v>216</v>
      </c>
      <c r="S395" s="50">
        <v>3.3914270000000003E-2</v>
      </c>
      <c r="T395" s="27">
        <f>IF(Table4[[#This Row],[Link clicks]]=0,0,Table4[[#This Row],[Amount spent ]]/Table4[[#This Row],[Link clicks]])</f>
        <v>0.14679333333333333</v>
      </c>
      <c r="U395" s="62" t="s">
        <v>407</v>
      </c>
      <c r="V395" s="1" t="s">
        <v>413</v>
      </c>
      <c r="W395" s="1">
        <v>2.6996058575447981E-2</v>
      </c>
    </row>
    <row r="396" spans="1:23" x14ac:dyDescent="0.25">
      <c r="A396" s="48" t="s">
        <v>66</v>
      </c>
      <c r="B396" s="12" t="s">
        <v>361</v>
      </c>
      <c r="C396" s="1" t="str">
        <f t="shared" si="26"/>
        <v>Riyadh Target Group</v>
      </c>
      <c r="D396" s="1" t="s">
        <v>73</v>
      </c>
      <c r="E396" s="12" t="s">
        <v>151</v>
      </c>
      <c r="F396" s="1" t="s">
        <v>77</v>
      </c>
      <c r="G396" s="1" t="s">
        <v>74</v>
      </c>
      <c r="H396" s="1" t="s">
        <v>92</v>
      </c>
      <c r="I396" s="16">
        <v>274884</v>
      </c>
      <c r="J396" s="16">
        <v>871077</v>
      </c>
      <c r="K396" s="63">
        <v>639.01</v>
      </c>
      <c r="L396" s="16">
        <v>4412</v>
      </c>
      <c r="M396" s="16">
        <v>153505</v>
      </c>
      <c r="N396" s="16">
        <v>4221</v>
      </c>
      <c r="O396" s="26">
        <f t="shared" si="28"/>
        <v>0.50649942542392923</v>
      </c>
      <c r="P396" s="13" t="str">
        <f t="shared" si="27"/>
        <v>Good</v>
      </c>
      <c r="Q396" s="13">
        <f t="shared" si="25"/>
        <v>0.17622437511264791</v>
      </c>
      <c r="R396" s="16">
        <v>133</v>
      </c>
      <c r="S396" s="50">
        <v>2.1545439999999999E-2</v>
      </c>
      <c r="T396" s="27">
        <f>IF(Table4[[#This Row],[Link clicks]]=0,0,Table4[[#This Row],[Amount spent ]]/Table4[[#This Row],[Link clicks]])</f>
        <v>0.14483454215775157</v>
      </c>
      <c r="U396" s="62" t="s">
        <v>407</v>
      </c>
      <c r="V396" s="1" t="s">
        <v>413</v>
      </c>
      <c r="W396" s="1">
        <v>1.605040671701518E-2</v>
      </c>
    </row>
    <row r="397" spans="1:23" x14ac:dyDescent="0.25">
      <c r="A397" s="48" t="s">
        <v>66</v>
      </c>
      <c r="B397" s="12" t="s">
        <v>361</v>
      </c>
      <c r="C397" s="1" t="str">
        <f t="shared" si="26"/>
        <v>Riyadh Target Group</v>
      </c>
      <c r="D397" s="1" t="s">
        <v>73</v>
      </c>
      <c r="E397" s="12" t="s">
        <v>143</v>
      </c>
      <c r="F397" s="1" t="s">
        <v>77</v>
      </c>
      <c r="G397" s="1" t="s">
        <v>74</v>
      </c>
      <c r="H397" s="1" t="s">
        <v>94</v>
      </c>
      <c r="I397" s="16">
        <v>184035</v>
      </c>
      <c r="J397" s="16">
        <v>543960</v>
      </c>
      <c r="K397" s="63">
        <v>597.04</v>
      </c>
      <c r="L397" s="16">
        <v>5011</v>
      </c>
      <c r="M397" s="16">
        <v>184122</v>
      </c>
      <c r="N397" s="16">
        <v>2094</v>
      </c>
      <c r="O397" s="26">
        <f t="shared" si="28"/>
        <v>0.92120744172365621</v>
      </c>
      <c r="P397" s="13" t="str">
        <f t="shared" si="27"/>
        <v>Good</v>
      </c>
      <c r="Q397" s="13">
        <f t="shared" si="25"/>
        <v>0.33848444738583722</v>
      </c>
      <c r="R397" s="16">
        <v>748</v>
      </c>
      <c r="S397" s="50">
        <v>0.41928251</v>
      </c>
      <c r="T397" s="27">
        <f>IF(Table4[[#This Row],[Link clicks]]=0,0,Table4[[#This Row],[Amount spent ]]/Table4[[#This Row],[Link clicks]])</f>
        <v>0.11914587906605467</v>
      </c>
      <c r="U397" s="62" t="s">
        <v>407</v>
      </c>
      <c r="V397" s="1" t="s">
        <v>413</v>
      </c>
      <c r="W397" s="1">
        <v>2.7228516314831419E-2</v>
      </c>
    </row>
    <row r="398" spans="1:23" x14ac:dyDescent="0.25">
      <c r="A398" s="48" t="s">
        <v>66</v>
      </c>
      <c r="B398" s="12" t="s">
        <v>361</v>
      </c>
      <c r="C398" s="1" t="str">
        <f t="shared" si="26"/>
        <v>Riyadh Target Group</v>
      </c>
      <c r="D398" s="1" t="s">
        <v>73</v>
      </c>
      <c r="E398" s="12" t="s">
        <v>153</v>
      </c>
      <c r="F398" s="1" t="s">
        <v>77</v>
      </c>
      <c r="G398" s="1" t="s">
        <v>74</v>
      </c>
      <c r="H398" s="1" t="s">
        <v>94</v>
      </c>
      <c r="I398" s="16">
        <v>300537</v>
      </c>
      <c r="J398" s="16">
        <v>1037101</v>
      </c>
      <c r="K398" s="63">
        <v>493.06</v>
      </c>
      <c r="L398" s="16">
        <v>3147</v>
      </c>
      <c r="M398" s="16">
        <v>33878</v>
      </c>
      <c r="N398" s="16">
        <v>30016</v>
      </c>
      <c r="O398" s="26">
        <f t="shared" si="28"/>
        <v>0.30344199841674052</v>
      </c>
      <c r="P398" s="13" t="str">
        <f t="shared" si="27"/>
        <v>Good</v>
      </c>
      <c r="Q398" s="13">
        <f t="shared" si="25"/>
        <v>3.2666056632864107E-2</v>
      </c>
      <c r="R398" s="16">
        <v>849</v>
      </c>
      <c r="S398" s="50">
        <v>0.36563307</v>
      </c>
      <c r="T398" s="27">
        <f>IF(Table4[[#This Row],[Link clicks]]=0,0,Table4[[#This Row],[Amount spent ]]/Table4[[#This Row],[Link clicks]])</f>
        <v>0.15667619955513187</v>
      </c>
      <c r="U398" s="62" t="s">
        <v>407</v>
      </c>
      <c r="V398" s="1" t="s">
        <v>413</v>
      </c>
      <c r="W398" s="1">
        <v>1.0471256450952791E-2</v>
      </c>
    </row>
    <row r="399" spans="1:23" x14ac:dyDescent="0.25">
      <c r="A399" s="48" t="s">
        <v>66</v>
      </c>
      <c r="B399" s="12" t="s">
        <v>361</v>
      </c>
      <c r="C399" s="1" t="str">
        <f t="shared" si="26"/>
        <v>Riyadh Target Group</v>
      </c>
      <c r="D399" s="1" t="s">
        <v>130</v>
      </c>
      <c r="E399" s="12" t="s">
        <v>142</v>
      </c>
      <c r="F399" s="1" t="s">
        <v>77</v>
      </c>
      <c r="G399" s="1" t="s">
        <v>74</v>
      </c>
      <c r="H399" s="1" t="s">
        <v>92</v>
      </c>
      <c r="I399" s="16">
        <v>11104</v>
      </c>
      <c r="J399" s="16">
        <v>192279</v>
      </c>
      <c r="K399" s="63">
        <v>412.21</v>
      </c>
      <c r="L399" s="16">
        <v>1331</v>
      </c>
      <c r="M399" s="16">
        <v>40337</v>
      </c>
      <c r="N399" s="16">
        <v>627</v>
      </c>
      <c r="O399" s="26">
        <f t="shared" si="28"/>
        <v>0.69222327971333319</v>
      </c>
      <c r="P399" s="13" t="str">
        <f t="shared" si="27"/>
        <v>Good</v>
      </c>
      <c r="Q399" s="13">
        <f t="shared" si="25"/>
        <v>0.20978369972799943</v>
      </c>
      <c r="R399" s="16">
        <v>194</v>
      </c>
      <c r="S399" s="50">
        <v>6.7998600000000006E-2</v>
      </c>
      <c r="T399" s="27">
        <f>IF(Table4[[#This Row],[Link clicks]]=0,0,Table4[[#This Row],[Amount spent ]]/Table4[[#This Row],[Link clicks]])</f>
        <v>0.30969947407963938</v>
      </c>
      <c r="U399" s="62" t="s">
        <v>407</v>
      </c>
      <c r="V399" s="1" t="s">
        <v>414</v>
      </c>
      <c r="W399" s="1">
        <v>0.1198667146974063</v>
      </c>
    </row>
    <row r="400" spans="1:23" x14ac:dyDescent="0.25">
      <c r="A400" s="48" t="s">
        <v>66</v>
      </c>
      <c r="B400" s="12" t="s">
        <v>361</v>
      </c>
      <c r="C400" s="1" t="str">
        <f t="shared" si="26"/>
        <v>Riyadh Target Group</v>
      </c>
      <c r="D400" s="1" t="s">
        <v>130</v>
      </c>
      <c r="E400" s="12" t="s">
        <v>143</v>
      </c>
      <c r="F400" s="1" t="s">
        <v>77</v>
      </c>
      <c r="G400" s="1" t="s">
        <v>74</v>
      </c>
      <c r="H400" s="1" t="s">
        <v>94</v>
      </c>
      <c r="I400" s="16">
        <v>8500</v>
      </c>
      <c r="J400" s="16">
        <v>117298</v>
      </c>
      <c r="K400" s="63">
        <v>190.57</v>
      </c>
      <c r="L400" s="16">
        <v>593</v>
      </c>
      <c r="M400" s="16">
        <v>8060</v>
      </c>
      <c r="N400" s="16">
        <v>223</v>
      </c>
      <c r="O400" s="26">
        <f t="shared" si="28"/>
        <v>0.50554996675135133</v>
      </c>
      <c r="P400" s="13" t="str">
        <f t="shared" si="27"/>
        <v>Good</v>
      </c>
      <c r="Q400" s="13">
        <f t="shared" si="25"/>
        <v>6.8713874064348923E-2</v>
      </c>
      <c r="R400" s="16">
        <v>725</v>
      </c>
      <c r="S400" s="50">
        <v>0.4084507</v>
      </c>
      <c r="T400" s="27">
        <f>IF(Table4[[#This Row],[Link clicks]]=0,0,Table4[[#This Row],[Amount spent ]]/Table4[[#This Row],[Link clicks]])</f>
        <v>0.32136593591905566</v>
      </c>
      <c r="U400" s="62" t="s">
        <v>407</v>
      </c>
      <c r="V400" s="1" t="s">
        <v>414</v>
      </c>
      <c r="W400" s="1">
        <v>6.9764705882352937E-2</v>
      </c>
    </row>
    <row r="401" spans="1:23" x14ac:dyDescent="0.25">
      <c r="A401" s="48" t="s">
        <v>66</v>
      </c>
      <c r="B401" s="12" t="s">
        <v>361</v>
      </c>
      <c r="C401" s="1" t="str">
        <f t="shared" si="26"/>
        <v>Riyadh Target Group</v>
      </c>
      <c r="D401" s="1" t="s">
        <v>73</v>
      </c>
      <c r="E401" s="12" t="s">
        <v>151</v>
      </c>
      <c r="F401" s="1" t="s">
        <v>77</v>
      </c>
      <c r="G401" s="1" t="s">
        <v>74</v>
      </c>
      <c r="H401" s="1" t="s">
        <v>92</v>
      </c>
      <c r="I401" s="16">
        <v>167932</v>
      </c>
      <c r="J401" s="16">
        <v>384260</v>
      </c>
      <c r="K401" s="63">
        <v>179.24</v>
      </c>
      <c r="L401" s="16">
        <v>1247</v>
      </c>
      <c r="M401" s="16">
        <v>21049</v>
      </c>
      <c r="N401" s="16">
        <v>1030</v>
      </c>
      <c r="O401" s="26">
        <f t="shared" si="28"/>
        <v>0.32451985634726488</v>
      </c>
      <c r="P401" s="13" t="str">
        <f t="shared" si="27"/>
        <v>Good</v>
      </c>
      <c r="Q401" s="13">
        <f t="shared" si="25"/>
        <v>5.4778014885754435E-2</v>
      </c>
      <c r="R401" s="16">
        <v>570</v>
      </c>
      <c r="S401" s="50">
        <v>0.24307036000000001</v>
      </c>
      <c r="T401" s="27">
        <f>IF(Table4[[#This Row],[Link clicks]]=0,0,Table4[[#This Row],[Amount spent ]]/Table4[[#This Row],[Link clicks]])</f>
        <v>0.14373696872493985</v>
      </c>
      <c r="U401" s="62" t="s">
        <v>407</v>
      </c>
      <c r="V401" s="1" t="s">
        <v>413</v>
      </c>
      <c r="W401" s="1">
        <v>7.4256246575995048E-3</v>
      </c>
    </row>
    <row r="402" spans="1:23" x14ac:dyDescent="0.25">
      <c r="A402" s="48" t="s">
        <v>66</v>
      </c>
      <c r="B402" s="12" t="s">
        <v>361</v>
      </c>
      <c r="C402" s="1" t="str">
        <f t="shared" si="26"/>
        <v>Riyadh Target Group</v>
      </c>
      <c r="D402" s="1" t="s">
        <v>73</v>
      </c>
      <c r="E402" s="12" t="s">
        <v>20</v>
      </c>
      <c r="F402" s="1" t="s">
        <v>77</v>
      </c>
      <c r="G402" s="1" t="s">
        <v>74</v>
      </c>
      <c r="H402" s="1" t="s">
        <v>75</v>
      </c>
      <c r="I402" s="16">
        <v>160759</v>
      </c>
      <c r="J402" s="16">
        <v>337379</v>
      </c>
      <c r="K402" s="63">
        <v>161.22999999999999</v>
      </c>
      <c r="L402" s="16">
        <v>269</v>
      </c>
      <c r="M402" s="16">
        <v>28240</v>
      </c>
      <c r="N402" s="16">
        <v>398</v>
      </c>
      <c r="O402" s="26">
        <f t="shared" si="28"/>
        <v>7.97322892059079E-2</v>
      </c>
      <c r="P402" s="13" t="str">
        <f t="shared" si="27"/>
        <v>Bad</v>
      </c>
      <c r="Q402" s="13">
        <f t="shared" si="25"/>
        <v>8.3704083538098106E-2</v>
      </c>
      <c r="R402" s="16">
        <v>171</v>
      </c>
      <c r="S402" s="50">
        <v>3.8076150000000003E-2</v>
      </c>
      <c r="T402" s="27">
        <f>IF(Table4[[#This Row],[Link clicks]]=0,0,Table4[[#This Row],[Amount spent ]]/Table4[[#This Row],[Link clicks]])</f>
        <v>0.59936802973977688</v>
      </c>
      <c r="U402" s="62" t="s">
        <v>407</v>
      </c>
      <c r="V402" s="1" t="s">
        <v>413</v>
      </c>
      <c r="W402" s="1">
        <v>1.6733122251320299E-3</v>
      </c>
    </row>
    <row r="403" spans="1:23" x14ac:dyDescent="0.25">
      <c r="A403" s="48" t="s">
        <v>66</v>
      </c>
      <c r="B403" s="12" t="s">
        <v>361</v>
      </c>
      <c r="C403" s="1" t="str">
        <f t="shared" si="26"/>
        <v>Riyadh Target Group</v>
      </c>
      <c r="D403" s="1" t="s">
        <v>130</v>
      </c>
      <c r="E403" s="12" t="s">
        <v>142</v>
      </c>
      <c r="F403" s="1" t="s">
        <v>77</v>
      </c>
      <c r="G403" s="1" t="s">
        <v>74</v>
      </c>
      <c r="H403" s="1" t="s">
        <v>92</v>
      </c>
      <c r="I403" s="16">
        <v>8678</v>
      </c>
      <c r="J403" s="16">
        <v>92582</v>
      </c>
      <c r="K403" s="63">
        <v>152.34</v>
      </c>
      <c r="L403" s="16">
        <v>551</v>
      </c>
      <c r="M403" s="16">
        <v>8812</v>
      </c>
      <c r="N403" s="16">
        <v>283</v>
      </c>
      <c r="O403" s="26">
        <f t="shared" si="28"/>
        <v>0.59514808494091731</v>
      </c>
      <c r="P403" s="13" t="str">
        <f t="shared" si="27"/>
        <v>Good</v>
      </c>
      <c r="Q403" s="13">
        <f t="shared" si="25"/>
        <v>9.5180488647901323E-2</v>
      </c>
      <c r="R403" s="16">
        <v>200</v>
      </c>
      <c r="S403" s="50">
        <v>4.7664440000000002E-2</v>
      </c>
      <c r="T403" s="27">
        <f>IF(Table4[[#This Row],[Link clicks]]=0,0,Table4[[#This Row],[Amount spent ]]/Table4[[#This Row],[Link clicks]])</f>
        <v>0.27647912885662435</v>
      </c>
      <c r="U403" s="62" t="s">
        <v>407</v>
      </c>
      <c r="V403" s="1" t="s">
        <v>414</v>
      </c>
      <c r="W403" s="1">
        <v>6.349389260198203E-2</v>
      </c>
    </row>
    <row r="404" spans="1:23" x14ac:dyDescent="0.25">
      <c r="A404" s="48" t="s">
        <v>66</v>
      </c>
      <c r="B404" s="12" t="s">
        <v>361</v>
      </c>
      <c r="C404" s="1" t="str">
        <f t="shared" si="26"/>
        <v>Riyadh Target Group</v>
      </c>
      <c r="D404" s="1" t="s">
        <v>130</v>
      </c>
      <c r="E404" s="12" t="s">
        <v>148</v>
      </c>
      <c r="F404" s="1" t="s">
        <v>77</v>
      </c>
      <c r="G404" s="1" t="s">
        <v>74</v>
      </c>
      <c r="H404" s="1" t="s">
        <v>94</v>
      </c>
      <c r="I404" s="16">
        <v>6254</v>
      </c>
      <c r="J404" s="16">
        <v>32438</v>
      </c>
      <c r="K404" s="63">
        <v>139.19999999999999</v>
      </c>
      <c r="L404" s="16">
        <v>755</v>
      </c>
      <c r="M404" s="16">
        <v>23370</v>
      </c>
      <c r="N404" s="16">
        <v>114</v>
      </c>
      <c r="O404" s="26">
        <f t="shared" si="28"/>
        <v>2.3275171095628582</v>
      </c>
      <c r="P404" s="13" t="str">
        <f t="shared" si="27"/>
        <v>Good</v>
      </c>
      <c r="Q404" s="13">
        <f t="shared" si="25"/>
        <v>0.72045132252296684</v>
      </c>
      <c r="R404" s="16">
        <v>433</v>
      </c>
      <c r="S404" s="50">
        <v>0.42744324</v>
      </c>
      <c r="T404" s="27">
        <f>IF(Table4[[#This Row],[Link clicks]]=0,0,Table4[[#This Row],[Amount spent ]]/Table4[[#This Row],[Link clicks]])</f>
        <v>0.1843708609271523</v>
      </c>
      <c r="U404" s="62" t="s">
        <v>407</v>
      </c>
      <c r="V404" s="1" t="s">
        <v>414</v>
      </c>
      <c r="W404" s="1">
        <v>0.1207227374480333</v>
      </c>
    </row>
    <row r="405" spans="1:23" x14ac:dyDescent="0.25">
      <c r="A405" s="48" t="s">
        <v>66</v>
      </c>
      <c r="B405" s="12" t="s">
        <v>361</v>
      </c>
      <c r="C405" s="1" t="str">
        <f t="shared" si="26"/>
        <v>Riyadh Target Group</v>
      </c>
      <c r="D405" s="1" t="s">
        <v>73</v>
      </c>
      <c r="E405" s="12" t="s">
        <v>186</v>
      </c>
      <c r="F405" s="1" t="s">
        <v>77</v>
      </c>
      <c r="G405" s="1" t="s">
        <v>74</v>
      </c>
      <c r="H405" s="1" t="s">
        <v>94</v>
      </c>
      <c r="I405" s="16">
        <v>118363</v>
      </c>
      <c r="J405" s="16">
        <v>296643</v>
      </c>
      <c r="K405" s="63">
        <v>137.25</v>
      </c>
      <c r="L405" s="16">
        <v>1025</v>
      </c>
      <c r="M405" s="16">
        <v>12397</v>
      </c>
      <c r="N405" s="16">
        <v>373</v>
      </c>
      <c r="O405" s="26">
        <f t="shared" si="28"/>
        <v>0.34553318298426056</v>
      </c>
      <c r="P405" s="13" t="str">
        <f t="shared" si="27"/>
        <v>Good</v>
      </c>
      <c r="Q405" s="13">
        <f t="shared" si="25"/>
        <v>4.1790974336154904E-2</v>
      </c>
      <c r="R405" s="16">
        <v>286</v>
      </c>
      <c r="S405" s="50">
        <v>0.70617284000000002</v>
      </c>
      <c r="T405" s="27">
        <f>IF(Table4[[#This Row],[Link clicks]]=0,0,Table4[[#This Row],[Amount spent ]]/Table4[[#This Row],[Link clicks]])</f>
        <v>0.13390243902439025</v>
      </c>
      <c r="U405" s="62" t="s">
        <v>407</v>
      </c>
      <c r="V405" s="1" t="s">
        <v>413</v>
      </c>
      <c r="W405" s="1">
        <v>8.659800782339076E-3</v>
      </c>
    </row>
    <row r="406" spans="1:23" x14ac:dyDescent="0.25">
      <c r="A406" s="48" t="s">
        <v>66</v>
      </c>
      <c r="B406" s="12" t="s">
        <v>361</v>
      </c>
      <c r="C406" s="1" t="str">
        <f t="shared" si="26"/>
        <v>Riyadh Target Group</v>
      </c>
      <c r="D406" s="1" t="s">
        <v>130</v>
      </c>
      <c r="E406" s="12" t="s">
        <v>149</v>
      </c>
      <c r="F406" s="1" t="s">
        <v>77</v>
      </c>
      <c r="G406" s="1" t="s">
        <v>74</v>
      </c>
      <c r="H406" s="1" t="s">
        <v>92</v>
      </c>
      <c r="I406" s="16">
        <v>4878</v>
      </c>
      <c r="J406" s="16">
        <v>65456</v>
      </c>
      <c r="K406" s="63">
        <v>118.09</v>
      </c>
      <c r="L406" s="16">
        <v>333</v>
      </c>
      <c r="M406" s="16">
        <v>11531</v>
      </c>
      <c r="N406" s="16">
        <v>108</v>
      </c>
      <c r="O406" s="26">
        <f t="shared" si="28"/>
        <v>0.50873869469567345</v>
      </c>
      <c r="P406" s="13" t="str">
        <f t="shared" si="27"/>
        <v>Good</v>
      </c>
      <c r="Q406" s="13">
        <f t="shared" si="25"/>
        <v>0.17616414079687118</v>
      </c>
      <c r="R406" s="16">
        <v>77</v>
      </c>
      <c r="S406" s="50">
        <v>2.4002490000000001E-2</v>
      </c>
      <c r="T406" s="27">
        <f>IF(Table4[[#This Row],[Link clicks]]=0,0,Table4[[#This Row],[Amount spent ]]/Table4[[#This Row],[Link clicks]])</f>
        <v>0.35462462462462463</v>
      </c>
      <c r="U406" s="62" t="s">
        <v>407</v>
      </c>
      <c r="V406" s="1" t="s">
        <v>414</v>
      </c>
      <c r="W406" s="1">
        <v>6.8265682656826573E-2</v>
      </c>
    </row>
    <row r="407" spans="1:23" x14ac:dyDescent="0.25">
      <c r="A407" s="48" t="s">
        <v>66</v>
      </c>
      <c r="B407" s="12" t="s">
        <v>361</v>
      </c>
      <c r="C407" s="1" t="str">
        <f t="shared" si="26"/>
        <v>Riyadh Target Group</v>
      </c>
      <c r="D407" s="1" t="s">
        <v>130</v>
      </c>
      <c r="E407" s="12" t="s">
        <v>148</v>
      </c>
      <c r="F407" s="1" t="s">
        <v>77</v>
      </c>
      <c r="G407" s="1" t="s">
        <v>74</v>
      </c>
      <c r="H407" s="1" t="s">
        <v>94</v>
      </c>
      <c r="I407" s="16">
        <v>8428</v>
      </c>
      <c r="J407" s="16">
        <v>71918</v>
      </c>
      <c r="K407" s="63">
        <v>116.38</v>
      </c>
      <c r="L407" s="16">
        <v>315</v>
      </c>
      <c r="M407" s="16">
        <v>6318</v>
      </c>
      <c r="N407" s="16">
        <v>240</v>
      </c>
      <c r="O407" s="26">
        <f t="shared" si="28"/>
        <v>0.43799883200311468</v>
      </c>
      <c r="P407" s="13" t="str">
        <f t="shared" si="27"/>
        <v>Good</v>
      </c>
      <c r="Q407" s="13">
        <f t="shared" si="25"/>
        <v>8.7850051447481856E-2</v>
      </c>
      <c r="R407" s="16">
        <v>321</v>
      </c>
      <c r="S407" s="50">
        <v>0.27020201999999999</v>
      </c>
      <c r="T407" s="27">
        <f>IF(Table4[[#This Row],[Link clicks]]=0,0,Table4[[#This Row],[Amount spent ]]/Table4[[#This Row],[Link clicks]])</f>
        <v>0.36946031746031743</v>
      </c>
      <c r="U407" s="62" t="s">
        <v>407</v>
      </c>
      <c r="V407" s="1" t="s">
        <v>414</v>
      </c>
      <c r="W407" s="1">
        <v>3.7375415282392029E-2</v>
      </c>
    </row>
    <row r="408" spans="1:23" x14ac:dyDescent="0.25">
      <c r="A408" s="48" t="s">
        <v>66</v>
      </c>
      <c r="B408" s="12" t="s">
        <v>361</v>
      </c>
      <c r="C408" s="1" t="str">
        <f t="shared" si="26"/>
        <v>Riyadh Target Group</v>
      </c>
      <c r="D408" s="1" t="s">
        <v>73</v>
      </c>
      <c r="E408" s="12" t="s">
        <v>191</v>
      </c>
      <c r="F408" s="1" t="s">
        <v>77</v>
      </c>
      <c r="G408" s="1" t="s">
        <v>74</v>
      </c>
      <c r="H408" s="1" t="s">
        <v>75</v>
      </c>
      <c r="I408" s="16">
        <v>131827</v>
      </c>
      <c r="J408" s="16">
        <v>241516</v>
      </c>
      <c r="K408" s="63">
        <v>111.56</v>
      </c>
      <c r="L408" s="16">
        <v>141</v>
      </c>
      <c r="M408" s="16">
        <v>15291</v>
      </c>
      <c r="N408" s="16">
        <v>153</v>
      </c>
      <c r="O408" s="26">
        <f t="shared" si="28"/>
        <v>5.8381225260438235E-2</v>
      </c>
      <c r="P408" s="13" t="str">
        <f t="shared" si="27"/>
        <v>Bad</v>
      </c>
      <c r="Q408" s="13">
        <f t="shared" si="25"/>
        <v>6.3312575564351839E-2</v>
      </c>
      <c r="R408" s="16">
        <v>55</v>
      </c>
      <c r="S408" s="50">
        <v>8.580343E-2</v>
      </c>
      <c r="T408" s="27">
        <f>IF(Table4[[#This Row],[Link clicks]]=0,0,Table4[[#This Row],[Amount spent ]]/Table4[[#This Row],[Link clicks]])</f>
        <v>0.7912056737588653</v>
      </c>
      <c r="U408" s="62" t="s">
        <v>407</v>
      </c>
      <c r="V408" s="1" t="s">
        <v>413</v>
      </c>
      <c r="W408" s="1">
        <v>1.06958362095777E-3</v>
      </c>
    </row>
    <row r="409" spans="1:23" x14ac:dyDescent="0.25">
      <c r="A409" s="48" t="s">
        <v>66</v>
      </c>
      <c r="B409" s="12" t="s">
        <v>361</v>
      </c>
      <c r="C409" s="1" t="str">
        <f t="shared" si="26"/>
        <v>Riyadh Target Group</v>
      </c>
      <c r="D409" s="1" t="s">
        <v>73</v>
      </c>
      <c r="E409" s="12" t="s">
        <v>149</v>
      </c>
      <c r="F409" s="1" t="s">
        <v>77</v>
      </c>
      <c r="G409" s="1" t="s">
        <v>74</v>
      </c>
      <c r="H409" s="1" t="s">
        <v>92</v>
      </c>
      <c r="I409" s="16">
        <v>89503</v>
      </c>
      <c r="J409" s="16">
        <v>229721</v>
      </c>
      <c r="K409" s="63">
        <v>108</v>
      </c>
      <c r="L409" s="16">
        <v>791</v>
      </c>
      <c r="M409" s="16">
        <v>12151</v>
      </c>
      <c r="N409" s="16">
        <v>366</v>
      </c>
      <c r="O409" s="26">
        <f t="shared" si="28"/>
        <v>0.34433073162662531</v>
      </c>
      <c r="P409" s="13" t="str">
        <f t="shared" si="27"/>
        <v>Good</v>
      </c>
      <c r="Q409" s="13">
        <f t="shared" si="25"/>
        <v>5.289459823002686E-2</v>
      </c>
      <c r="R409" s="16">
        <v>43</v>
      </c>
      <c r="S409" s="50">
        <v>4.8314610000000001E-2</v>
      </c>
      <c r="T409" s="27">
        <f>IF(Table4[[#This Row],[Link clicks]]=0,0,Table4[[#This Row],[Amount spent ]]/Table4[[#This Row],[Link clicks]])</f>
        <v>0.13653603034134007</v>
      </c>
      <c r="U409" s="62" t="s">
        <v>407</v>
      </c>
      <c r="V409" s="1" t="s">
        <v>413</v>
      </c>
      <c r="W409" s="1">
        <v>8.8376925913097888E-3</v>
      </c>
    </row>
    <row r="410" spans="1:23" x14ac:dyDescent="0.25">
      <c r="A410" s="48" t="s">
        <v>66</v>
      </c>
      <c r="B410" s="12" t="s">
        <v>361</v>
      </c>
      <c r="C410" s="1" t="str">
        <f t="shared" si="26"/>
        <v>Riyadh Target Group</v>
      </c>
      <c r="D410" s="1" t="s">
        <v>130</v>
      </c>
      <c r="E410" s="12" t="s">
        <v>143</v>
      </c>
      <c r="F410" s="1" t="s">
        <v>77</v>
      </c>
      <c r="G410" s="1" t="s">
        <v>74</v>
      </c>
      <c r="H410" s="1" t="s">
        <v>94</v>
      </c>
      <c r="I410" s="16">
        <v>5840</v>
      </c>
      <c r="J410" s="16">
        <v>26144</v>
      </c>
      <c r="K410" s="63">
        <v>89.99</v>
      </c>
      <c r="L410" s="16">
        <v>428</v>
      </c>
      <c r="M410" s="16">
        <v>13922</v>
      </c>
      <c r="N410" s="16">
        <v>84</v>
      </c>
      <c r="O410" s="26">
        <f t="shared" si="28"/>
        <v>1.6370869033047735</v>
      </c>
      <c r="P410" s="13" t="str">
        <f t="shared" si="27"/>
        <v>Good</v>
      </c>
      <c r="Q410" s="13">
        <f t="shared" si="25"/>
        <v>0.53251223990208074</v>
      </c>
      <c r="R410" s="16">
        <v>0</v>
      </c>
      <c r="S410" s="50">
        <v>0</v>
      </c>
      <c r="T410" s="27">
        <f>IF(Table4[[#This Row],[Link clicks]]=0,0,Table4[[#This Row],[Amount spent ]]/Table4[[#This Row],[Link clicks]])</f>
        <v>0.21025700934579439</v>
      </c>
      <c r="U410" s="62" t="s">
        <v>407</v>
      </c>
      <c r="V410" s="1" t="s">
        <v>414</v>
      </c>
      <c r="W410" s="1">
        <v>7.3287671232876717E-2</v>
      </c>
    </row>
    <row r="411" spans="1:23" x14ac:dyDescent="0.25">
      <c r="A411" s="48" t="s">
        <v>66</v>
      </c>
      <c r="B411" s="12" t="s">
        <v>361</v>
      </c>
      <c r="C411" s="1" t="str">
        <f t="shared" si="26"/>
        <v>Riyadh Target Group</v>
      </c>
      <c r="D411" s="1" t="s">
        <v>130</v>
      </c>
      <c r="E411" s="12" t="s">
        <v>151</v>
      </c>
      <c r="F411" s="1" t="s">
        <v>77</v>
      </c>
      <c r="G411" s="1" t="s">
        <v>74</v>
      </c>
      <c r="H411" s="1" t="s">
        <v>92</v>
      </c>
      <c r="I411" s="16">
        <v>6162</v>
      </c>
      <c r="J411" s="16">
        <v>33945</v>
      </c>
      <c r="K411" s="63">
        <v>77.89</v>
      </c>
      <c r="L411" s="16">
        <v>316</v>
      </c>
      <c r="M411" s="16">
        <v>9561</v>
      </c>
      <c r="N411" s="16">
        <v>179</v>
      </c>
      <c r="O411" s="26">
        <f t="shared" si="28"/>
        <v>0.93091766092207973</v>
      </c>
      <c r="P411" s="13" t="str">
        <f t="shared" si="27"/>
        <v>Good</v>
      </c>
      <c r="Q411" s="13">
        <f t="shared" si="25"/>
        <v>0.28166151126822803</v>
      </c>
      <c r="R411" s="16">
        <v>25</v>
      </c>
      <c r="S411" s="50">
        <v>0.15243902000000001</v>
      </c>
      <c r="T411" s="27">
        <f>IF(Table4[[#This Row],[Link clicks]]=0,0,Table4[[#This Row],[Amount spent ]]/Table4[[#This Row],[Link clicks]])</f>
        <v>0.2464873417721519</v>
      </c>
      <c r="U411" s="62" t="s">
        <v>407</v>
      </c>
      <c r="V411" s="1" t="s">
        <v>414</v>
      </c>
      <c r="W411" s="1">
        <v>5.128205128205128E-2</v>
      </c>
    </row>
    <row r="412" spans="1:23" x14ac:dyDescent="0.25">
      <c r="A412" s="48" t="s">
        <v>66</v>
      </c>
      <c r="B412" s="12" t="s">
        <v>361</v>
      </c>
      <c r="C412" s="1" t="str">
        <f t="shared" si="26"/>
        <v>Riyadh Target Group</v>
      </c>
      <c r="D412" s="1" t="s">
        <v>73</v>
      </c>
      <c r="E412" s="12" t="s">
        <v>18</v>
      </c>
      <c r="F412" s="1" t="s">
        <v>77</v>
      </c>
      <c r="G412" s="1" t="s">
        <v>74</v>
      </c>
      <c r="H412" s="1" t="s">
        <v>75</v>
      </c>
      <c r="I412" s="16">
        <v>87541</v>
      </c>
      <c r="J412" s="16">
        <v>140618</v>
      </c>
      <c r="K412" s="63">
        <v>65.87</v>
      </c>
      <c r="L412" s="16">
        <v>72</v>
      </c>
      <c r="M412" s="16">
        <v>11730</v>
      </c>
      <c r="N412" s="16">
        <v>324</v>
      </c>
      <c r="O412" s="26">
        <f t="shared" si="28"/>
        <v>5.1202548749093288E-2</v>
      </c>
      <c r="P412" s="13" t="str">
        <f t="shared" si="27"/>
        <v>Bad</v>
      </c>
      <c r="Q412" s="13">
        <f t="shared" si="25"/>
        <v>8.341748567039782E-2</v>
      </c>
      <c r="R412" s="16">
        <v>0</v>
      </c>
      <c r="S412" s="50">
        <v>0</v>
      </c>
      <c r="T412" s="27">
        <f>IF(Table4[[#This Row],[Link clicks]]=0,0,Table4[[#This Row],[Amount spent ]]/Table4[[#This Row],[Link clicks]])</f>
        <v>0.91486111111111112</v>
      </c>
      <c r="U412" s="62" t="s">
        <v>407</v>
      </c>
      <c r="V412" s="1" t="s">
        <v>413</v>
      </c>
      <c r="W412" s="1">
        <v>8.224717560914314E-4</v>
      </c>
    </row>
    <row r="413" spans="1:23" x14ac:dyDescent="0.25">
      <c r="A413" s="48" t="s">
        <v>66</v>
      </c>
      <c r="B413" s="12" t="s">
        <v>361</v>
      </c>
      <c r="C413" s="1" t="str">
        <f t="shared" si="26"/>
        <v>Riyadh Target Group</v>
      </c>
      <c r="D413" s="1" t="s">
        <v>130</v>
      </c>
      <c r="E413" s="12" t="s">
        <v>186</v>
      </c>
      <c r="F413" s="1" t="s">
        <v>77</v>
      </c>
      <c r="G413" s="1" t="s">
        <v>74</v>
      </c>
      <c r="H413" s="1" t="s">
        <v>94</v>
      </c>
      <c r="I413" s="16">
        <v>4696</v>
      </c>
      <c r="J413" s="16">
        <v>38905</v>
      </c>
      <c r="K413" s="63">
        <v>61.07</v>
      </c>
      <c r="L413" s="16">
        <v>183</v>
      </c>
      <c r="M413" s="16">
        <v>2287</v>
      </c>
      <c r="N413" s="16">
        <v>76</v>
      </c>
      <c r="O413" s="26">
        <f t="shared" si="28"/>
        <v>0.47037655828299707</v>
      </c>
      <c r="P413" s="13" t="str">
        <f t="shared" si="27"/>
        <v>Good</v>
      </c>
      <c r="Q413" s="13">
        <f t="shared" si="25"/>
        <v>5.8784217966842307E-2</v>
      </c>
      <c r="R413" s="16">
        <v>1</v>
      </c>
      <c r="S413" s="50">
        <v>0.5</v>
      </c>
      <c r="T413" s="27">
        <f>IF(Table4[[#This Row],[Link clicks]]=0,0,Table4[[#This Row],[Amount spent ]]/Table4[[#This Row],[Link clicks]])</f>
        <v>0.33371584699453555</v>
      </c>
      <c r="U413" s="62" t="s">
        <v>407</v>
      </c>
      <c r="V413" s="1" t="s">
        <v>414</v>
      </c>
      <c r="W413" s="1">
        <v>3.896933560477002E-2</v>
      </c>
    </row>
    <row r="414" spans="1:23" x14ac:dyDescent="0.25">
      <c r="A414" s="48" t="s">
        <v>66</v>
      </c>
      <c r="B414" s="12" t="s">
        <v>361</v>
      </c>
      <c r="C414" s="1" t="str">
        <f t="shared" si="26"/>
        <v>Riyadh Target Group</v>
      </c>
      <c r="D414" s="1" t="s">
        <v>130</v>
      </c>
      <c r="E414" s="12" t="s">
        <v>149</v>
      </c>
      <c r="F414" s="1" t="s">
        <v>77</v>
      </c>
      <c r="G414" s="1" t="s">
        <v>74</v>
      </c>
      <c r="H414" s="1" t="s">
        <v>92</v>
      </c>
      <c r="I414" s="16">
        <v>5396</v>
      </c>
      <c r="J414" s="16">
        <v>39145</v>
      </c>
      <c r="K414" s="63">
        <v>59.89</v>
      </c>
      <c r="L414" s="16">
        <v>179</v>
      </c>
      <c r="M414" s="16">
        <v>3917</v>
      </c>
      <c r="N414" s="16">
        <v>65</v>
      </c>
      <c r="O414" s="26">
        <f t="shared" si="28"/>
        <v>0.45727423681185331</v>
      </c>
      <c r="P414" s="13" t="str">
        <f t="shared" si="27"/>
        <v>Good</v>
      </c>
      <c r="Q414" s="13">
        <f t="shared" si="25"/>
        <v>0.10006386511687317</v>
      </c>
      <c r="R414" s="16">
        <v>8</v>
      </c>
      <c r="S414" s="50">
        <v>9.6385540000000006E-2</v>
      </c>
      <c r="T414" s="27">
        <f>IF(Table4[[#This Row],[Link clicks]]=0,0,Table4[[#This Row],[Amount spent ]]/Table4[[#This Row],[Link clicks]])</f>
        <v>0.33458100558659221</v>
      </c>
      <c r="U414" s="62" t="s">
        <v>407</v>
      </c>
      <c r="V414" s="1" t="s">
        <v>414</v>
      </c>
      <c r="W414" s="1">
        <v>3.3172720533728689E-2</v>
      </c>
    </row>
    <row r="415" spans="1:23" x14ac:dyDescent="0.25">
      <c r="A415" s="48" t="s">
        <v>66</v>
      </c>
      <c r="B415" s="12" t="s">
        <v>361</v>
      </c>
      <c r="C415" s="1" t="str">
        <f t="shared" si="26"/>
        <v>Riyadh Target Group</v>
      </c>
      <c r="D415" s="1" t="s">
        <v>130</v>
      </c>
      <c r="E415" s="12" t="s">
        <v>153</v>
      </c>
      <c r="F415" s="1" t="s">
        <v>77</v>
      </c>
      <c r="G415" s="1" t="s">
        <v>74</v>
      </c>
      <c r="H415" s="1" t="s">
        <v>94</v>
      </c>
      <c r="I415" s="16">
        <v>5700</v>
      </c>
      <c r="J415" s="16">
        <v>30836</v>
      </c>
      <c r="K415" s="63">
        <v>47.23</v>
      </c>
      <c r="L415" s="16">
        <v>139</v>
      </c>
      <c r="M415" s="16">
        <v>1537</v>
      </c>
      <c r="N415" s="16">
        <v>1420</v>
      </c>
      <c r="O415" s="26">
        <f t="shared" si="28"/>
        <v>0.45077182513944736</v>
      </c>
      <c r="P415" s="13" t="str">
        <f t="shared" si="27"/>
        <v>Good</v>
      </c>
      <c r="Q415" s="13">
        <f t="shared" si="25"/>
        <v>4.9844337787002202E-2</v>
      </c>
      <c r="R415" s="16">
        <v>0</v>
      </c>
      <c r="S415" s="50">
        <v>0</v>
      </c>
      <c r="T415" s="27">
        <f>IF(Table4[[#This Row],[Link clicks]]=0,0,Table4[[#This Row],[Amount spent ]]/Table4[[#This Row],[Link clicks]])</f>
        <v>0.3397841726618705</v>
      </c>
      <c r="U415" s="62" t="s">
        <v>407</v>
      </c>
      <c r="V415" s="1" t="s">
        <v>414</v>
      </c>
      <c r="W415" s="1">
        <v>2.4385964912280698E-2</v>
      </c>
    </row>
    <row r="416" spans="1:23" x14ac:dyDescent="0.25">
      <c r="A416" s="48" t="s">
        <v>66</v>
      </c>
      <c r="B416" s="12" t="s">
        <v>361</v>
      </c>
      <c r="C416" s="1" t="str">
        <f t="shared" si="26"/>
        <v>Riyadh Target Group</v>
      </c>
      <c r="D416" s="1" t="s">
        <v>73</v>
      </c>
      <c r="E416" s="12" t="s">
        <v>186</v>
      </c>
      <c r="F416" s="1" t="s">
        <v>77</v>
      </c>
      <c r="G416" s="1" t="s">
        <v>74</v>
      </c>
      <c r="H416" s="1" t="s">
        <v>94</v>
      </c>
      <c r="I416" s="16">
        <v>18164</v>
      </c>
      <c r="J416" s="16">
        <v>33311</v>
      </c>
      <c r="K416" s="63">
        <v>44.04</v>
      </c>
      <c r="L416" s="16">
        <v>361</v>
      </c>
      <c r="M416" s="16">
        <v>17879</v>
      </c>
      <c r="N416" s="16">
        <v>50</v>
      </c>
      <c r="O416" s="26">
        <f t="shared" si="28"/>
        <v>1.0837260964846447</v>
      </c>
      <c r="P416" s="13" t="str">
        <f t="shared" si="27"/>
        <v>Good</v>
      </c>
      <c r="Q416" s="13">
        <f t="shared" si="25"/>
        <v>0.53672960883792142</v>
      </c>
      <c r="R416" s="16">
        <v>0</v>
      </c>
      <c r="S416" s="50">
        <v>0</v>
      </c>
      <c r="T416" s="27">
        <f>IF(Table4[[#This Row],[Link clicks]]=0,0,Table4[[#This Row],[Amount spent ]]/Table4[[#This Row],[Link clicks]])</f>
        <v>0.121994459833795</v>
      </c>
      <c r="U416" s="62" t="s">
        <v>407</v>
      </c>
      <c r="V416" s="1" t="s">
        <v>413</v>
      </c>
      <c r="W416" s="1">
        <v>1.9874476987447699E-2</v>
      </c>
    </row>
    <row r="417" spans="1:23" x14ac:dyDescent="0.25">
      <c r="A417" s="48" t="s">
        <v>66</v>
      </c>
      <c r="B417" s="12" t="s">
        <v>361</v>
      </c>
      <c r="C417" s="1" t="str">
        <f t="shared" si="26"/>
        <v>Riyadh Target Group</v>
      </c>
      <c r="D417" s="1" t="s">
        <v>130</v>
      </c>
      <c r="E417" s="12" t="s">
        <v>151</v>
      </c>
      <c r="F417" s="1" t="s">
        <v>77</v>
      </c>
      <c r="G417" s="1" t="s">
        <v>74</v>
      </c>
      <c r="H417" s="1" t="s">
        <v>92</v>
      </c>
      <c r="I417" s="16">
        <v>5618</v>
      </c>
      <c r="J417" s="16">
        <v>27121</v>
      </c>
      <c r="K417" s="63">
        <v>42.86</v>
      </c>
      <c r="L417" s="16">
        <v>132</v>
      </c>
      <c r="M417" s="16">
        <v>2683</v>
      </c>
      <c r="N417" s="16">
        <v>163</v>
      </c>
      <c r="O417" s="26">
        <f t="shared" si="28"/>
        <v>0.48670771726706241</v>
      </c>
      <c r="P417" s="13" t="str">
        <f t="shared" si="27"/>
        <v>Good</v>
      </c>
      <c r="Q417" s="13">
        <f t="shared" si="25"/>
        <v>9.8927030714206707E-2</v>
      </c>
      <c r="R417" s="16">
        <v>0</v>
      </c>
      <c r="S417" s="50">
        <v>0</v>
      </c>
      <c r="T417" s="27">
        <f>IF(Table4[[#This Row],[Link clicks]]=0,0,Table4[[#This Row],[Amount spent ]]/Table4[[#This Row],[Link clicks]])</f>
        <v>0.32469696969696971</v>
      </c>
      <c r="U417" s="62" t="s">
        <v>407</v>
      </c>
      <c r="V417" s="1" t="s">
        <v>414</v>
      </c>
      <c r="W417" s="1">
        <v>2.3495906016375939E-2</v>
      </c>
    </row>
    <row r="418" spans="1:23" x14ac:dyDescent="0.25">
      <c r="A418" s="48" t="s">
        <v>66</v>
      </c>
      <c r="B418" s="12" t="s">
        <v>361</v>
      </c>
      <c r="C418" s="1" t="str">
        <f t="shared" si="26"/>
        <v>Riyadh Target Group</v>
      </c>
      <c r="D418" s="1" t="s">
        <v>130</v>
      </c>
      <c r="E418" s="12" t="s">
        <v>186</v>
      </c>
      <c r="F418" s="1" t="s">
        <v>77</v>
      </c>
      <c r="G418" s="1" t="s">
        <v>74</v>
      </c>
      <c r="H418" s="1" t="s">
        <v>94</v>
      </c>
      <c r="I418" s="16">
        <v>1360</v>
      </c>
      <c r="J418" s="16">
        <v>4147</v>
      </c>
      <c r="K418" s="63">
        <v>15.67</v>
      </c>
      <c r="L418" s="16">
        <v>67</v>
      </c>
      <c r="M418" s="16">
        <v>2703</v>
      </c>
      <c r="N418" s="16">
        <v>6</v>
      </c>
      <c r="O418" s="26">
        <f t="shared" si="28"/>
        <v>1.6156257535567882</v>
      </c>
      <c r="P418" s="13" t="str">
        <f t="shared" si="27"/>
        <v>Good</v>
      </c>
      <c r="Q418" s="13">
        <f t="shared" si="25"/>
        <v>0.65179647938268626</v>
      </c>
      <c r="R418" s="16">
        <v>0</v>
      </c>
      <c r="S418" s="50">
        <v>0</v>
      </c>
      <c r="T418" s="27">
        <f>IF(Table4[[#This Row],[Link clicks]]=0,0,Table4[[#This Row],[Amount spent ]]/Table4[[#This Row],[Link clicks]])</f>
        <v>0.23388059701492536</v>
      </c>
      <c r="U418" s="62" t="s">
        <v>407</v>
      </c>
      <c r="V418" s="1" t="s">
        <v>414</v>
      </c>
      <c r="W418" s="1">
        <v>4.926470588235294E-2</v>
      </c>
    </row>
    <row r="419" spans="1:23" x14ac:dyDescent="0.25">
      <c r="A419" s="48" t="s">
        <v>66</v>
      </c>
      <c r="B419" s="12" t="s">
        <v>361</v>
      </c>
      <c r="C419" s="1" t="str">
        <f t="shared" si="26"/>
        <v>Riyadh Target Group</v>
      </c>
      <c r="D419" s="1" t="s">
        <v>130</v>
      </c>
      <c r="E419" s="12" t="s">
        <v>191</v>
      </c>
      <c r="F419" s="1" t="s">
        <v>77</v>
      </c>
      <c r="G419" s="1" t="s">
        <v>74</v>
      </c>
      <c r="H419" s="1" t="s">
        <v>75</v>
      </c>
      <c r="I419" s="16">
        <v>3302</v>
      </c>
      <c r="J419" s="16">
        <v>8980</v>
      </c>
      <c r="K419" s="63">
        <v>15.49</v>
      </c>
      <c r="L419" s="16">
        <v>5</v>
      </c>
      <c r="M419" s="16">
        <v>445</v>
      </c>
      <c r="N419" s="16">
        <v>3</v>
      </c>
      <c r="O419" s="26">
        <f t="shared" si="28"/>
        <v>5.5679287305122491E-2</v>
      </c>
      <c r="P419" s="13" t="str">
        <f t="shared" si="27"/>
        <v>Bad</v>
      </c>
      <c r="Q419" s="13">
        <f t="shared" si="25"/>
        <v>4.9554565701559021E-2</v>
      </c>
      <c r="R419" s="16">
        <v>1</v>
      </c>
      <c r="S419" s="50">
        <v>1</v>
      </c>
      <c r="T419" s="27">
        <f>IF(Table4[[#This Row],[Link clicks]]=0,0,Table4[[#This Row],[Amount spent ]]/Table4[[#This Row],[Link clicks]])</f>
        <v>3.0979999999999999</v>
      </c>
      <c r="U419" s="62" t="s">
        <v>407</v>
      </c>
      <c r="V419" s="1" t="s">
        <v>414</v>
      </c>
      <c r="W419" s="1">
        <v>1.5142337976983651E-3</v>
      </c>
    </row>
    <row r="420" spans="1:23" x14ac:dyDescent="0.25">
      <c r="A420" s="48" t="s">
        <v>66</v>
      </c>
      <c r="B420" s="12" t="s">
        <v>361</v>
      </c>
      <c r="C420" s="1" t="str">
        <f t="shared" si="26"/>
        <v>Riyadh Target Group</v>
      </c>
      <c r="D420" s="1" t="s">
        <v>130</v>
      </c>
      <c r="E420" s="12" t="s">
        <v>20</v>
      </c>
      <c r="F420" s="1" t="s">
        <v>77</v>
      </c>
      <c r="G420" s="1" t="s">
        <v>74</v>
      </c>
      <c r="H420" s="1" t="s">
        <v>75</v>
      </c>
      <c r="I420" s="16">
        <v>2331</v>
      </c>
      <c r="J420" s="16">
        <v>6184</v>
      </c>
      <c r="K420" s="63">
        <v>10.69</v>
      </c>
      <c r="L420" s="16">
        <v>3</v>
      </c>
      <c r="M420" s="16">
        <v>424</v>
      </c>
      <c r="N420" s="16">
        <v>8</v>
      </c>
      <c r="O420" s="26">
        <f t="shared" si="28"/>
        <v>4.8512289780077621E-2</v>
      </c>
      <c r="P420" s="13" t="str">
        <f t="shared" si="27"/>
        <v>Bad</v>
      </c>
      <c r="Q420" s="13">
        <f t="shared" si="25"/>
        <v>6.85640362225097E-2</v>
      </c>
      <c r="R420" s="16">
        <v>0</v>
      </c>
      <c r="S420" s="50">
        <v>0</v>
      </c>
      <c r="T420" s="27">
        <f>IF(Table4[[#This Row],[Link clicks]]=0,0,Table4[[#This Row],[Amount spent ]]/Table4[[#This Row],[Link clicks]])</f>
        <v>3.563333333333333</v>
      </c>
      <c r="U420" s="62" t="s">
        <v>407</v>
      </c>
      <c r="V420" s="1" t="s">
        <v>414</v>
      </c>
      <c r="W420" s="1">
        <v>1.287001287001287E-3</v>
      </c>
    </row>
    <row r="421" spans="1:23" x14ac:dyDescent="0.25">
      <c r="A421" s="48" t="s">
        <v>66</v>
      </c>
      <c r="B421" s="12" t="s">
        <v>361</v>
      </c>
      <c r="C421" s="1" t="str">
        <f t="shared" si="26"/>
        <v>Riyadh Target Group</v>
      </c>
      <c r="D421" s="1" t="s">
        <v>130</v>
      </c>
      <c r="E421" s="12" t="s">
        <v>18</v>
      </c>
      <c r="F421" s="1" t="s">
        <v>77</v>
      </c>
      <c r="G421" s="1" t="s">
        <v>74</v>
      </c>
      <c r="H421" s="1" t="s">
        <v>75</v>
      </c>
      <c r="I421" s="16">
        <v>2103</v>
      </c>
      <c r="J421" s="16">
        <v>4494</v>
      </c>
      <c r="K421" s="63">
        <v>7.48</v>
      </c>
      <c r="L421" s="16">
        <v>2</v>
      </c>
      <c r="M421" s="16">
        <v>344</v>
      </c>
      <c r="N421" s="16">
        <v>13</v>
      </c>
      <c r="O421" s="26">
        <f t="shared" si="28"/>
        <v>4.4503782821539828E-2</v>
      </c>
      <c r="P421" s="13" t="str">
        <f t="shared" si="27"/>
        <v>Bad</v>
      </c>
      <c r="Q421" s="13">
        <f t="shared" ref="Q421:Q427" si="29">M421/J421</f>
        <v>7.6546506453048516E-2</v>
      </c>
      <c r="R421" s="16">
        <v>0</v>
      </c>
      <c r="S421" s="50">
        <v>0</v>
      </c>
      <c r="T421" s="27">
        <f>IF(Table4[[#This Row],[Link clicks]]=0,0,Table4[[#This Row],[Amount spent ]]/Table4[[#This Row],[Link clicks]])</f>
        <v>3.74</v>
      </c>
      <c r="U421" s="62" t="s">
        <v>407</v>
      </c>
      <c r="V421" s="1" t="s">
        <v>414</v>
      </c>
      <c r="W421" s="1">
        <v>9.5102234902520212E-4</v>
      </c>
    </row>
    <row r="422" spans="1:23" x14ac:dyDescent="0.25">
      <c r="A422" s="48" t="s">
        <v>66</v>
      </c>
      <c r="B422" s="12" t="s">
        <v>361</v>
      </c>
      <c r="C422" s="1" t="str">
        <f t="shared" si="26"/>
        <v>Riyadh Target Group</v>
      </c>
      <c r="D422" s="1" t="s">
        <v>73</v>
      </c>
      <c r="E422" s="12" t="s">
        <v>153</v>
      </c>
      <c r="F422" s="1" t="s">
        <v>77</v>
      </c>
      <c r="G422" s="1" t="s">
        <v>74</v>
      </c>
      <c r="H422" s="1" t="s">
        <v>94</v>
      </c>
      <c r="I422" s="16">
        <v>4540</v>
      </c>
      <c r="J422" s="16">
        <v>7944</v>
      </c>
      <c r="K422" s="63">
        <v>5.45</v>
      </c>
      <c r="L422" s="16">
        <v>52</v>
      </c>
      <c r="M422" s="16">
        <v>1139</v>
      </c>
      <c r="N422" s="16">
        <v>1007</v>
      </c>
      <c r="O422" s="26">
        <f t="shared" si="28"/>
        <v>0.65458207452165162</v>
      </c>
      <c r="P422" s="13" t="str">
        <f t="shared" si="27"/>
        <v>Good</v>
      </c>
      <c r="Q422" s="13">
        <f t="shared" si="29"/>
        <v>0.14337865055387713</v>
      </c>
      <c r="R422" s="16">
        <v>0</v>
      </c>
      <c r="S422" s="50">
        <v>0</v>
      </c>
      <c r="T422" s="27">
        <f>IF(Table4[[#This Row],[Link clicks]]=0,0,Table4[[#This Row],[Amount spent ]]/Table4[[#This Row],[Link clicks]])</f>
        <v>0.10480769230769231</v>
      </c>
      <c r="U422" s="62" t="s">
        <v>407</v>
      </c>
      <c r="V422" s="1" t="s">
        <v>413</v>
      </c>
      <c r="W422" s="1">
        <v>1.145374449339207E-2</v>
      </c>
    </row>
    <row r="423" spans="1:23" x14ac:dyDescent="0.25">
      <c r="A423" s="48" t="s">
        <v>66</v>
      </c>
      <c r="B423" s="12" t="s">
        <v>361</v>
      </c>
      <c r="C423" s="1" t="str">
        <f t="shared" si="26"/>
        <v>Riyadh Target Group</v>
      </c>
      <c r="D423" s="1" t="s">
        <v>130</v>
      </c>
      <c r="E423" s="12" t="s">
        <v>153</v>
      </c>
      <c r="F423" s="1" t="s">
        <v>77</v>
      </c>
      <c r="G423" s="1" t="s">
        <v>74</v>
      </c>
      <c r="H423" s="1" t="s">
        <v>94</v>
      </c>
      <c r="I423" s="16">
        <v>333</v>
      </c>
      <c r="J423" s="16">
        <v>598</v>
      </c>
      <c r="K423" s="63">
        <v>1.02</v>
      </c>
      <c r="L423" s="16">
        <v>3</v>
      </c>
      <c r="M423" s="16">
        <v>90</v>
      </c>
      <c r="N423" s="16">
        <v>75</v>
      </c>
      <c r="O423" s="26">
        <f t="shared" si="28"/>
        <v>0.50167224080267558</v>
      </c>
      <c r="P423" s="13" t="str">
        <f t="shared" si="27"/>
        <v>Good</v>
      </c>
      <c r="Q423" s="13">
        <f t="shared" si="29"/>
        <v>0.15050167224080269</v>
      </c>
      <c r="R423" s="16">
        <v>0</v>
      </c>
      <c r="S423" s="50">
        <v>0</v>
      </c>
      <c r="T423" s="27">
        <f>IF(Table4[[#This Row],[Link clicks]]=0,0,Table4[[#This Row],[Amount spent ]]/Table4[[#This Row],[Link clicks]])</f>
        <v>0.34</v>
      </c>
      <c r="U423" s="62" t="s">
        <v>407</v>
      </c>
      <c r="V423" s="1" t="s">
        <v>414</v>
      </c>
      <c r="W423" s="1">
        <v>9.0090090090090089E-3</v>
      </c>
    </row>
    <row r="424" spans="1:23" x14ac:dyDescent="0.25">
      <c r="A424" s="48" t="s">
        <v>66</v>
      </c>
      <c r="B424" s="12" t="s">
        <v>361</v>
      </c>
      <c r="C424" s="1" t="str">
        <f t="shared" si="26"/>
        <v>Riyadh Target Group</v>
      </c>
      <c r="D424" s="1" t="s">
        <v>130</v>
      </c>
      <c r="E424" s="12" t="s">
        <v>18</v>
      </c>
      <c r="F424" s="1" t="s">
        <v>77</v>
      </c>
      <c r="G424" s="1" t="s">
        <v>74</v>
      </c>
      <c r="H424" s="1" t="s">
        <v>75</v>
      </c>
      <c r="I424" s="16">
        <v>1</v>
      </c>
      <c r="J424" s="16">
        <v>1</v>
      </c>
      <c r="K424" s="63">
        <v>0</v>
      </c>
      <c r="L424" s="16">
        <v>0</v>
      </c>
      <c r="M424" s="16">
        <v>0</v>
      </c>
      <c r="N424" s="16">
        <v>0</v>
      </c>
      <c r="O424" s="26">
        <f t="shared" si="28"/>
        <v>0</v>
      </c>
      <c r="P424" s="13" t="str">
        <f t="shared" si="27"/>
        <v>Bad</v>
      </c>
      <c r="Q424" s="13">
        <f t="shared" si="29"/>
        <v>0</v>
      </c>
      <c r="R424" s="16">
        <v>0</v>
      </c>
      <c r="S424" s="50">
        <v>0</v>
      </c>
      <c r="T424" s="27">
        <f>IF(Table4[[#This Row],[Link clicks]]=0,0,Table4[[#This Row],[Amount spent ]]/Table4[[#This Row],[Link clicks]])</f>
        <v>0</v>
      </c>
      <c r="U424" s="62" t="s">
        <v>407</v>
      </c>
      <c r="V424" s="1" t="s">
        <v>414</v>
      </c>
      <c r="W424" s="1">
        <v>0</v>
      </c>
    </row>
    <row r="425" spans="1:23" x14ac:dyDescent="0.25">
      <c r="A425" s="48" t="s">
        <v>66</v>
      </c>
      <c r="B425" s="12" t="s">
        <v>361</v>
      </c>
      <c r="C425" s="1" t="str">
        <f t="shared" si="26"/>
        <v>Riyadh Target Group</v>
      </c>
      <c r="D425" s="1" t="s">
        <v>73</v>
      </c>
      <c r="E425" s="12" t="s">
        <v>18</v>
      </c>
      <c r="F425" s="1" t="s">
        <v>77</v>
      </c>
      <c r="G425" s="1" t="s">
        <v>74</v>
      </c>
      <c r="H425" s="1" t="s">
        <v>75</v>
      </c>
      <c r="I425" s="16">
        <v>1</v>
      </c>
      <c r="J425" s="16">
        <v>1</v>
      </c>
      <c r="K425" s="63">
        <v>0</v>
      </c>
      <c r="L425" s="16">
        <v>0</v>
      </c>
      <c r="M425" s="16">
        <v>0</v>
      </c>
      <c r="N425" s="16">
        <v>0</v>
      </c>
      <c r="O425" s="26">
        <f t="shared" si="28"/>
        <v>0</v>
      </c>
      <c r="P425" s="13" t="str">
        <f t="shared" si="27"/>
        <v>Bad</v>
      </c>
      <c r="Q425" s="13">
        <f t="shared" si="29"/>
        <v>0</v>
      </c>
      <c r="R425" s="16">
        <v>1</v>
      </c>
      <c r="S425" s="50">
        <v>0.33333332999999998</v>
      </c>
      <c r="T425" s="27">
        <f>IF(Table4[[#This Row],[Link clicks]]=0,0,Table4[[#This Row],[Amount spent ]]/Table4[[#This Row],[Link clicks]])</f>
        <v>0</v>
      </c>
      <c r="U425" s="62" t="s">
        <v>407</v>
      </c>
      <c r="V425" s="1" t="s">
        <v>413</v>
      </c>
      <c r="W425" s="1">
        <v>0</v>
      </c>
    </row>
    <row r="426" spans="1:23" x14ac:dyDescent="0.25">
      <c r="A426" s="48" t="s">
        <v>66</v>
      </c>
      <c r="B426" s="12" t="s">
        <v>361</v>
      </c>
      <c r="C426" s="1" t="str">
        <f t="shared" si="26"/>
        <v>Riyadh Target Group</v>
      </c>
      <c r="D426" s="1" t="s">
        <v>73</v>
      </c>
      <c r="E426" s="12" t="s">
        <v>20</v>
      </c>
      <c r="F426" s="1" t="s">
        <v>77</v>
      </c>
      <c r="G426" s="1" t="s">
        <v>74</v>
      </c>
      <c r="H426" s="1" t="s">
        <v>75</v>
      </c>
      <c r="I426" s="16">
        <v>2</v>
      </c>
      <c r="J426" s="16">
        <v>2</v>
      </c>
      <c r="K426" s="63">
        <v>0</v>
      </c>
      <c r="L426" s="16">
        <v>0</v>
      </c>
      <c r="M426" s="16">
        <v>0</v>
      </c>
      <c r="N426" s="16">
        <v>0</v>
      </c>
      <c r="O426" s="26">
        <f t="shared" si="28"/>
        <v>0</v>
      </c>
      <c r="P426" s="13" t="str">
        <f t="shared" si="27"/>
        <v>Bad</v>
      </c>
      <c r="Q426" s="13">
        <f t="shared" si="29"/>
        <v>0</v>
      </c>
      <c r="R426" s="16">
        <v>0</v>
      </c>
      <c r="S426" s="50">
        <v>0</v>
      </c>
      <c r="T426" s="27">
        <f>IF(Table4[[#This Row],[Link clicks]]=0,0,Table4[[#This Row],[Amount spent ]]/Table4[[#This Row],[Link clicks]])</f>
        <v>0</v>
      </c>
      <c r="U426" s="62" t="s">
        <v>407</v>
      </c>
      <c r="V426" s="1" t="s">
        <v>413</v>
      </c>
      <c r="W426" s="1">
        <v>0</v>
      </c>
    </row>
    <row r="427" spans="1:23" x14ac:dyDescent="0.25">
      <c r="A427" s="47" t="s">
        <v>66</v>
      </c>
      <c r="B427" s="54" t="s">
        <v>361</v>
      </c>
      <c r="C427" s="1" t="str">
        <f t="shared" si="26"/>
        <v>Riyadh Target Group</v>
      </c>
      <c r="D427" s="55" t="s">
        <v>73</v>
      </c>
      <c r="E427" s="54" t="s">
        <v>191</v>
      </c>
      <c r="F427" s="55" t="s">
        <v>77</v>
      </c>
      <c r="G427" s="55" t="s">
        <v>74</v>
      </c>
      <c r="H427" s="55" t="s">
        <v>75</v>
      </c>
      <c r="I427" s="56">
        <v>3</v>
      </c>
      <c r="J427" s="56">
        <v>3</v>
      </c>
      <c r="K427" s="63">
        <v>0</v>
      </c>
      <c r="L427" s="56">
        <v>0</v>
      </c>
      <c r="M427" s="56">
        <v>0</v>
      </c>
      <c r="N427" s="56">
        <v>0</v>
      </c>
      <c r="O427" s="26">
        <f t="shared" si="28"/>
        <v>0</v>
      </c>
      <c r="P427" s="57" t="str">
        <f t="shared" si="27"/>
        <v>Bad</v>
      </c>
      <c r="Q427" s="57">
        <f t="shared" si="29"/>
        <v>0</v>
      </c>
      <c r="R427" s="56">
        <v>1</v>
      </c>
      <c r="S427" s="50">
        <v>1</v>
      </c>
      <c r="T427" s="27">
        <f>IF(Table4[[#This Row],[Link clicks]]=0,0,Table4[[#This Row],[Amount spent ]]/Table4[[#This Row],[Link clicks]])</f>
        <v>0</v>
      </c>
      <c r="U427" s="62" t="s">
        <v>407</v>
      </c>
      <c r="V427" s="1" t="s">
        <v>413</v>
      </c>
      <c r="W427" s="1">
        <v>0</v>
      </c>
    </row>
  </sheetData>
  <conditionalFormatting sqref="O2:O427">
    <cfRule type="cellIs" dxfId="161" priority="2" operator="greaterThan">
      <formula>0.2</formula>
    </cfRule>
  </conditionalFormatting>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workbookViewId="0">
      <pane ySplit="1" topLeftCell="A2" activePane="bottomLeft" state="frozen"/>
      <selection activeCell="O1" sqref="O1"/>
      <selection pane="bottomLeft" activeCell="V1" sqref="V1"/>
    </sheetView>
  </sheetViews>
  <sheetFormatPr defaultRowHeight="15" x14ac:dyDescent="0.25"/>
  <cols>
    <col min="1" max="1" width="9" customWidth="1"/>
    <col min="2" max="2" width="20.5703125" customWidth="1"/>
    <col min="3" max="3" width="13.85546875" customWidth="1"/>
    <col min="4" max="4" width="18" customWidth="1"/>
    <col min="5" max="5" width="33.28515625" customWidth="1"/>
    <col min="6" max="6" width="11.7109375" customWidth="1"/>
    <col min="7" max="7" width="11" customWidth="1"/>
    <col min="8" max="8" width="11.28515625" bestFit="1" customWidth="1"/>
    <col min="10" max="10" width="17.85546875" customWidth="1"/>
    <col min="11" max="11" width="15.5703125" bestFit="1" customWidth="1"/>
    <col min="12" max="12" width="15" customWidth="1"/>
    <col min="13" max="13" width="12.42578125" bestFit="1" customWidth="1"/>
    <col min="14" max="14" width="16.28515625" bestFit="1" customWidth="1"/>
    <col min="15" max="15" width="12.28515625" bestFit="1" customWidth="1"/>
    <col min="16" max="16" width="21.28515625" customWidth="1"/>
    <col min="17" max="17" width="18.7109375" customWidth="1"/>
    <col min="19" max="19" width="18" bestFit="1" customWidth="1"/>
    <col min="20" max="20" width="11.85546875" bestFit="1" customWidth="1"/>
    <col min="22" max="22" width="13.42578125" customWidth="1"/>
  </cols>
  <sheetData>
    <row r="1" spans="1:24" x14ac:dyDescent="0.25">
      <c r="A1" s="58" t="s">
        <v>0</v>
      </c>
      <c r="B1" s="2" t="s">
        <v>1</v>
      </c>
      <c r="C1" s="2" t="s">
        <v>394</v>
      </c>
      <c r="D1" s="2" t="s">
        <v>351</v>
      </c>
      <c r="E1" s="2" t="s">
        <v>12</v>
      </c>
      <c r="F1" s="2" t="s">
        <v>2</v>
      </c>
      <c r="G1" s="2" t="s">
        <v>3</v>
      </c>
      <c r="H1" s="2" t="s">
        <v>82</v>
      </c>
      <c r="I1" s="2" t="s">
        <v>4</v>
      </c>
      <c r="J1" s="2" t="s">
        <v>5</v>
      </c>
      <c r="K1" s="2" t="s">
        <v>6</v>
      </c>
      <c r="L1" s="2" t="s">
        <v>126</v>
      </c>
      <c r="M1" s="2" t="s">
        <v>8</v>
      </c>
      <c r="N1" s="2" t="s">
        <v>127</v>
      </c>
      <c r="O1" s="2" t="s">
        <v>128</v>
      </c>
      <c r="P1" s="2" t="s">
        <v>10</v>
      </c>
      <c r="Q1" s="2" t="s">
        <v>11</v>
      </c>
      <c r="R1" s="2" t="s">
        <v>129</v>
      </c>
      <c r="S1" s="2" t="s">
        <v>9</v>
      </c>
      <c r="T1" s="2" t="s">
        <v>125</v>
      </c>
      <c r="U1" s="25" t="s">
        <v>13</v>
      </c>
      <c r="V1" s="25" t="s">
        <v>393</v>
      </c>
      <c r="W1" s="25" t="s">
        <v>404</v>
      </c>
      <c r="X1" s="25" t="s">
        <v>410</v>
      </c>
    </row>
    <row r="2" spans="1:24" x14ac:dyDescent="0.25">
      <c r="A2" s="59" t="s">
        <v>70</v>
      </c>
      <c r="B2" s="8" t="s">
        <v>362</v>
      </c>
      <c r="C2" s="3" t="str">
        <f>IF(A2 = "UAE","United Arab Emirates Target Group",IF(A2 = "BAH","Bahrain Target Group",IF(A2="JED","Jeddah Target Group",IF(A2="KWT","Kuwait Target Group",IF(A2="QAT","Qatar Target Group",IF(A2="RIY","Riyadh Target Group","Oman Target Group"))))))</f>
        <v>Jeddah Target Group</v>
      </c>
      <c r="D2" s="3" t="s">
        <v>353</v>
      </c>
      <c r="E2" s="8" t="s">
        <v>384</v>
      </c>
      <c r="F2" s="3" t="s">
        <v>130</v>
      </c>
      <c r="G2" s="8" t="s">
        <v>44</v>
      </c>
      <c r="H2" s="3" t="s">
        <v>77</v>
      </c>
      <c r="I2" s="3" t="s">
        <v>74</v>
      </c>
      <c r="J2" s="3" t="s">
        <v>75</v>
      </c>
      <c r="K2" s="9">
        <v>422.52</v>
      </c>
      <c r="L2" s="10">
        <v>5.7000000000000002E-3</v>
      </c>
      <c r="M2" s="11">
        <v>96300</v>
      </c>
      <c r="N2" s="10">
        <v>2.0985999999999998</v>
      </c>
      <c r="O2" s="10">
        <v>2.09</v>
      </c>
      <c r="P2" s="11">
        <v>76291</v>
      </c>
      <c r="Q2" s="11">
        <v>1184</v>
      </c>
      <c r="R2" s="7">
        <f t="shared" ref="R2:R33" si="0">P2/S2</f>
        <v>0.37750068037309187</v>
      </c>
      <c r="S2" s="11">
        <v>202095</v>
      </c>
      <c r="T2" s="17">
        <v>1160</v>
      </c>
      <c r="U2" s="27">
        <f>(T2/S2)*100</f>
        <v>0.57398748113510978</v>
      </c>
      <c r="V2" t="str">
        <f>IF(T2 &gt;1000,"High","Low")</f>
        <v>High</v>
      </c>
      <c r="W2" s="61">
        <f>IF(Table2[[#This Row],[Swipe Ups]]=0,0,Table2[[#This Row],[Amount Spent]]/Table2[[#This Row],[Swipe Ups]])</f>
        <v>0.36424137931034484</v>
      </c>
      <c r="X2" t="s">
        <v>408</v>
      </c>
    </row>
    <row r="3" spans="1:24" x14ac:dyDescent="0.25">
      <c r="A3" s="59" t="s">
        <v>70</v>
      </c>
      <c r="B3" s="8" t="s">
        <v>362</v>
      </c>
      <c r="C3" s="3" t="str">
        <f t="shared" ref="C3:C54" si="1">IF(A3 = "UAE","United Arab Emirates Target Group",IF(A3 = "BAH","Bahrain Target Group",IF(A3="JED","Jeddah Target Group",IF(A3="KWT","Kuwait Target Group",IF(A3="QAT","Qatar Target Group",IF(A3="RIY","Riyadh Target Group","Oman Target Group"))))))</f>
        <v>Jeddah Target Group</v>
      </c>
      <c r="D3" s="3" t="s">
        <v>353</v>
      </c>
      <c r="E3" s="8" t="s">
        <v>384</v>
      </c>
      <c r="F3" s="3" t="s">
        <v>130</v>
      </c>
      <c r="G3" s="8" t="s">
        <v>42</v>
      </c>
      <c r="H3" s="3" t="s">
        <v>77</v>
      </c>
      <c r="I3" s="3" t="s">
        <v>74</v>
      </c>
      <c r="J3" s="3" t="s">
        <v>75</v>
      </c>
      <c r="K3" s="9">
        <v>110.89</v>
      </c>
      <c r="L3" s="10">
        <v>6.3E-3</v>
      </c>
      <c r="M3" s="11">
        <v>30158</v>
      </c>
      <c r="N3" s="10">
        <v>1.7528999999999999</v>
      </c>
      <c r="O3" s="10">
        <v>2.1</v>
      </c>
      <c r="P3" s="11">
        <v>19730</v>
      </c>
      <c r="Q3" s="11">
        <v>509</v>
      </c>
      <c r="R3" s="7">
        <f t="shared" si="0"/>
        <v>0.37321479239572497</v>
      </c>
      <c r="S3" s="11">
        <v>52865</v>
      </c>
      <c r="T3" s="17">
        <v>332</v>
      </c>
      <c r="U3" s="27">
        <f t="shared" ref="U3:U54" si="2">(T3/S3)*100</f>
        <v>0.62801475456351086</v>
      </c>
      <c r="V3" t="str">
        <f t="shared" ref="V3:V54" si="3">IF(T3 &gt;1000,"High","Low")</f>
        <v>Low</v>
      </c>
      <c r="W3" s="61">
        <f>IF(Table2[[#This Row],[Swipe Ups]]=0,0,Table2[[#This Row],[Amount Spent]]/Table2[[#This Row],[Swipe Ups]])</f>
        <v>0.33400602409638552</v>
      </c>
      <c r="X3" t="s">
        <v>408</v>
      </c>
    </row>
    <row r="4" spans="1:24" x14ac:dyDescent="0.25">
      <c r="A4" s="59" t="s">
        <v>70</v>
      </c>
      <c r="B4" s="8" t="s">
        <v>362</v>
      </c>
      <c r="C4" s="3" t="str">
        <f t="shared" si="1"/>
        <v>Jeddah Target Group</v>
      </c>
      <c r="D4" s="3" t="s">
        <v>353</v>
      </c>
      <c r="E4" s="8" t="s">
        <v>384</v>
      </c>
      <c r="F4" s="3" t="s">
        <v>130</v>
      </c>
      <c r="G4" s="8" t="s">
        <v>43</v>
      </c>
      <c r="H4" s="3" t="s">
        <v>78</v>
      </c>
      <c r="I4" s="3" t="s">
        <v>74</v>
      </c>
      <c r="J4" s="3" t="s">
        <v>75</v>
      </c>
      <c r="K4" s="9">
        <v>74.56</v>
      </c>
      <c r="L4" s="10">
        <v>4.7999999999999996E-3</v>
      </c>
      <c r="M4" s="11">
        <v>18293</v>
      </c>
      <c r="N4" s="10">
        <v>1.8125</v>
      </c>
      <c r="O4" s="10">
        <v>2.25</v>
      </c>
      <c r="P4" s="11">
        <v>11929</v>
      </c>
      <c r="Q4" s="11">
        <v>357</v>
      </c>
      <c r="R4" s="7">
        <f t="shared" si="0"/>
        <v>0.3597840511521293</v>
      </c>
      <c r="S4" s="11">
        <v>33156</v>
      </c>
      <c r="T4" s="17">
        <v>160</v>
      </c>
      <c r="U4" s="27">
        <f t="shared" si="2"/>
        <v>0.48256725781155752</v>
      </c>
      <c r="V4" t="str">
        <f t="shared" si="3"/>
        <v>Low</v>
      </c>
      <c r="W4" s="61">
        <f>IF(Table2[[#This Row],[Swipe Ups]]=0,0,Table2[[#This Row],[Amount Spent]]/Table2[[#This Row],[Swipe Ups]])</f>
        <v>0.46600000000000003</v>
      </c>
      <c r="X4" t="s">
        <v>408</v>
      </c>
    </row>
    <row r="5" spans="1:24" x14ac:dyDescent="0.25">
      <c r="A5" s="59" t="s">
        <v>70</v>
      </c>
      <c r="B5" s="8" t="s">
        <v>362</v>
      </c>
      <c r="C5" s="3" t="str">
        <f t="shared" si="1"/>
        <v>Jeddah Target Group</v>
      </c>
      <c r="D5" s="3" t="s">
        <v>352</v>
      </c>
      <c r="E5" s="8" t="s">
        <v>385</v>
      </c>
      <c r="F5" s="3" t="s">
        <v>130</v>
      </c>
      <c r="G5" s="8" t="s">
        <v>42</v>
      </c>
      <c r="H5" s="3" t="s">
        <v>77</v>
      </c>
      <c r="I5" s="3" t="s">
        <v>74</v>
      </c>
      <c r="J5" s="3" t="s">
        <v>75</v>
      </c>
      <c r="K5" s="9">
        <v>133.5</v>
      </c>
      <c r="L5" s="10">
        <v>3.8999999999999998E-3</v>
      </c>
      <c r="M5" s="11">
        <v>108611</v>
      </c>
      <c r="N5" s="10">
        <v>1.0966</v>
      </c>
      <c r="O5" s="10">
        <v>1.1200000000000001</v>
      </c>
      <c r="P5" s="11">
        <v>6068</v>
      </c>
      <c r="Q5" s="11">
        <v>201</v>
      </c>
      <c r="R5" s="7">
        <f t="shared" si="0"/>
        <v>5.0949210320825535E-2</v>
      </c>
      <c r="S5" s="11">
        <v>119099</v>
      </c>
      <c r="T5" s="17">
        <v>460</v>
      </c>
      <c r="U5" s="27">
        <f t="shared" si="2"/>
        <v>0.38623330170698328</v>
      </c>
      <c r="V5" t="str">
        <f t="shared" si="3"/>
        <v>Low</v>
      </c>
      <c r="W5" s="61">
        <f>IF(Table2[[#This Row],[Swipe Ups]]=0,0,Table2[[#This Row],[Amount Spent]]/Table2[[#This Row],[Swipe Ups]])</f>
        <v>0.29021739130434782</v>
      </c>
      <c r="X5" t="s">
        <v>408</v>
      </c>
    </row>
    <row r="6" spans="1:24" x14ac:dyDescent="0.25">
      <c r="A6" s="59" t="s">
        <v>70</v>
      </c>
      <c r="B6" s="8" t="s">
        <v>362</v>
      </c>
      <c r="C6" s="3" t="str">
        <f t="shared" si="1"/>
        <v>Jeddah Target Group</v>
      </c>
      <c r="D6" s="3" t="s">
        <v>352</v>
      </c>
      <c r="E6" s="8" t="s">
        <v>385</v>
      </c>
      <c r="F6" s="3" t="s">
        <v>130</v>
      </c>
      <c r="G6" s="8" t="s">
        <v>45</v>
      </c>
      <c r="H6" s="3" t="s">
        <v>78</v>
      </c>
      <c r="I6" s="3" t="s">
        <v>74</v>
      </c>
      <c r="J6" s="3" t="s">
        <v>75</v>
      </c>
      <c r="K6" s="9">
        <v>149.68</v>
      </c>
      <c r="L6" s="10">
        <v>4.0000000000000001E-3</v>
      </c>
      <c r="M6" s="11">
        <v>119886</v>
      </c>
      <c r="N6" s="10">
        <v>1.1137999999999999</v>
      </c>
      <c r="O6" s="10">
        <v>1.1200000000000001</v>
      </c>
      <c r="P6" s="11">
        <v>5792</v>
      </c>
      <c r="Q6" s="11">
        <v>114</v>
      </c>
      <c r="R6" s="7">
        <f t="shared" si="0"/>
        <v>4.3375045868811454E-2</v>
      </c>
      <c r="S6" s="11">
        <v>133533</v>
      </c>
      <c r="T6" s="17">
        <v>532</v>
      </c>
      <c r="U6" s="27">
        <f t="shared" si="2"/>
        <v>0.39840339092209415</v>
      </c>
      <c r="V6" t="str">
        <f t="shared" si="3"/>
        <v>Low</v>
      </c>
      <c r="W6" s="61">
        <f>IF(Table2[[#This Row],[Swipe Ups]]=0,0,Table2[[#This Row],[Amount Spent]]/Table2[[#This Row],[Swipe Ups]])</f>
        <v>0.28135338345864663</v>
      </c>
      <c r="X6" t="s">
        <v>408</v>
      </c>
    </row>
    <row r="7" spans="1:24" x14ac:dyDescent="0.25">
      <c r="A7" s="59" t="s">
        <v>70</v>
      </c>
      <c r="B7" s="8" t="s">
        <v>362</v>
      </c>
      <c r="C7" s="3" t="str">
        <f t="shared" si="1"/>
        <v>Jeddah Target Group</v>
      </c>
      <c r="D7" s="3" t="s">
        <v>353</v>
      </c>
      <c r="E7" s="8" t="s">
        <v>386</v>
      </c>
      <c r="F7" s="3" t="s">
        <v>73</v>
      </c>
      <c r="G7" s="8" t="s">
        <v>43</v>
      </c>
      <c r="H7" s="3" t="s">
        <v>78</v>
      </c>
      <c r="I7" s="3" t="s">
        <v>74</v>
      </c>
      <c r="J7" s="3" t="s">
        <v>75</v>
      </c>
      <c r="K7" s="9">
        <v>167.73</v>
      </c>
      <c r="L7" s="10">
        <v>5.8999999999999999E-3</v>
      </c>
      <c r="M7" s="11">
        <v>60513</v>
      </c>
      <c r="N7" s="10">
        <v>1.3660000000000001</v>
      </c>
      <c r="O7" s="10">
        <v>2.0299999999999998</v>
      </c>
      <c r="P7" s="11">
        <v>20179</v>
      </c>
      <c r="Q7" s="11">
        <v>469</v>
      </c>
      <c r="R7" s="7">
        <f t="shared" si="0"/>
        <v>0.24412344693257843</v>
      </c>
      <c r="S7" s="11">
        <v>82659</v>
      </c>
      <c r="T7" s="17">
        <v>491</v>
      </c>
      <c r="U7" s="27">
        <f t="shared" si="2"/>
        <v>0.59400670223448149</v>
      </c>
      <c r="V7" t="str">
        <f t="shared" si="3"/>
        <v>Low</v>
      </c>
      <c r="W7" s="61">
        <f>IF(Table2[[#This Row],[Swipe Ups]]=0,0,Table2[[#This Row],[Amount Spent]]/Table2[[#This Row],[Swipe Ups]])</f>
        <v>0.3416089613034623</v>
      </c>
      <c r="X7" t="s">
        <v>408</v>
      </c>
    </row>
    <row r="8" spans="1:24" x14ac:dyDescent="0.25">
      <c r="A8" s="59" t="s">
        <v>70</v>
      </c>
      <c r="B8" s="8" t="s">
        <v>362</v>
      </c>
      <c r="C8" s="3" t="str">
        <f t="shared" si="1"/>
        <v>Jeddah Target Group</v>
      </c>
      <c r="D8" s="3" t="s">
        <v>352</v>
      </c>
      <c r="E8" s="8" t="s">
        <v>386</v>
      </c>
      <c r="F8" s="3" t="s">
        <v>73</v>
      </c>
      <c r="G8" s="8" t="s">
        <v>44</v>
      </c>
      <c r="H8" s="3" t="s">
        <v>77</v>
      </c>
      <c r="I8" s="3" t="s">
        <v>74</v>
      </c>
      <c r="J8" s="3" t="s">
        <v>75</v>
      </c>
      <c r="K8" s="9">
        <v>772.94</v>
      </c>
      <c r="L8" s="10">
        <v>2.7000000000000001E-3</v>
      </c>
      <c r="M8" s="11">
        <v>717605</v>
      </c>
      <c r="N8" s="10">
        <v>1.0889</v>
      </c>
      <c r="O8" s="10">
        <v>0.99</v>
      </c>
      <c r="P8" s="11">
        <v>28146</v>
      </c>
      <c r="Q8" s="11">
        <v>554</v>
      </c>
      <c r="R8" s="7">
        <f t="shared" si="0"/>
        <v>3.6020240749225101E-2</v>
      </c>
      <c r="S8" s="11">
        <v>781394</v>
      </c>
      <c r="T8" s="17">
        <v>2083</v>
      </c>
      <c r="U8" s="27">
        <f t="shared" si="2"/>
        <v>0.26657486492089777</v>
      </c>
      <c r="V8" t="str">
        <f t="shared" si="3"/>
        <v>High</v>
      </c>
      <c r="W8" s="61">
        <f>IF(Table2[[#This Row],[Swipe Ups]]=0,0,Table2[[#This Row],[Amount Spent]]/Table2[[#This Row],[Swipe Ups]])</f>
        <v>0.37107057129140664</v>
      </c>
      <c r="X8" t="s">
        <v>408</v>
      </c>
    </row>
    <row r="9" spans="1:24" x14ac:dyDescent="0.25">
      <c r="A9" s="59" t="s">
        <v>70</v>
      </c>
      <c r="B9" s="8" t="s">
        <v>362</v>
      </c>
      <c r="C9" s="3" t="str">
        <f t="shared" si="1"/>
        <v>Jeddah Target Group</v>
      </c>
      <c r="D9" s="3" t="s">
        <v>352</v>
      </c>
      <c r="E9" s="8" t="s">
        <v>386</v>
      </c>
      <c r="F9" s="3" t="s">
        <v>73</v>
      </c>
      <c r="G9" s="8" t="s">
        <v>42</v>
      </c>
      <c r="H9" s="3" t="s">
        <v>77</v>
      </c>
      <c r="I9" s="3" t="s">
        <v>74</v>
      </c>
      <c r="J9" s="3" t="s">
        <v>75</v>
      </c>
      <c r="K9" s="9">
        <v>788.49</v>
      </c>
      <c r="L9" s="10">
        <v>2.8999999999999998E-3</v>
      </c>
      <c r="M9" s="11">
        <v>758066</v>
      </c>
      <c r="N9" s="10">
        <v>1.0488</v>
      </c>
      <c r="O9" s="10">
        <v>0.99</v>
      </c>
      <c r="P9" s="11">
        <v>28784</v>
      </c>
      <c r="Q9" s="11">
        <v>1002</v>
      </c>
      <c r="R9" s="7">
        <f t="shared" si="0"/>
        <v>3.620287394270981E-2</v>
      </c>
      <c r="S9" s="11">
        <v>795075</v>
      </c>
      <c r="T9" s="17">
        <v>2269</v>
      </c>
      <c r="U9" s="27">
        <f t="shared" si="2"/>
        <v>0.28538188221236993</v>
      </c>
      <c r="V9" t="str">
        <f t="shared" si="3"/>
        <v>High</v>
      </c>
      <c r="W9" s="61">
        <f>IF(Table2[[#This Row],[Swipe Ups]]=0,0,Table2[[#This Row],[Amount Spent]]/Table2[[#This Row],[Swipe Ups]])</f>
        <v>0.34750550903481708</v>
      </c>
      <c r="X9" t="s">
        <v>408</v>
      </c>
    </row>
    <row r="10" spans="1:24" x14ac:dyDescent="0.25">
      <c r="A10" s="59" t="s">
        <v>70</v>
      </c>
      <c r="B10" s="8" t="s">
        <v>362</v>
      </c>
      <c r="C10" s="3" t="str">
        <f t="shared" si="1"/>
        <v>Jeddah Target Group</v>
      </c>
      <c r="D10" s="3" t="s">
        <v>353</v>
      </c>
      <c r="E10" s="8" t="s">
        <v>386</v>
      </c>
      <c r="F10" s="3" t="s">
        <v>73</v>
      </c>
      <c r="G10" s="8" t="s">
        <v>44</v>
      </c>
      <c r="H10" s="3" t="s">
        <v>77</v>
      </c>
      <c r="I10" s="3" t="s">
        <v>74</v>
      </c>
      <c r="J10" s="3" t="s">
        <v>75</v>
      </c>
      <c r="K10" s="9">
        <v>369.19</v>
      </c>
      <c r="L10" s="10">
        <v>4.3E-3</v>
      </c>
      <c r="M10" s="11">
        <v>117891</v>
      </c>
      <c r="N10" s="10">
        <v>1.6573</v>
      </c>
      <c r="O10" s="10">
        <v>1.89</v>
      </c>
      <c r="P10" s="11">
        <v>53681</v>
      </c>
      <c r="Q10" s="11">
        <v>953</v>
      </c>
      <c r="R10" s="7">
        <f t="shared" si="0"/>
        <v>0.27475317203998384</v>
      </c>
      <c r="S10" s="11">
        <v>195379</v>
      </c>
      <c r="T10" s="17">
        <v>846</v>
      </c>
      <c r="U10" s="27">
        <f t="shared" si="2"/>
        <v>0.43300457060380076</v>
      </c>
      <c r="V10" t="str">
        <f t="shared" si="3"/>
        <v>Low</v>
      </c>
      <c r="W10" s="61">
        <f>IF(Table2[[#This Row],[Swipe Ups]]=0,0,Table2[[#This Row],[Amount Spent]]/Table2[[#This Row],[Swipe Ups]])</f>
        <v>0.43639479905437351</v>
      </c>
      <c r="X10" t="s">
        <v>408</v>
      </c>
    </row>
    <row r="11" spans="1:24" x14ac:dyDescent="0.25">
      <c r="A11" s="59" t="s">
        <v>70</v>
      </c>
      <c r="B11" s="8" t="s">
        <v>362</v>
      </c>
      <c r="C11" s="3" t="str">
        <f t="shared" si="1"/>
        <v>Jeddah Target Group</v>
      </c>
      <c r="D11" s="3" t="s">
        <v>352</v>
      </c>
      <c r="E11" s="8" t="s">
        <v>385</v>
      </c>
      <c r="F11" s="3" t="s">
        <v>130</v>
      </c>
      <c r="G11" s="8" t="s">
        <v>43</v>
      </c>
      <c r="H11" s="3" t="s">
        <v>78</v>
      </c>
      <c r="I11" s="3" t="s">
        <v>74</v>
      </c>
      <c r="J11" s="3" t="s">
        <v>75</v>
      </c>
      <c r="K11" s="9">
        <v>132.74</v>
      </c>
      <c r="L11" s="10">
        <v>3.7000000000000002E-3</v>
      </c>
      <c r="M11" s="11">
        <v>106901</v>
      </c>
      <c r="N11" s="10">
        <v>1.1111</v>
      </c>
      <c r="O11" s="10">
        <v>1.1200000000000001</v>
      </c>
      <c r="P11" s="11">
        <v>4876</v>
      </c>
      <c r="Q11" s="11">
        <v>152</v>
      </c>
      <c r="R11" s="7">
        <f t="shared" si="0"/>
        <v>4.1052410018943379E-2</v>
      </c>
      <c r="S11" s="11">
        <v>118775</v>
      </c>
      <c r="T11" s="17">
        <v>437</v>
      </c>
      <c r="U11" s="27">
        <f t="shared" si="2"/>
        <v>0.36792254262260576</v>
      </c>
      <c r="V11" t="str">
        <f t="shared" si="3"/>
        <v>Low</v>
      </c>
      <c r="W11" s="61">
        <f>IF(Table2[[#This Row],[Swipe Ups]]=0,0,Table2[[#This Row],[Amount Spent]]/Table2[[#This Row],[Swipe Ups]])</f>
        <v>0.30375286041189936</v>
      </c>
      <c r="X11" t="s">
        <v>408</v>
      </c>
    </row>
    <row r="12" spans="1:24" x14ac:dyDescent="0.25">
      <c r="A12" s="59" t="s">
        <v>70</v>
      </c>
      <c r="B12" s="8" t="s">
        <v>362</v>
      </c>
      <c r="C12" s="3" t="str">
        <f t="shared" si="1"/>
        <v>Jeddah Target Group</v>
      </c>
      <c r="D12" s="3" t="s">
        <v>352</v>
      </c>
      <c r="E12" s="8" t="s">
        <v>386</v>
      </c>
      <c r="F12" s="3" t="s">
        <v>73</v>
      </c>
      <c r="G12" s="8" t="s">
        <v>43</v>
      </c>
      <c r="H12" s="3" t="s">
        <v>78</v>
      </c>
      <c r="I12" s="3" t="s">
        <v>74</v>
      </c>
      <c r="J12" s="3" t="s">
        <v>75</v>
      </c>
      <c r="K12" s="9">
        <v>709.33</v>
      </c>
      <c r="L12" s="10">
        <v>2.8E-3</v>
      </c>
      <c r="M12" s="11">
        <v>663383</v>
      </c>
      <c r="N12" s="10">
        <v>1.0871</v>
      </c>
      <c r="O12" s="10">
        <v>0.98</v>
      </c>
      <c r="P12" s="11">
        <v>22306</v>
      </c>
      <c r="Q12" s="11">
        <v>791</v>
      </c>
      <c r="R12" s="7">
        <f t="shared" si="0"/>
        <v>3.0930122272849549E-2</v>
      </c>
      <c r="S12" s="11">
        <v>721174</v>
      </c>
      <c r="T12" s="17">
        <v>2005</v>
      </c>
      <c r="U12" s="27">
        <f t="shared" si="2"/>
        <v>0.27801889696522614</v>
      </c>
      <c r="V12" t="str">
        <f t="shared" si="3"/>
        <v>High</v>
      </c>
      <c r="W12" s="61">
        <f>IF(Table2[[#This Row],[Swipe Ups]]=0,0,Table2[[#This Row],[Amount Spent]]/Table2[[#This Row],[Swipe Ups]])</f>
        <v>0.35378054862842895</v>
      </c>
      <c r="X12" t="s">
        <v>408</v>
      </c>
    </row>
    <row r="13" spans="1:24" x14ac:dyDescent="0.25">
      <c r="A13" s="59" t="s">
        <v>70</v>
      </c>
      <c r="B13" s="8" t="s">
        <v>362</v>
      </c>
      <c r="C13" s="3" t="str">
        <f t="shared" si="1"/>
        <v>Jeddah Target Group</v>
      </c>
      <c r="D13" s="3" t="s">
        <v>353</v>
      </c>
      <c r="E13" s="8" t="s">
        <v>384</v>
      </c>
      <c r="F13" s="3" t="s">
        <v>130</v>
      </c>
      <c r="G13" s="8" t="s">
        <v>45</v>
      </c>
      <c r="H13" s="3" t="s">
        <v>78</v>
      </c>
      <c r="I13" s="3" t="s">
        <v>74</v>
      </c>
      <c r="J13" s="3" t="s">
        <v>75</v>
      </c>
      <c r="K13" s="9">
        <v>52.9</v>
      </c>
      <c r="L13" s="10">
        <v>5.7999999999999996E-3</v>
      </c>
      <c r="M13" s="11">
        <v>12747</v>
      </c>
      <c r="N13" s="10">
        <v>1.7178</v>
      </c>
      <c r="O13" s="10">
        <v>2.42</v>
      </c>
      <c r="P13" s="11">
        <v>9049</v>
      </c>
      <c r="Q13" s="11">
        <v>104</v>
      </c>
      <c r="R13" s="7">
        <f t="shared" si="0"/>
        <v>0.41325295702607662</v>
      </c>
      <c r="S13" s="11">
        <v>21897</v>
      </c>
      <c r="T13" s="17">
        <v>126</v>
      </c>
      <c r="U13" s="27">
        <f t="shared" si="2"/>
        <v>0.57542129058775182</v>
      </c>
      <c r="V13" t="str">
        <f t="shared" si="3"/>
        <v>Low</v>
      </c>
      <c r="W13" s="61">
        <f>IF(Table2[[#This Row],[Swipe Ups]]=0,0,Table2[[#This Row],[Amount Spent]]/Table2[[#This Row],[Swipe Ups]])</f>
        <v>0.41984126984126985</v>
      </c>
      <c r="X13" t="s">
        <v>408</v>
      </c>
    </row>
    <row r="14" spans="1:24" x14ac:dyDescent="0.25">
      <c r="A14" s="59" t="s">
        <v>70</v>
      </c>
      <c r="B14" s="8" t="s">
        <v>362</v>
      </c>
      <c r="C14" s="3" t="str">
        <f t="shared" si="1"/>
        <v>Jeddah Target Group</v>
      </c>
      <c r="D14" s="3" t="s">
        <v>352</v>
      </c>
      <c r="E14" s="8" t="s">
        <v>385</v>
      </c>
      <c r="F14" s="3" t="s">
        <v>130</v>
      </c>
      <c r="G14" s="8" t="s">
        <v>44</v>
      </c>
      <c r="H14" s="3" t="s">
        <v>77</v>
      </c>
      <c r="I14" s="3" t="s">
        <v>74</v>
      </c>
      <c r="J14" s="3" t="s">
        <v>75</v>
      </c>
      <c r="K14" s="9">
        <v>133.44</v>
      </c>
      <c r="L14" s="10">
        <v>3.8E-3</v>
      </c>
      <c r="M14" s="11">
        <v>104998</v>
      </c>
      <c r="N14" s="10">
        <v>1.1364000000000001</v>
      </c>
      <c r="O14" s="10">
        <v>1.1200000000000001</v>
      </c>
      <c r="P14" s="11">
        <v>5920</v>
      </c>
      <c r="Q14" s="11">
        <v>123</v>
      </c>
      <c r="R14" s="7">
        <f t="shared" si="0"/>
        <v>4.961406625824457E-2</v>
      </c>
      <c r="S14" s="11">
        <v>119321</v>
      </c>
      <c r="T14" s="17">
        <v>453</v>
      </c>
      <c r="U14" s="27">
        <f t="shared" si="2"/>
        <v>0.37964817592879713</v>
      </c>
      <c r="V14" t="str">
        <f t="shared" si="3"/>
        <v>Low</v>
      </c>
      <c r="W14" s="61">
        <f>IF(Table2[[#This Row],[Swipe Ups]]=0,0,Table2[[#This Row],[Amount Spent]]/Table2[[#This Row],[Swipe Ups]])</f>
        <v>0.29456953642384104</v>
      </c>
      <c r="X14" t="s">
        <v>408</v>
      </c>
    </row>
    <row r="15" spans="1:24" x14ac:dyDescent="0.25">
      <c r="A15" s="59" t="s">
        <v>70</v>
      </c>
      <c r="B15" s="8" t="s">
        <v>362</v>
      </c>
      <c r="C15" s="3" t="str">
        <f t="shared" si="1"/>
        <v>Jeddah Target Group</v>
      </c>
      <c r="D15" s="3" t="s">
        <v>353</v>
      </c>
      <c r="E15" s="8" t="s">
        <v>386</v>
      </c>
      <c r="F15" s="3" t="s">
        <v>73</v>
      </c>
      <c r="G15" s="8" t="s">
        <v>42</v>
      </c>
      <c r="H15" s="3" t="s">
        <v>77</v>
      </c>
      <c r="I15" s="3" t="s">
        <v>74</v>
      </c>
      <c r="J15" s="3" t="s">
        <v>75</v>
      </c>
      <c r="K15" s="9">
        <v>1365.04</v>
      </c>
      <c r="L15" s="10">
        <v>3.5000000000000001E-3</v>
      </c>
      <c r="M15" s="11">
        <v>413254</v>
      </c>
      <c r="N15" s="10">
        <v>1.9308000000000001</v>
      </c>
      <c r="O15" s="10">
        <v>1.71</v>
      </c>
      <c r="P15" s="11">
        <v>228554</v>
      </c>
      <c r="Q15" s="11">
        <v>7133</v>
      </c>
      <c r="R15" s="7">
        <f t="shared" si="0"/>
        <v>0.28644585259231781</v>
      </c>
      <c r="S15" s="11">
        <v>797896</v>
      </c>
      <c r="T15" s="17">
        <v>2829</v>
      </c>
      <c r="U15" s="27">
        <f t="shared" si="2"/>
        <v>0.35455748618867622</v>
      </c>
      <c r="V15" t="str">
        <f t="shared" si="3"/>
        <v>High</v>
      </c>
      <c r="W15" s="61">
        <f>IF(Table2[[#This Row],[Swipe Ups]]=0,0,Table2[[#This Row],[Amount Spent]]/Table2[[#This Row],[Swipe Ups]])</f>
        <v>0.48251679038529516</v>
      </c>
      <c r="X15" t="s">
        <v>408</v>
      </c>
    </row>
    <row r="16" spans="1:24" x14ac:dyDescent="0.25">
      <c r="A16" s="59" t="s">
        <v>70</v>
      </c>
      <c r="B16" s="8" t="s">
        <v>362</v>
      </c>
      <c r="C16" s="3" t="str">
        <f t="shared" si="1"/>
        <v>Jeddah Target Group</v>
      </c>
      <c r="D16" s="3" t="s">
        <v>352</v>
      </c>
      <c r="E16" s="8" t="s">
        <v>386</v>
      </c>
      <c r="F16" s="3" t="s">
        <v>73</v>
      </c>
      <c r="G16" s="8" t="s">
        <v>45</v>
      </c>
      <c r="H16" s="3" t="s">
        <v>78</v>
      </c>
      <c r="I16" s="3" t="s">
        <v>74</v>
      </c>
      <c r="J16" s="3" t="s">
        <v>75</v>
      </c>
      <c r="K16" s="9">
        <v>788.9</v>
      </c>
      <c r="L16" s="10">
        <v>2.8E-3</v>
      </c>
      <c r="M16" s="11">
        <v>731982</v>
      </c>
      <c r="N16" s="10">
        <v>1.0883</v>
      </c>
      <c r="O16" s="10">
        <v>0.99</v>
      </c>
      <c r="P16" s="11">
        <v>25013</v>
      </c>
      <c r="Q16" s="11">
        <v>495</v>
      </c>
      <c r="R16" s="7">
        <f t="shared" si="0"/>
        <v>3.1398831566288657E-2</v>
      </c>
      <c r="S16" s="11">
        <v>796622</v>
      </c>
      <c r="T16" s="17">
        <v>2207</v>
      </c>
      <c r="U16" s="27">
        <f t="shared" si="2"/>
        <v>0.2770448217598811</v>
      </c>
      <c r="V16" t="str">
        <f t="shared" si="3"/>
        <v>High</v>
      </c>
      <c r="W16" s="61">
        <f>IF(Table2[[#This Row],[Swipe Ups]]=0,0,Table2[[#This Row],[Amount Spent]]/Table2[[#This Row],[Swipe Ups]])</f>
        <v>0.35745355686452196</v>
      </c>
      <c r="X16" t="s">
        <v>408</v>
      </c>
    </row>
    <row r="17" spans="1:24" x14ac:dyDescent="0.25">
      <c r="A17" s="59" t="s">
        <v>70</v>
      </c>
      <c r="B17" s="8" t="s">
        <v>362</v>
      </c>
      <c r="C17" s="3" t="str">
        <f t="shared" si="1"/>
        <v>Jeddah Target Group</v>
      </c>
      <c r="D17" s="3" t="s">
        <v>353</v>
      </c>
      <c r="E17" s="8" t="s">
        <v>386</v>
      </c>
      <c r="F17" s="3" t="s">
        <v>73</v>
      </c>
      <c r="G17" s="8" t="s">
        <v>45</v>
      </c>
      <c r="H17" s="3" t="s">
        <v>78</v>
      </c>
      <c r="I17" s="3" t="s">
        <v>74</v>
      </c>
      <c r="J17" s="3" t="s">
        <v>75</v>
      </c>
      <c r="K17" s="9">
        <v>181.9</v>
      </c>
      <c r="L17" s="10">
        <v>4.1000000000000003E-3</v>
      </c>
      <c r="M17" s="11">
        <v>59957</v>
      </c>
      <c r="N17" s="10">
        <v>1.7837000000000001</v>
      </c>
      <c r="O17" s="10">
        <v>1.7</v>
      </c>
      <c r="P17" s="11">
        <v>30826</v>
      </c>
      <c r="Q17" s="11">
        <v>592</v>
      </c>
      <c r="R17" s="7">
        <f t="shared" si="0"/>
        <v>0.28823892431694498</v>
      </c>
      <c r="S17" s="11">
        <v>106946</v>
      </c>
      <c r="T17" s="17">
        <v>436</v>
      </c>
      <c r="U17" s="27">
        <f t="shared" si="2"/>
        <v>0.40768238176275873</v>
      </c>
      <c r="V17" t="str">
        <f t="shared" si="3"/>
        <v>Low</v>
      </c>
      <c r="W17" s="61">
        <f>IF(Table2[[#This Row],[Swipe Ups]]=0,0,Table2[[#This Row],[Amount Spent]]/Table2[[#This Row],[Swipe Ups]])</f>
        <v>0.41720183486238532</v>
      </c>
      <c r="X17" t="s">
        <v>408</v>
      </c>
    </row>
    <row r="18" spans="1:24" x14ac:dyDescent="0.25">
      <c r="A18" s="59" t="s">
        <v>69</v>
      </c>
      <c r="B18" s="8" t="s">
        <v>358</v>
      </c>
      <c r="C18" s="3" t="str">
        <f t="shared" si="1"/>
        <v>Kuwait Target Group</v>
      </c>
      <c r="D18" s="3" t="s">
        <v>352</v>
      </c>
      <c r="E18" s="8" t="s">
        <v>387</v>
      </c>
      <c r="F18" s="3" t="s">
        <v>73</v>
      </c>
      <c r="G18" s="8" t="s">
        <v>131</v>
      </c>
      <c r="H18" s="3" t="s">
        <v>77</v>
      </c>
      <c r="I18" s="3" t="s">
        <v>74</v>
      </c>
      <c r="J18" s="3" t="s">
        <v>75</v>
      </c>
      <c r="K18" s="9">
        <v>574.09</v>
      </c>
      <c r="L18" s="10">
        <v>4.4999999999999997E-3</v>
      </c>
      <c r="M18" s="11">
        <v>340284</v>
      </c>
      <c r="N18" s="10">
        <v>1.1143000000000001</v>
      </c>
      <c r="O18" s="10">
        <v>1.51</v>
      </c>
      <c r="P18" s="11">
        <v>17485</v>
      </c>
      <c r="Q18" s="11">
        <v>391</v>
      </c>
      <c r="R18" s="7">
        <f t="shared" si="0"/>
        <v>4.6114731658943517E-2</v>
      </c>
      <c r="S18" s="11">
        <v>379163</v>
      </c>
      <c r="T18" s="17">
        <v>1692</v>
      </c>
      <c r="U18" s="27">
        <f t="shared" si="2"/>
        <v>0.4462460735884039</v>
      </c>
      <c r="V18" t="str">
        <f t="shared" si="3"/>
        <v>High</v>
      </c>
      <c r="W18" s="61">
        <f>IF(Table2[[#This Row],[Swipe Ups]]=0,0,Table2[[#This Row],[Amount Spent]]/Table2[[#This Row],[Swipe Ups]])</f>
        <v>0.33929669030732862</v>
      </c>
      <c r="X18" t="s">
        <v>408</v>
      </c>
    </row>
    <row r="19" spans="1:24" x14ac:dyDescent="0.25">
      <c r="A19" s="59" t="s">
        <v>69</v>
      </c>
      <c r="B19" s="8" t="s">
        <v>358</v>
      </c>
      <c r="C19" s="3" t="str">
        <f t="shared" si="1"/>
        <v>Kuwait Target Group</v>
      </c>
      <c r="D19" s="3" t="s">
        <v>353</v>
      </c>
      <c r="E19" s="8" t="s">
        <v>387</v>
      </c>
      <c r="F19" s="3" t="s">
        <v>73</v>
      </c>
      <c r="G19" s="8" t="s">
        <v>131</v>
      </c>
      <c r="H19" s="3" t="s">
        <v>77</v>
      </c>
      <c r="I19" s="3" t="s">
        <v>74</v>
      </c>
      <c r="J19" s="3" t="s">
        <v>75</v>
      </c>
      <c r="K19" s="9">
        <v>780.32</v>
      </c>
      <c r="L19" s="10">
        <v>3.5999999999999999E-3</v>
      </c>
      <c r="M19" s="11">
        <v>139795</v>
      </c>
      <c r="N19" s="10">
        <v>2.9058000000000002</v>
      </c>
      <c r="O19" s="10">
        <v>1.92</v>
      </c>
      <c r="P19" s="11">
        <v>89822</v>
      </c>
      <c r="Q19" s="11">
        <v>3592</v>
      </c>
      <c r="R19" s="7">
        <f t="shared" si="0"/>
        <v>0.221122079712464</v>
      </c>
      <c r="S19" s="11">
        <v>406210</v>
      </c>
      <c r="T19" s="17">
        <v>1462</v>
      </c>
      <c r="U19" s="27">
        <f t="shared" si="2"/>
        <v>0.35991236060165926</v>
      </c>
      <c r="V19" t="str">
        <f t="shared" si="3"/>
        <v>High</v>
      </c>
      <c r="W19" s="61">
        <f>IF(Table2[[#This Row],[Swipe Ups]]=0,0,Table2[[#This Row],[Amount Spent]]/Table2[[#This Row],[Swipe Ups]])</f>
        <v>0.53373461012311907</v>
      </c>
      <c r="X19" t="s">
        <v>408</v>
      </c>
    </row>
    <row r="20" spans="1:24" x14ac:dyDescent="0.25">
      <c r="A20" s="59" t="s">
        <v>69</v>
      </c>
      <c r="B20" s="8" t="s">
        <v>358</v>
      </c>
      <c r="C20" s="3" t="str">
        <f t="shared" si="1"/>
        <v>Kuwait Target Group</v>
      </c>
      <c r="D20" s="3" t="s">
        <v>352</v>
      </c>
      <c r="E20" s="8" t="s">
        <v>387</v>
      </c>
      <c r="F20" s="3" t="s">
        <v>73</v>
      </c>
      <c r="G20" s="8" t="s">
        <v>132</v>
      </c>
      <c r="H20" s="3" t="s">
        <v>78</v>
      </c>
      <c r="I20" s="3" t="s">
        <v>74</v>
      </c>
      <c r="J20" s="3" t="s">
        <v>75</v>
      </c>
      <c r="K20" s="9">
        <v>629.26</v>
      </c>
      <c r="L20" s="10">
        <v>4.4999999999999997E-3</v>
      </c>
      <c r="M20" s="11">
        <v>363534</v>
      </c>
      <c r="N20" s="10">
        <v>1.1234</v>
      </c>
      <c r="O20" s="10">
        <v>1.54</v>
      </c>
      <c r="P20" s="11">
        <v>17642</v>
      </c>
      <c r="Q20" s="11">
        <v>660</v>
      </c>
      <c r="R20" s="7">
        <f t="shared" si="0"/>
        <v>4.3197951023386444E-2</v>
      </c>
      <c r="S20" s="11">
        <v>408399</v>
      </c>
      <c r="T20" s="17">
        <v>1820</v>
      </c>
      <c r="U20" s="27">
        <f t="shared" si="2"/>
        <v>0.44564261910533576</v>
      </c>
      <c r="V20" t="str">
        <f t="shared" si="3"/>
        <v>High</v>
      </c>
      <c r="W20" s="61">
        <f>IF(Table2[[#This Row],[Swipe Ups]]=0,0,Table2[[#This Row],[Amount Spent]]/Table2[[#This Row],[Swipe Ups]])</f>
        <v>0.34574725274725276</v>
      </c>
      <c r="X20" t="s">
        <v>408</v>
      </c>
    </row>
    <row r="21" spans="1:24" x14ac:dyDescent="0.25">
      <c r="A21" s="59" t="s">
        <v>69</v>
      </c>
      <c r="B21" s="8" t="s">
        <v>358</v>
      </c>
      <c r="C21" s="3" t="str">
        <f t="shared" si="1"/>
        <v>Kuwait Target Group</v>
      </c>
      <c r="D21" s="3" t="s">
        <v>353</v>
      </c>
      <c r="E21" s="8" t="s">
        <v>387</v>
      </c>
      <c r="F21" s="3" t="s">
        <v>73</v>
      </c>
      <c r="G21" s="8" t="s">
        <v>133</v>
      </c>
      <c r="H21" s="3" t="s">
        <v>77</v>
      </c>
      <c r="I21" s="3" t="s">
        <v>74</v>
      </c>
      <c r="J21" s="3" t="s">
        <v>75</v>
      </c>
      <c r="K21" s="9">
        <v>144.6</v>
      </c>
      <c r="L21" s="10">
        <v>3.3E-3</v>
      </c>
      <c r="M21" s="11">
        <v>36242</v>
      </c>
      <c r="N21" s="10">
        <v>1.8541000000000001</v>
      </c>
      <c r="O21" s="10">
        <v>2.15</v>
      </c>
      <c r="P21" s="11">
        <v>17386</v>
      </c>
      <c r="Q21" s="11">
        <v>976</v>
      </c>
      <c r="R21" s="7">
        <f t="shared" si="0"/>
        <v>0.25872793833149799</v>
      </c>
      <c r="S21" s="11">
        <v>67198</v>
      </c>
      <c r="T21" s="17">
        <v>219</v>
      </c>
      <c r="U21" s="27">
        <f t="shared" si="2"/>
        <v>0.32590255662370904</v>
      </c>
      <c r="V21" t="str">
        <f t="shared" si="3"/>
        <v>Low</v>
      </c>
      <c r="W21" s="61">
        <f>IF(Table2[[#This Row],[Swipe Ups]]=0,0,Table2[[#This Row],[Amount Spent]]/Table2[[#This Row],[Swipe Ups]])</f>
        <v>0.66027397260273968</v>
      </c>
      <c r="X21" t="s">
        <v>408</v>
      </c>
    </row>
    <row r="22" spans="1:24" x14ac:dyDescent="0.25">
      <c r="A22" s="59" t="s">
        <v>69</v>
      </c>
      <c r="B22" s="8" t="s">
        <v>358</v>
      </c>
      <c r="C22" s="3" t="str">
        <f t="shared" si="1"/>
        <v>Kuwait Target Group</v>
      </c>
      <c r="D22" s="3" t="s">
        <v>352</v>
      </c>
      <c r="E22" s="8" t="s">
        <v>387</v>
      </c>
      <c r="F22" s="3" t="s">
        <v>73</v>
      </c>
      <c r="G22" s="8" t="s">
        <v>134</v>
      </c>
      <c r="H22" s="3" t="s">
        <v>78</v>
      </c>
      <c r="I22" s="3" t="s">
        <v>74</v>
      </c>
      <c r="J22" s="3" t="s">
        <v>75</v>
      </c>
      <c r="K22" s="9">
        <v>477.23</v>
      </c>
      <c r="L22" s="10">
        <v>4.3E-3</v>
      </c>
      <c r="M22" s="11">
        <v>288595</v>
      </c>
      <c r="N22" s="10">
        <v>1.0956999999999999</v>
      </c>
      <c r="O22" s="10">
        <v>1.51</v>
      </c>
      <c r="P22" s="11">
        <v>12955</v>
      </c>
      <c r="Q22" s="11">
        <v>237</v>
      </c>
      <c r="R22" s="7">
        <f t="shared" si="0"/>
        <v>4.0968313199671112E-2</v>
      </c>
      <c r="S22" s="11">
        <v>316220</v>
      </c>
      <c r="T22" s="17">
        <v>1360</v>
      </c>
      <c r="U22" s="27">
        <f t="shared" si="2"/>
        <v>0.43008032382518502</v>
      </c>
      <c r="V22" t="str">
        <f t="shared" si="3"/>
        <v>High</v>
      </c>
      <c r="W22" s="61">
        <f>IF(Table2[[#This Row],[Swipe Ups]]=0,0,Table2[[#This Row],[Amount Spent]]/Table2[[#This Row],[Swipe Ups]])</f>
        <v>0.35090441176470588</v>
      </c>
      <c r="X22" t="s">
        <v>408</v>
      </c>
    </row>
    <row r="23" spans="1:24" x14ac:dyDescent="0.25">
      <c r="A23" s="59" t="s">
        <v>69</v>
      </c>
      <c r="B23" s="8" t="s">
        <v>358</v>
      </c>
      <c r="C23" s="3" t="str">
        <f t="shared" si="1"/>
        <v>Kuwait Target Group</v>
      </c>
      <c r="D23" s="3" t="s">
        <v>352</v>
      </c>
      <c r="E23" s="8" t="s">
        <v>387</v>
      </c>
      <c r="F23" s="3" t="s">
        <v>73</v>
      </c>
      <c r="G23" s="8" t="s">
        <v>133</v>
      </c>
      <c r="H23" s="3" t="s">
        <v>77</v>
      </c>
      <c r="I23" s="3" t="s">
        <v>74</v>
      </c>
      <c r="J23" s="3" t="s">
        <v>75</v>
      </c>
      <c r="K23" s="9">
        <v>583.54</v>
      </c>
      <c r="L23" s="10">
        <v>4.7000000000000002E-3</v>
      </c>
      <c r="M23" s="11">
        <v>335734</v>
      </c>
      <c r="N23" s="10">
        <v>1.1295999999999999</v>
      </c>
      <c r="O23" s="10">
        <v>1.54</v>
      </c>
      <c r="P23" s="11">
        <v>17892</v>
      </c>
      <c r="Q23" s="11">
        <v>707</v>
      </c>
      <c r="R23" s="7">
        <f t="shared" si="0"/>
        <v>4.717595534473621E-2</v>
      </c>
      <c r="S23" s="11">
        <v>379261</v>
      </c>
      <c r="T23" s="17">
        <v>1767</v>
      </c>
      <c r="U23" s="27">
        <f t="shared" si="2"/>
        <v>0.4659060646889609</v>
      </c>
      <c r="V23" t="str">
        <f t="shared" si="3"/>
        <v>High</v>
      </c>
      <c r="W23" s="61">
        <f>IF(Table2[[#This Row],[Swipe Ups]]=0,0,Table2[[#This Row],[Amount Spent]]/Table2[[#This Row],[Swipe Ups]])</f>
        <v>0.33024335031126201</v>
      </c>
      <c r="X23" t="s">
        <v>408</v>
      </c>
    </row>
    <row r="24" spans="1:24" x14ac:dyDescent="0.25">
      <c r="A24" s="59" t="s">
        <v>69</v>
      </c>
      <c r="B24" s="8" t="s">
        <v>358</v>
      </c>
      <c r="C24" s="3" t="str">
        <f t="shared" si="1"/>
        <v>Kuwait Target Group</v>
      </c>
      <c r="D24" s="3" t="s">
        <v>352</v>
      </c>
      <c r="E24" s="8" t="s">
        <v>387</v>
      </c>
      <c r="F24" s="3" t="s">
        <v>73</v>
      </c>
      <c r="G24" s="8" t="s">
        <v>135</v>
      </c>
      <c r="H24" s="3" t="s">
        <v>77</v>
      </c>
      <c r="I24" s="3" t="s">
        <v>74</v>
      </c>
      <c r="J24" s="3" t="s">
        <v>75</v>
      </c>
      <c r="K24" s="9">
        <v>3.22</v>
      </c>
      <c r="L24" s="10">
        <v>0</v>
      </c>
      <c r="M24" s="11">
        <v>6681</v>
      </c>
      <c r="N24" s="10">
        <v>1.0091000000000001</v>
      </c>
      <c r="O24" s="10">
        <v>0.48</v>
      </c>
      <c r="P24" s="11">
        <v>109</v>
      </c>
      <c r="Q24" s="11">
        <v>9</v>
      </c>
      <c r="R24" s="7">
        <f t="shared" si="0"/>
        <v>1.6167309403737763E-2</v>
      </c>
      <c r="S24" s="11">
        <v>6742</v>
      </c>
      <c r="T24" s="17">
        <v>0</v>
      </c>
      <c r="U24" s="27">
        <f t="shared" si="2"/>
        <v>0</v>
      </c>
      <c r="V24" t="str">
        <f t="shared" si="3"/>
        <v>Low</v>
      </c>
      <c r="W24" s="61">
        <f>IF(Table2[[#This Row],[Swipe Ups]]=0,0,Table2[[#This Row],[Amount Spent]]/Table2[[#This Row],[Swipe Ups]])</f>
        <v>0</v>
      </c>
      <c r="X24" t="s">
        <v>408</v>
      </c>
    </row>
    <row r="25" spans="1:24" x14ac:dyDescent="0.25">
      <c r="A25" s="59" t="s">
        <v>69</v>
      </c>
      <c r="B25" s="8" t="s">
        <v>358</v>
      </c>
      <c r="C25" s="3" t="str">
        <f t="shared" si="1"/>
        <v>Kuwait Target Group</v>
      </c>
      <c r="D25" s="3" t="s">
        <v>353</v>
      </c>
      <c r="E25" s="8" t="s">
        <v>387</v>
      </c>
      <c r="F25" s="3" t="s">
        <v>73</v>
      </c>
      <c r="G25" s="8" t="s">
        <v>132</v>
      </c>
      <c r="H25" s="3" t="s">
        <v>78</v>
      </c>
      <c r="I25" s="3" t="s">
        <v>74</v>
      </c>
      <c r="J25" s="3" t="s">
        <v>75</v>
      </c>
      <c r="K25" s="9">
        <v>252.25</v>
      </c>
      <c r="L25" s="10">
        <v>3.5999999999999999E-3</v>
      </c>
      <c r="M25" s="11">
        <v>54536</v>
      </c>
      <c r="N25" s="10">
        <v>2.2343999999999999</v>
      </c>
      <c r="O25" s="10">
        <v>2.0699999999999998</v>
      </c>
      <c r="P25" s="11">
        <v>30086</v>
      </c>
      <c r="Q25" s="11">
        <v>1616</v>
      </c>
      <c r="R25" s="7">
        <f t="shared" si="0"/>
        <v>0.24690203029855401</v>
      </c>
      <c r="S25" s="11">
        <v>121854</v>
      </c>
      <c r="T25" s="17">
        <v>443</v>
      </c>
      <c r="U25" s="27">
        <f t="shared" si="2"/>
        <v>0.36354982191803303</v>
      </c>
      <c r="V25" t="str">
        <f t="shared" si="3"/>
        <v>Low</v>
      </c>
      <c r="W25" s="61">
        <f>IF(Table2[[#This Row],[Swipe Ups]]=0,0,Table2[[#This Row],[Amount Spent]]/Table2[[#This Row],[Swipe Ups]])</f>
        <v>0.56941309255079009</v>
      </c>
      <c r="X25" t="s">
        <v>408</v>
      </c>
    </row>
    <row r="26" spans="1:24" x14ac:dyDescent="0.25">
      <c r="A26" s="59" t="s">
        <v>69</v>
      </c>
      <c r="B26" s="8" t="s">
        <v>358</v>
      </c>
      <c r="C26" s="3" t="str">
        <f t="shared" si="1"/>
        <v>Kuwait Target Group</v>
      </c>
      <c r="D26" s="3" t="s">
        <v>353</v>
      </c>
      <c r="E26" s="8" t="s">
        <v>387</v>
      </c>
      <c r="F26" s="3" t="s">
        <v>73</v>
      </c>
      <c r="G26" s="8" t="s">
        <v>134</v>
      </c>
      <c r="H26" s="3" t="s">
        <v>78</v>
      </c>
      <c r="I26" s="3" t="s">
        <v>74</v>
      </c>
      <c r="J26" s="3" t="s">
        <v>75</v>
      </c>
      <c r="K26" s="9">
        <v>295.93</v>
      </c>
      <c r="L26" s="10">
        <v>3.3E-3</v>
      </c>
      <c r="M26" s="11">
        <v>72115</v>
      </c>
      <c r="N26" s="10">
        <v>2.1017000000000001</v>
      </c>
      <c r="O26" s="10">
        <v>1.95</v>
      </c>
      <c r="P26" s="11">
        <v>35408</v>
      </c>
      <c r="Q26" s="11">
        <v>1302</v>
      </c>
      <c r="R26" s="7">
        <f t="shared" si="0"/>
        <v>0.23361439900769301</v>
      </c>
      <c r="S26" s="11">
        <v>151566</v>
      </c>
      <c r="T26" s="17">
        <v>507</v>
      </c>
      <c r="U26" s="27">
        <f t="shared" si="2"/>
        <v>0.33450773920272353</v>
      </c>
      <c r="V26" t="str">
        <f t="shared" si="3"/>
        <v>Low</v>
      </c>
      <c r="W26" s="61">
        <f>IF(Table2[[#This Row],[Swipe Ups]]=0,0,Table2[[#This Row],[Amount Spent]]/Table2[[#This Row],[Swipe Ups]])</f>
        <v>0.58368836291913218</v>
      </c>
      <c r="X26" t="s">
        <v>408</v>
      </c>
    </row>
    <row r="27" spans="1:24" x14ac:dyDescent="0.25">
      <c r="A27" s="59" t="s">
        <v>67</v>
      </c>
      <c r="B27" s="8" t="s">
        <v>363</v>
      </c>
      <c r="C27" s="3" t="str">
        <f t="shared" si="1"/>
        <v>Qatar Target Group</v>
      </c>
      <c r="D27" s="3" t="s">
        <v>352</v>
      </c>
      <c r="E27" s="8" t="s">
        <v>388</v>
      </c>
      <c r="F27" s="3" t="s">
        <v>73</v>
      </c>
      <c r="G27" s="3" t="s">
        <v>136</v>
      </c>
      <c r="H27" s="3" t="s">
        <v>77</v>
      </c>
      <c r="I27" s="3" t="s">
        <v>74</v>
      </c>
      <c r="J27" s="3" t="s">
        <v>75</v>
      </c>
      <c r="K27" s="4">
        <v>197.51</v>
      </c>
      <c r="L27" s="5">
        <v>3.3E-3</v>
      </c>
      <c r="M27" s="6">
        <v>95027</v>
      </c>
      <c r="N27" s="5">
        <v>1.1420999999999999</v>
      </c>
      <c r="O27" s="5">
        <v>1.82</v>
      </c>
      <c r="P27" s="6">
        <v>5438</v>
      </c>
      <c r="Q27" s="6">
        <v>254</v>
      </c>
      <c r="R27" s="7">
        <f t="shared" si="0"/>
        <v>5.0104114839589438E-2</v>
      </c>
      <c r="S27" s="6">
        <v>108534</v>
      </c>
      <c r="T27" s="17">
        <v>363</v>
      </c>
      <c r="U27" s="27">
        <f t="shared" si="2"/>
        <v>0.33445740505279448</v>
      </c>
      <c r="V27" t="str">
        <f t="shared" si="3"/>
        <v>Low</v>
      </c>
      <c r="W27" s="61">
        <f>IF(Table2[[#This Row],[Swipe Ups]]=0,0,Table2[[#This Row],[Amount Spent]]/Table2[[#This Row],[Swipe Ups]])</f>
        <v>0.54410468319559224</v>
      </c>
      <c r="X27" t="s">
        <v>408</v>
      </c>
    </row>
    <row r="28" spans="1:24" x14ac:dyDescent="0.25">
      <c r="A28" s="59" t="s">
        <v>67</v>
      </c>
      <c r="B28" s="8" t="s">
        <v>363</v>
      </c>
      <c r="C28" s="3" t="str">
        <f t="shared" si="1"/>
        <v>Qatar Target Group</v>
      </c>
      <c r="D28" s="3" t="s">
        <v>352</v>
      </c>
      <c r="E28" s="8" t="s">
        <v>388</v>
      </c>
      <c r="F28" s="3" t="s">
        <v>73</v>
      </c>
      <c r="G28" s="3" t="s">
        <v>137</v>
      </c>
      <c r="H28" s="3" t="s">
        <v>78</v>
      </c>
      <c r="I28" s="3" t="s">
        <v>74</v>
      </c>
      <c r="J28" s="3" t="s">
        <v>75</v>
      </c>
      <c r="K28" s="4">
        <v>206.13</v>
      </c>
      <c r="L28" s="5">
        <v>3.5999999999999999E-3</v>
      </c>
      <c r="M28" s="6">
        <v>94142</v>
      </c>
      <c r="N28" s="5">
        <v>1.1315999999999999</v>
      </c>
      <c r="O28" s="5">
        <v>1.93</v>
      </c>
      <c r="P28" s="6">
        <v>4955</v>
      </c>
      <c r="Q28" s="6">
        <v>253</v>
      </c>
      <c r="R28" s="7">
        <f t="shared" si="0"/>
        <v>4.6512719421759129E-2</v>
      </c>
      <c r="S28" s="6">
        <v>106530</v>
      </c>
      <c r="T28" s="17">
        <v>385</v>
      </c>
      <c r="U28" s="27">
        <f t="shared" si="2"/>
        <v>0.36140054444757347</v>
      </c>
      <c r="V28" t="str">
        <f t="shared" si="3"/>
        <v>Low</v>
      </c>
      <c r="W28" s="61">
        <f>IF(Table2[[#This Row],[Swipe Ups]]=0,0,Table2[[#This Row],[Amount Spent]]/Table2[[#This Row],[Swipe Ups]])</f>
        <v>0.53540259740259744</v>
      </c>
      <c r="X28" t="s">
        <v>408</v>
      </c>
    </row>
    <row r="29" spans="1:24" x14ac:dyDescent="0.25">
      <c r="A29" s="59" t="s">
        <v>67</v>
      </c>
      <c r="B29" s="8" t="s">
        <v>363</v>
      </c>
      <c r="C29" s="3" t="str">
        <f t="shared" si="1"/>
        <v>Qatar Target Group</v>
      </c>
      <c r="D29" s="3" t="s">
        <v>353</v>
      </c>
      <c r="E29" s="8" t="s">
        <v>388</v>
      </c>
      <c r="F29" s="3" t="s">
        <v>73</v>
      </c>
      <c r="G29" s="3" t="s">
        <v>138</v>
      </c>
      <c r="H29" s="3" t="s">
        <v>78</v>
      </c>
      <c r="I29" s="3" t="s">
        <v>74</v>
      </c>
      <c r="J29" s="3" t="s">
        <v>75</v>
      </c>
      <c r="K29" s="4">
        <v>67.92</v>
      </c>
      <c r="L29" s="5">
        <v>2.8E-3</v>
      </c>
      <c r="M29" s="6">
        <v>13776</v>
      </c>
      <c r="N29" s="5">
        <v>2.1637</v>
      </c>
      <c r="O29" s="5">
        <v>2.2799999999999998</v>
      </c>
      <c r="P29" s="6">
        <v>7794</v>
      </c>
      <c r="Q29" s="6">
        <v>334</v>
      </c>
      <c r="R29" s="7">
        <f t="shared" si="0"/>
        <v>0.26148220216727613</v>
      </c>
      <c r="S29" s="6">
        <v>29807</v>
      </c>
      <c r="T29" s="17">
        <v>84</v>
      </c>
      <c r="U29" s="27">
        <f t="shared" si="2"/>
        <v>0.28181299694702588</v>
      </c>
      <c r="V29" t="str">
        <f t="shared" si="3"/>
        <v>Low</v>
      </c>
      <c r="W29" s="61">
        <f>IF(Table2[[#This Row],[Swipe Ups]]=0,0,Table2[[#This Row],[Amount Spent]]/Table2[[#This Row],[Swipe Ups]])</f>
        <v>0.80857142857142861</v>
      </c>
      <c r="X29" t="s">
        <v>408</v>
      </c>
    </row>
    <row r="30" spans="1:24" x14ac:dyDescent="0.25">
      <c r="A30" s="59" t="s">
        <v>67</v>
      </c>
      <c r="B30" s="8" t="s">
        <v>363</v>
      </c>
      <c r="C30" s="3" t="str">
        <f t="shared" si="1"/>
        <v>Qatar Target Group</v>
      </c>
      <c r="D30" s="3" t="s">
        <v>353</v>
      </c>
      <c r="E30" s="8" t="s">
        <v>388</v>
      </c>
      <c r="F30" s="3" t="s">
        <v>73</v>
      </c>
      <c r="G30" s="3" t="s">
        <v>137</v>
      </c>
      <c r="H30" s="3" t="s">
        <v>78</v>
      </c>
      <c r="I30" s="3" t="s">
        <v>74</v>
      </c>
      <c r="J30" s="3" t="s">
        <v>75</v>
      </c>
      <c r="K30" s="4">
        <v>51.99</v>
      </c>
      <c r="L30" s="5">
        <v>2.8999999999999998E-3</v>
      </c>
      <c r="M30" s="6">
        <v>12187</v>
      </c>
      <c r="N30" s="5">
        <v>1.8379000000000001</v>
      </c>
      <c r="O30" s="5">
        <v>2.3199999999999998</v>
      </c>
      <c r="P30" s="6">
        <v>5802</v>
      </c>
      <c r="Q30" s="6">
        <v>357</v>
      </c>
      <c r="R30" s="7">
        <f t="shared" si="0"/>
        <v>0.25902942095629267</v>
      </c>
      <c r="S30" s="6">
        <v>22399</v>
      </c>
      <c r="T30" s="17">
        <v>64</v>
      </c>
      <c r="U30" s="27">
        <f t="shared" si="2"/>
        <v>0.28572704138577615</v>
      </c>
      <c r="V30" t="str">
        <f t="shared" si="3"/>
        <v>Low</v>
      </c>
      <c r="W30" s="61">
        <f>IF(Table2[[#This Row],[Swipe Ups]]=0,0,Table2[[#This Row],[Amount Spent]]/Table2[[#This Row],[Swipe Ups]])</f>
        <v>0.81234375000000003</v>
      </c>
      <c r="X30" t="s">
        <v>408</v>
      </c>
    </row>
    <row r="31" spans="1:24" x14ac:dyDescent="0.25">
      <c r="A31" s="59" t="s">
        <v>67</v>
      </c>
      <c r="B31" s="8" t="s">
        <v>363</v>
      </c>
      <c r="C31" s="3" t="str">
        <f t="shared" si="1"/>
        <v>Qatar Target Group</v>
      </c>
      <c r="D31" s="3" t="s">
        <v>353</v>
      </c>
      <c r="E31" s="8" t="s">
        <v>388</v>
      </c>
      <c r="F31" s="3" t="s">
        <v>73</v>
      </c>
      <c r="G31" s="3" t="s">
        <v>139</v>
      </c>
      <c r="H31" s="3" t="s">
        <v>77</v>
      </c>
      <c r="I31" s="3" t="s">
        <v>74</v>
      </c>
      <c r="J31" s="3" t="s">
        <v>75</v>
      </c>
      <c r="K31" s="4">
        <v>140.97999999999999</v>
      </c>
      <c r="L31" s="5">
        <v>2.7000000000000001E-3</v>
      </c>
      <c r="M31" s="6">
        <v>24831</v>
      </c>
      <c r="N31" s="5">
        <v>2.6017000000000001</v>
      </c>
      <c r="O31" s="5">
        <v>2.1800000000000002</v>
      </c>
      <c r="P31" s="6">
        <v>15882</v>
      </c>
      <c r="Q31" s="6">
        <v>666</v>
      </c>
      <c r="R31" s="7">
        <f t="shared" si="0"/>
        <v>0.24584378192625617</v>
      </c>
      <c r="S31" s="6">
        <v>64602</v>
      </c>
      <c r="T31" s="17">
        <v>174</v>
      </c>
      <c r="U31" s="27">
        <f t="shared" si="2"/>
        <v>0.26934150645490851</v>
      </c>
      <c r="V31" t="str">
        <f t="shared" si="3"/>
        <v>Low</v>
      </c>
      <c r="W31" s="61">
        <f>IF(Table2[[#This Row],[Swipe Ups]]=0,0,Table2[[#This Row],[Amount Spent]]/Table2[[#This Row],[Swipe Ups]])</f>
        <v>0.81022988505747118</v>
      </c>
      <c r="X31" t="s">
        <v>408</v>
      </c>
    </row>
    <row r="32" spans="1:24" x14ac:dyDescent="0.25">
      <c r="A32" s="59" t="s">
        <v>67</v>
      </c>
      <c r="B32" s="8" t="s">
        <v>363</v>
      </c>
      <c r="C32" s="3" t="str">
        <f t="shared" si="1"/>
        <v>Qatar Target Group</v>
      </c>
      <c r="D32" s="3" t="s">
        <v>352</v>
      </c>
      <c r="E32" s="8" t="s">
        <v>388</v>
      </c>
      <c r="F32" s="3" t="s">
        <v>73</v>
      </c>
      <c r="G32" s="3" t="s">
        <v>139</v>
      </c>
      <c r="H32" s="3" t="s">
        <v>77</v>
      </c>
      <c r="I32" s="3" t="s">
        <v>74</v>
      </c>
      <c r="J32" s="3" t="s">
        <v>75</v>
      </c>
      <c r="K32" s="4">
        <v>229.49</v>
      </c>
      <c r="L32" s="5">
        <v>3.5999999999999999E-3</v>
      </c>
      <c r="M32" s="6">
        <v>106581</v>
      </c>
      <c r="N32" s="5">
        <v>1.1675</v>
      </c>
      <c r="O32" s="5">
        <v>1.84</v>
      </c>
      <c r="P32" s="6">
        <v>6075</v>
      </c>
      <c r="Q32" s="6">
        <v>182</v>
      </c>
      <c r="R32" s="7">
        <f t="shared" si="0"/>
        <v>4.8819492438001252E-2</v>
      </c>
      <c r="S32" s="6">
        <v>124438</v>
      </c>
      <c r="T32" s="17">
        <v>454</v>
      </c>
      <c r="U32" s="27">
        <f t="shared" si="2"/>
        <v>0.36484032208810813</v>
      </c>
      <c r="V32" t="str">
        <f t="shared" si="3"/>
        <v>Low</v>
      </c>
      <c r="W32" s="61">
        <f>IF(Table2[[#This Row],[Swipe Ups]]=0,0,Table2[[#This Row],[Amount Spent]]/Table2[[#This Row],[Swipe Ups]])</f>
        <v>0.5054845814977974</v>
      </c>
      <c r="X32" t="s">
        <v>408</v>
      </c>
    </row>
    <row r="33" spans="1:24" x14ac:dyDescent="0.25">
      <c r="A33" s="59" t="s">
        <v>67</v>
      </c>
      <c r="B33" s="8" t="s">
        <v>363</v>
      </c>
      <c r="C33" s="3" t="str">
        <f t="shared" si="1"/>
        <v>Qatar Target Group</v>
      </c>
      <c r="D33" s="3" t="s">
        <v>352</v>
      </c>
      <c r="E33" s="8" t="s">
        <v>388</v>
      </c>
      <c r="F33" s="3" t="s">
        <v>73</v>
      </c>
      <c r="G33" s="3" t="s">
        <v>138</v>
      </c>
      <c r="H33" s="3" t="s">
        <v>78</v>
      </c>
      <c r="I33" s="3" t="s">
        <v>74</v>
      </c>
      <c r="J33" s="3" t="s">
        <v>75</v>
      </c>
      <c r="K33" s="4">
        <v>216.23</v>
      </c>
      <c r="L33" s="5">
        <v>3.3999999999999998E-3</v>
      </c>
      <c r="M33" s="6">
        <v>105669</v>
      </c>
      <c r="N33" s="5">
        <v>1.1713</v>
      </c>
      <c r="O33" s="5">
        <v>1.75</v>
      </c>
      <c r="P33" s="6">
        <v>5259</v>
      </c>
      <c r="Q33" s="6">
        <v>142</v>
      </c>
      <c r="R33" s="7">
        <f t="shared" si="0"/>
        <v>4.2488386184609171E-2</v>
      </c>
      <c r="S33" s="6">
        <v>123775</v>
      </c>
      <c r="T33" s="17">
        <v>420</v>
      </c>
      <c r="U33" s="27">
        <f t="shared" si="2"/>
        <v>0.33932538881034136</v>
      </c>
      <c r="V33" t="str">
        <f t="shared" si="3"/>
        <v>Low</v>
      </c>
      <c r="W33" s="61">
        <f>IF(Table2[[#This Row],[Swipe Ups]]=0,0,Table2[[#This Row],[Amount Spent]]/Table2[[#This Row],[Swipe Ups]])</f>
        <v>0.51483333333333325</v>
      </c>
      <c r="X33" t="s">
        <v>408</v>
      </c>
    </row>
    <row r="34" spans="1:24" x14ac:dyDescent="0.25">
      <c r="A34" s="59" t="s">
        <v>67</v>
      </c>
      <c r="B34" s="8" t="s">
        <v>363</v>
      </c>
      <c r="C34" s="3" t="str">
        <f t="shared" si="1"/>
        <v>Qatar Target Group</v>
      </c>
      <c r="D34" s="3" t="s">
        <v>353</v>
      </c>
      <c r="E34" s="8" t="s">
        <v>388</v>
      </c>
      <c r="F34" s="3" t="s">
        <v>73</v>
      </c>
      <c r="G34" s="3" t="s">
        <v>136</v>
      </c>
      <c r="H34" s="3" t="s">
        <v>77</v>
      </c>
      <c r="I34" s="3" t="s">
        <v>74</v>
      </c>
      <c r="J34" s="3" t="s">
        <v>75</v>
      </c>
      <c r="K34" s="4">
        <v>352.46</v>
      </c>
      <c r="L34" s="5">
        <v>2.2000000000000001E-3</v>
      </c>
      <c r="M34" s="6">
        <v>49783</v>
      </c>
      <c r="N34" s="5">
        <v>3.4630000000000001</v>
      </c>
      <c r="O34" s="5">
        <v>2.04</v>
      </c>
      <c r="P34" s="6">
        <v>39317</v>
      </c>
      <c r="Q34" s="6">
        <v>2648</v>
      </c>
      <c r="R34" s="7">
        <f t="shared" ref="R34:R54" si="4">P34/S34</f>
        <v>0.22805684454756381</v>
      </c>
      <c r="S34" s="6">
        <v>172400</v>
      </c>
      <c r="T34" s="17">
        <v>384</v>
      </c>
      <c r="U34" s="27">
        <f t="shared" si="2"/>
        <v>0.22273781902552203</v>
      </c>
      <c r="V34" t="str">
        <f t="shared" si="3"/>
        <v>Low</v>
      </c>
      <c r="W34" s="61">
        <f>IF(Table2[[#This Row],[Swipe Ups]]=0,0,Table2[[#This Row],[Amount Spent]]/Table2[[#This Row],[Swipe Ups]])</f>
        <v>0.91786458333333332</v>
      </c>
      <c r="X34" t="s">
        <v>408</v>
      </c>
    </row>
    <row r="35" spans="1:24" x14ac:dyDescent="0.25">
      <c r="A35" s="59" t="s">
        <v>66</v>
      </c>
      <c r="B35" s="8" t="s">
        <v>364</v>
      </c>
      <c r="C35" s="3" t="str">
        <f t="shared" si="1"/>
        <v>Riyadh Target Group</v>
      </c>
      <c r="D35" s="3" t="s">
        <v>352</v>
      </c>
      <c r="E35" s="8" t="s">
        <v>389</v>
      </c>
      <c r="F35" s="3" t="s">
        <v>130</v>
      </c>
      <c r="G35" s="8" t="s">
        <v>18</v>
      </c>
      <c r="H35" s="3" t="s">
        <v>77</v>
      </c>
      <c r="I35" s="3" t="s">
        <v>74</v>
      </c>
      <c r="J35" s="3" t="s">
        <v>75</v>
      </c>
      <c r="K35" s="9">
        <v>254.03</v>
      </c>
      <c r="L35" s="10">
        <v>3.0999999999999999E-3</v>
      </c>
      <c r="M35" s="11">
        <v>212576</v>
      </c>
      <c r="N35" s="10">
        <v>1.0691999999999999</v>
      </c>
      <c r="O35" s="10">
        <v>1.1200000000000001</v>
      </c>
      <c r="P35" s="11">
        <v>8387</v>
      </c>
      <c r="Q35" s="11">
        <v>333</v>
      </c>
      <c r="R35" s="7">
        <f t="shared" si="4"/>
        <v>3.6900157948690872E-2</v>
      </c>
      <c r="S35" s="11">
        <v>227289</v>
      </c>
      <c r="T35" s="17">
        <v>703</v>
      </c>
      <c r="U35" s="27">
        <f t="shared" si="2"/>
        <v>0.30929785427363399</v>
      </c>
      <c r="V35" t="str">
        <f t="shared" si="3"/>
        <v>Low</v>
      </c>
      <c r="W35" s="61">
        <f>IF(Table2[[#This Row],[Swipe Ups]]=0,0,Table2[[#This Row],[Amount Spent]]/Table2[[#This Row],[Swipe Ups]])</f>
        <v>0.36135135135135138</v>
      </c>
      <c r="X35" t="s">
        <v>408</v>
      </c>
    </row>
    <row r="36" spans="1:24" x14ac:dyDescent="0.25">
      <c r="A36" s="59" t="s">
        <v>66</v>
      </c>
      <c r="B36" s="8" t="s">
        <v>364</v>
      </c>
      <c r="C36" s="3" t="str">
        <f t="shared" si="1"/>
        <v>Riyadh Target Group</v>
      </c>
      <c r="D36" s="3" t="s">
        <v>353</v>
      </c>
      <c r="E36" s="8" t="s">
        <v>389</v>
      </c>
      <c r="F36" s="3" t="s">
        <v>130</v>
      </c>
      <c r="G36" s="8" t="s">
        <v>18</v>
      </c>
      <c r="H36" s="3" t="s">
        <v>77</v>
      </c>
      <c r="I36" s="3" t="s">
        <v>74</v>
      </c>
      <c r="J36" s="3" t="s">
        <v>75</v>
      </c>
      <c r="K36" s="9">
        <v>184.27</v>
      </c>
      <c r="L36" s="10">
        <v>2.5999999999999999E-3</v>
      </c>
      <c r="M36" s="11">
        <v>46969</v>
      </c>
      <c r="N36" s="10">
        <v>2.0697000000000001</v>
      </c>
      <c r="O36" s="10">
        <v>1.9</v>
      </c>
      <c r="P36" s="11">
        <v>29205</v>
      </c>
      <c r="Q36" s="11">
        <v>1241</v>
      </c>
      <c r="R36" s="7">
        <f t="shared" si="4"/>
        <v>0.30042587334896925</v>
      </c>
      <c r="S36" s="11">
        <v>97212</v>
      </c>
      <c r="T36" s="17">
        <v>256</v>
      </c>
      <c r="U36" s="27">
        <f t="shared" si="2"/>
        <v>0.26334197424186312</v>
      </c>
      <c r="V36" t="str">
        <f t="shared" si="3"/>
        <v>Low</v>
      </c>
      <c r="W36" s="61">
        <f>IF(Table2[[#This Row],[Swipe Ups]]=0,0,Table2[[#This Row],[Amount Spent]]/Table2[[#This Row],[Swipe Ups]])</f>
        <v>0.71980468750000004</v>
      </c>
      <c r="X36" t="s">
        <v>408</v>
      </c>
    </row>
    <row r="37" spans="1:24" x14ac:dyDescent="0.25">
      <c r="A37" s="59" t="s">
        <v>66</v>
      </c>
      <c r="B37" s="8" t="s">
        <v>364</v>
      </c>
      <c r="C37" s="3" t="str">
        <f t="shared" si="1"/>
        <v>Riyadh Target Group</v>
      </c>
      <c r="D37" s="3" t="s">
        <v>352</v>
      </c>
      <c r="E37" s="8" t="s">
        <v>390</v>
      </c>
      <c r="F37" s="3" t="s">
        <v>73</v>
      </c>
      <c r="G37" s="8" t="s">
        <v>18</v>
      </c>
      <c r="H37" s="3" t="s">
        <v>77</v>
      </c>
      <c r="I37" s="3" t="s">
        <v>74</v>
      </c>
      <c r="J37" s="3" t="s">
        <v>75</v>
      </c>
      <c r="K37" s="9">
        <v>2892.86</v>
      </c>
      <c r="L37" s="10">
        <v>2.8E-3</v>
      </c>
      <c r="M37" s="11">
        <v>2161313</v>
      </c>
      <c r="N37" s="10">
        <v>1.2064999999999999</v>
      </c>
      <c r="O37" s="10">
        <v>1.1100000000000001</v>
      </c>
      <c r="P37" s="11">
        <v>96804</v>
      </c>
      <c r="Q37" s="11">
        <v>3470</v>
      </c>
      <c r="R37" s="7">
        <f t="shared" si="4"/>
        <v>3.7123336421703679E-2</v>
      </c>
      <c r="S37" s="11">
        <v>2607632</v>
      </c>
      <c r="T37" s="17">
        <v>7275</v>
      </c>
      <c r="U37" s="27">
        <f t="shared" si="2"/>
        <v>0.27898875301422899</v>
      </c>
      <c r="V37" t="str">
        <f t="shared" si="3"/>
        <v>High</v>
      </c>
      <c r="W37" s="61">
        <f>IF(Table2[[#This Row],[Swipe Ups]]=0,0,Table2[[#This Row],[Amount Spent]]/Table2[[#This Row],[Swipe Ups]])</f>
        <v>0.39764398625429553</v>
      </c>
      <c r="X37" t="s">
        <v>408</v>
      </c>
    </row>
    <row r="38" spans="1:24" x14ac:dyDescent="0.25">
      <c r="A38" s="59" t="s">
        <v>66</v>
      </c>
      <c r="B38" s="8" t="s">
        <v>364</v>
      </c>
      <c r="C38" s="3" t="str">
        <f t="shared" si="1"/>
        <v>Riyadh Target Group</v>
      </c>
      <c r="D38" s="3" t="s">
        <v>353</v>
      </c>
      <c r="E38" s="8" t="s">
        <v>389</v>
      </c>
      <c r="F38" s="3" t="s">
        <v>130</v>
      </c>
      <c r="G38" s="8" t="s">
        <v>20</v>
      </c>
      <c r="H38" s="3" t="s">
        <v>77</v>
      </c>
      <c r="I38" s="3" t="s">
        <v>74</v>
      </c>
      <c r="J38" s="3" t="s">
        <v>75</v>
      </c>
      <c r="K38" s="9">
        <v>72.2</v>
      </c>
      <c r="L38" s="10">
        <v>6.0000000000000001E-3</v>
      </c>
      <c r="M38" s="11">
        <v>16469</v>
      </c>
      <c r="N38" s="10">
        <v>1.9164000000000001</v>
      </c>
      <c r="O38" s="10">
        <v>2.29</v>
      </c>
      <c r="P38" s="11">
        <v>11761</v>
      </c>
      <c r="Q38" s="11">
        <v>189</v>
      </c>
      <c r="R38" s="7">
        <f t="shared" si="4"/>
        <v>0.37264345236209245</v>
      </c>
      <c r="S38" s="11">
        <v>31561</v>
      </c>
      <c r="T38" s="17">
        <v>188</v>
      </c>
      <c r="U38" s="27">
        <f t="shared" si="2"/>
        <v>0.5956718735147809</v>
      </c>
      <c r="V38" t="str">
        <f t="shared" si="3"/>
        <v>Low</v>
      </c>
      <c r="W38" s="61">
        <f>IF(Table2[[#This Row],[Swipe Ups]]=0,0,Table2[[#This Row],[Amount Spent]]/Table2[[#This Row],[Swipe Ups]])</f>
        <v>0.38404255319148939</v>
      </c>
      <c r="X38" t="s">
        <v>408</v>
      </c>
    </row>
    <row r="39" spans="1:24" x14ac:dyDescent="0.25">
      <c r="A39" s="59" t="s">
        <v>66</v>
      </c>
      <c r="B39" s="8" t="s">
        <v>364</v>
      </c>
      <c r="C39" s="3" t="str">
        <f t="shared" si="1"/>
        <v>Riyadh Target Group</v>
      </c>
      <c r="D39" s="3" t="s">
        <v>352</v>
      </c>
      <c r="E39" s="8" t="s">
        <v>389</v>
      </c>
      <c r="F39" s="3" t="s">
        <v>130</v>
      </c>
      <c r="G39" s="8" t="s">
        <v>20</v>
      </c>
      <c r="H39" s="3" t="s">
        <v>77</v>
      </c>
      <c r="I39" s="3" t="s">
        <v>74</v>
      </c>
      <c r="J39" s="3" t="s">
        <v>75</v>
      </c>
      <c r="K39" s="9">
        <v>288.45</v>
      </c>
      <c r="L39" s="10">
        <v>3.3999999999999998E-3</v>
      </c>
      <c r="M39" s="11">
        <v>225115</v>
      </c>
      <c r="N39" s="10">
        <v>1.139</v>
      </c>
      <c r="O39" s="10">
        <v>1.1200000000000001</v>
      </c>
      <c r="P39" s="11">
        <v>10872</v>
      </c>
      <c r="Q39" s="11">
        <v>211</v>
      </c>
      <c r="R39" s="7">
        <f t="shared" si="4"/>
        <v>4.2399684888287437E-2</v>
      </c>
      <c r="S39" s="11">
        <v>256417</v>
      </c>
      <c r="T39" s="17">
        <v>873</v>
      </c>
      <c r="U39" s="27">
        <f t="shared" si="2"/>
        <v>0.3404610458744935</v>
      </c>
      <c r="V39" t="str">
        <f t="shared" si="3"/>
        <v>Low</v>
      </c>
      <c r="W39" s="61">
        <f>IF(Table2[[#This Row],[Swipe Ups]]=0,0,Table2[[#This Row],[Amount Spent]]/Table2[[#This Row],[Swipe Ups]])</f>
        <v>0.33041237113402061</v>
      </c>
      <c r="X39" t="s">
        <v>408</v>
      </c>
    </row>
    <row r="40" spans="1:24" x14ac:dyDescent="0.25">
      <c r="A40" s="59" t="s">
        <v>66</v>
      </c>
      <c r="B40" s="8" t="s">
        <v>364</v>
      </c>
      <c r="C40" s="3" t="str">
        <f t="shared" si="1"/>
        <v>Riyadh Target Group</v>
      </c>
      <c r="D40" s="3" t="s">
        <v>353</v>
      </c>
      <c r="E40" s="8" t="s">
        <v>389</v>
      </c>
      <c r="F40" s="3" t="s">
        <v>130</v>
      </c>
      <c r="G40" s="8" t="s">
        <v>18</v>
      </c>
      <c r="H40" s="3" t="s">
        <v>77</v>
      </c>
      <c r="I40" s="3" t="s">
        <v>74</v>
      </c>
      <c r="J40" s="3" t="s">
        <v>75</v>
      </c>
      <c r="K40" s="9">
        <v>205.76</v>
      </c>
      <c r="L40" s="10">
        <v>5.7000000000000002E-3</v>
      </c>
      <c r="M40" s="11">
        <v>36816</v>
      </c>
      <c r="N40" s="10">
        <v>2.4243999999999999</v>
      </c>
      <c r="O40" s="10">
        <v>2.31</v>
      </c>
      <c r="P40" s="11">
        <v>32894</v>
      </c>
      <c r="Q40" s="11">
        <v>1058</v>
      </c>
      <c r="R40" s="7">
        <f t="shared" si="4"/>
        <v>0.36853957761469947</v>
      </c>
      <c r="S40" s="11">
        <v>89255</v>
      </c>
      <c r="T40" s="17">
        <v>505</v>
      </c>
      <c r="U40" s="27">
        <f t="shared" si="2"/>
        <v>0.5657946333538737</v>
      </c>
      <c r="V40" t="str">
        <f t="shared" si="3"/>
        <v>Low</v>
      </c>
      <c r="W40" s="61">
        <f>IF(Table2[[#This Row],[Swipe Ups]]=0,0,Table2[[#This Row],[Amount Spent]]/Table2[[#This Row],[Swipe Ups]])</f>
        <v>0.40744554455445542</v>
      </c>
      <c r="X40" t="s">
        <v>408</v>
      </c>
    </row>
    <row r="41" spans="1:24" x14ac:dyDescent="0.25">
      <c r="A41" s="59" t="s">
        <v>66</v>
      </c>
      <c r="B41" s="8" t="s">
        <v>364</v>
      </c>
      <c r="C41" s="3" t="str">
        <f t="shared" si="1"/>
        <v>Riyadh Target Group</v>
      </c>
      <c r="D41" s="3" t="s">
        <v>353</v>
      </c>
      <c r="E41" s="8" t="s">
        <v>389</v>
      </c>
      <c r="F41" s="3" t="s">
        <v>130</v>
      </c>
      <c r="G41" s="8" t="s">
        <v>20</v>
      </c>
      <c r="H41" s="3" t="s">
        <v>77</v>
      </c>
      <c r="I41" s="3" t="s">
        <v>74</v>
      </c>
      <c r="J41" s="3" t="s">
        <v>75</v>
      </c>
      <c r="K41" s="9">
        <v>93.69</v>
      </c>
      <c r="L41" s="10">
        <v>4.5999999999999999E-3</v>
      </c>
      <c r="M41" s="11">
        <v>27076</v>
      </c>
      <c r="N41" s="10">
        <v>1.7363</v>
      </c>
      <c r="O41" s="10">
        <v>1.99</v>
      </c>
      <c r="P41" s="11">
        <v>13381</v>
      </c>
      <c r="Q41" s="11">
        <v>338</v>
      </c>
      <c r="R41" s="7">
        <f t="shared" si="4"/>
        <v>0.28462945630902747</v>
      </c>
      <c r="S41" s="11">
        <v>47012</v>
      </c>
      <c r="T41" s="17">
        <v>217</v>
      </c>
      <c r="U41" s="27">
        <f t="shared" si="2"/>
        <v>0.46158427635497323</v>
      </c>
      <c r="V41" t="str">
        <f t="shared" si="3"/>
        <v>Low</v>
      </c>
      <c r="W41" s="61">
        <f>IF(Table2[[#This Row],[Swipe Ups]]=0,0,Table2[[#This Row],[Amount Spent]]/Table2[[#This Row],[Swipe Ups]])</f>
        <v>0.43175115207373271</v>
      </c>
      <c r="X41" t="s">
        <v>408</v>
      </c>
    </row>
    <row r="42" spans="1:24" x14ac:dyDescent="0.25">
      <c r="A42" s="59" t="s">
        <v>66</v>
      </c>
      <c r="B42" s="8" t="s">
        <v>364</v>
      </c>
      <c r="C42" s="3" t="str">
        <f t="shared" si="1"/>
        <v>Riyadh Target Group</v>
      </c>
      <c r="D42" s="3" t="s">
        <v>352</v>
      </c>
      <c r="E42" s="8" t="s">
        <v>390</v>
      </c>
      <c r="F42" s="3" t="s">
        <v>73</v>
      </c>
      <c r="G42" s="8" t="s">
        <v>20</v>
      </c>
      <c r="H42" s="3" t="s">
        <v>77</v>
      </c>
      <c r="I42" s="3" t="s">
        <v>74</v>
      </c>
      <c r="J42" s="3" t="s">
        <v>75</v>
      </c>
      <c r="K42" s="9">
        <v>2910.22</v>
      </c>
      <c r="L42" s="10">
        <v>2.8E-3</v>
      </c>
      <c r="M42" s="11">
        <v>2119755</v>
      </c>
      <c r="N42" s="10">
        <v>1.2354000000000001</v>
      </c>
      <c r="O42" s="10">
        <v>1.1100000000000001</v>
      </c>
      <c r="P42" s="11">
        <v>97157</v>
      </c>
      <c r="Q42" s="11">
        <v>1902</v>
      </c>
      <c r="R42" s="7">
        <f t="shared" si="4"/>
        <v>3.7101035088215058E-2</v>
      </c>
      <c r="S42" s="11">
        <v>2618714</v>
      </c>
      <c r="T42" s="17">
        <v>7449</v>
      </c>
      <c r="U42" s="27">
        <f t="shared" si="2"/>
        <v>0.28445259772544845</v>
      </c>
      <c r="V42" t="str">
        <f t="shared" si="3"/>
        <v>High</v>
      </c>
      <c r="W42" s="61">
        <f>IF(Table2[[#This Row],[Swipe Ups]]=0,0,Table2[[#This Row],[Amount Spent]]/Table2[[#This Row],[Swipe Ups]])</f>
        <v>0.39068599812055305</v>
      </c>
      <c r="X42" t="s">
        <v>408</v>
      </c>
    </row>
    <row r="43" spans="1:24" x14ac:dyDescent="0.25">
      <c r="A43" s="59" t="s">
        <v>66</v>
      </c>
      <c r="B43" s="8" t="s">
        <v>364</v>
      </c>
      <c r="C43" s="3" t="str">
        <f t="shared" si="1"/>
        <v>Riyadh Target Group</v>
      </c>
      <c r="D43" s="3" t="s">
        <v>352</v>
      </c>
      <c r="E43" s="8" t="s">
        <v>389</v>
      </c>
      <c r="F43" s="3" t="s">
        <v>130</v>
      </c>
      <c r="G43" s="8" t="s">
        <v>20</v>
      </c>
      <c r="H43" s="3" t="s">
        <v>77</v>
      </c>
      <c r="I43" s="3" t="s">
        <v>74</v>
      </c>
      <c r="J43" s="3" t="s">
        <v>75</v>
      </c>
      <c r="K43" s="9">
        <v>279.56</v>
      </c>
      <c r="L43" s="10">
        <v>3.0000000000000001E-3</v>
      </c>
      <c r="M43" s="11">
        <v>222573</v>
      </c>
      <c r="N43" s="10">
        <v>1.1198999999999999</v>
      </c>
      <c r="O43" s="10">
        <v>1.1200000000000001</v>
      </c>
      <c r="P43" s="11">
        <v>9169</v>
      </c>
      <c r="Q43" s="11">
        <v>233</v>
      </c>
      <c r="R43" s="7">
        <f t="shared" si="4"/>
        <v>3.6785621151030068E-2</v>
      </c>
      <c r="S43" s="11">
        <v>249255</v>
      </c>
      <c r="T43" s="17">
        <v>745</v>
      </c>
      <c r="U43" s="27">
        <f t="shared" si="2"/>
        <v>0.2988906942689214</v>
      </c>
      <c r="V43" t="str">
        <f t="shared" si="3"/>
        <v>Low</v>
      </c>
      <c r="W43" s="61">
        <f>IF(Table2[[#This Row],[Swipe Ups]]=0,0,Table2[[#This Row],[Amount Spent]]/Table2[[#This Row],[Swipe Ups]])</f>
        <v>0.37524832214765103</v>
      </c>
      <c r="X43" t="s">
        <v>408</v>
      </c>
    </row>
    <row r="44" spans="1:24" x14ac:dyDescent="0.25">
      <c r="A44" s="59" t="s">
        <v>66</v>
      </c>
      <c r="B44" s="8" t="s">
        <v>364</v>
      </c>
      <c r="C44" s="3" t="str">
        <f t="shared" si="1"/>
        <v>Riyadh Target Group</v>
      </c>
      <c r="D44" s="3" t="s">
        <v>353</v>
      </c>
      <c r="E44" s="8" t="s">
        <v>390</v>
      </c>
      <c r="F44" s="3" t="s">
        <v>73</v>
      </c>
      <c r="G44" s="8" t="s">
        <v>20</v>
      </c>
      <c r="H44" s="3" t="s">
        <v>77</v>
      </c>
      <c r="I44" s="3" t="s">
        <v>74</v>
      </c>
      <c r="J44" s="3" t="s">
        <v>75</v>
      </c>
      <c r="K44" s="9">
        <v>850.44</v>
      </c>
      <c r="L44" s="10">
        <v>4.0000000000000001E-3</v>
      </c>
      <c r="M44" s="11">
        <v>161331</v>
      </c>
      <c r="N44" s="10">
        <v>2.5714999999999999</v>
      </c>
      <c r="O44" s="10">
        <v>2.0499999999999998</v>
      </c>
      <c r="P44" s="11">
        <v>134928</v>
      </c>
      <c r="Q44" s="11">
        <v>3003</v>
      </c>
      <c r="R44" s="7">
        <f t="shared" si="4"/>
        <v>0.3252397814186575</v>
      </c>
      <c r="S44" s="11">
        <v>414857</v>
      </c>
      <c r="T44" s="17">
        <v>1666</v>
      </c>
      <c r="U44" s="27">
        <f t="shared" si="2"/>
        <v>0.40158416032512406</v>
      </c>
      <c r="V44" t="str">
        <f t="shared" si="3"/>
        <v>High</v>
      </c>
      <c r="W44" s="61">
        <f>IF(Table2[[#This Row],[Swipe Ups]]=0,0,Table2[[#This Row],[Amount Spent]]/Table2[[#This Row],[Swipe Ups]])</f>
        <v>0.51046818727490995</v>
      </c>
      <c r="X44" t="s">
        <v>408</v>
      </c>
    </row>
    <row r="45" spans="1:24" x14ac:dyDescent="0.25">
      <c r="A45" s="59" t="s">
        <v>66</v>
      </c>
      <c r="B45" s="8" t="s">
        <v>364</v>
      </c>
      <c r="C45" s="3" t="str">
        <f t="shared" si="1"/>
        <v>Riyadh Target Group</v>
      </c>
      <c r="D45" s="3" t="s">
        <v>353</v>
      </c>
      <c r="E45" s="8" t="s">
        <v>390</v>
      </c>
      <c r="F45" s="3" t="s">
        <v>73</v>
      </c>
      <c r="G45" s="8" t="s">
        <v>18</v>
      </c>
      <c r="H45" s="3" t="s">
        <v>77</v>
      </c>
      <c r="I45" s="3" t="s">
        <v>74</v>
      </c>
      <c r="J45" s="3" t="s">
        <v>75</v>
      </c>
      <c r="K45" s="9">
        <v>2657.12</v>
      </c>
      <c r="L45" s="10">
        <v>3.3999999999999998E-3</v>
      </c>
      <c r="M45" s="11">
        <v>572900</v>
      </c>
      <c r="N45" s="10">
        <v>2.3797999999999999</v>
      </c>
      <c r="O45" s="10">
        <v>1.95</v>
      </c>
      <c r="P45" s="11">
        <v>402299</v>
      </c>
      <c r="Q45" s="11">
        <v>13870</v>
      </c>
      <c r="R45" s="7">
        <f t="shared" si="4"/>
        <v>0.29507647215873584</v>
      </c>
      <c r="S45" s="11">
        <v>1363372</v>
      </c>
      <c r="T45" s="17">
        <v>4656</v>
      </c>
      <c r="U45" s="27">
        <f t="shared" si="2"/>
        <v>0.34150620666993309</v>
      </c>
      <c r="V45" t="str">
        <f t="shared" si="3"/>
        <v>High</v>
      </c>
      <c r="W45" s="61">
        <f>IF(Table2[[#This Row],[Swipe Ups]]=0,0,Table2[[#This Row],[Amount Spent]]/Table2[[#This Row],[Swipe Ups]])</f>
        <v>0.57068728522336765</v>
      </c>
      <c r="X45" t="s">
        <v>408</v>
      </c>
    </row>
    <row r="46" spans="1:24" x14ac:dyDescent="0.25">
      <c r="A46" s="59" t="s">
        <v>66</v>
      </c>
      <c r="B46" s="8" t="s">
        <v>364</v>
      </c>
      <c r="C46" s="3" t="str">
        <f t="shared" si="1"/>
        <v>Riyadh Target Group</v>
      </c>
      <c r="D46" s="3" t="s">
        <v>352</v>
      </c>
      <c r="E46" s="8" t="s">
        <v>389</v>
      </c>
      <c r="F46" s="3" t="s">
        <v>130</v>
      </c>
      <c r="G46" s="8" t="s">
        <v>18</v>
      </c>
      <c r="H46" s="3" t="s">
        <v>77</v>
      </c>
      <c r="I46" s="3" t="s">
        <v>74</v>
      </c>
      <c r="J46" s="3" t="s">
        <v>75</v>
      </c>
      <c r="K46" s="9">
        <v>265.06</v>
      </c>
      <c r="L46" s="10">
        <v>3.5000000000000001E-3</v>
      </c>
      <c r="M46" s="11">
        <v>209081</v>
      </c>
      <c r="N46" s="10">
        <v>1.1295999999999999</v>
      </c>
      <c r="O46" s="10">
        <v>1.1200000000000001</v>
      </c>
      <c r="P46" s="11">
        <v>10162</v>
      </c>
      <c r="Q46" s="11">
        <v>403</v>
      </c>
      <c r="R46" s="7">
        <f t="shared" si="4"/>
        <v>4.3028144861138748E-2</v>
      </c>
      <c r="S46" s="11">
        <v>236171</v>
      </c>
      <c r="T46" s="17">
        <v>818</v>
      </c>
      <c r="U46" s="27">
        <f t="shared" si="2"/>
        <v>0.34635920582967428</v>
      </c>
      <c r="V46" t="str">
        <f t="shared" si="3"/>
        <v>Low</v>
      </c>
      <c r="W46" s="61">
        <f>IF(Table2[[#This Row],[Swipe Ups]]=0,0,Table2[[#This Row],[Amount Spent]]/Table2[[#This Row],[Swipe Ups]])</f>
        <v>0.32403422982885088</v>
      </c>
      <c r="X46" t="s">
        <v>408</v>
      </c>
    </row>
    <row r="47" spans="1:24" x14ac:dyDescent="0.25">
      <c r="A47" s="59" t="s">
        <v>140</v>
      </c>
      <c r="B47" s="8" t="s">
        <v>365</v>
      </c>
      <c r="C47" s="3" t="str">
        <f t="shared" si="1"/>
        <v>United Arab Emirates Target Group</v>
      </c>
      <c r="D47" s="3" t="s">
        <v>352</v>
      </c>
      <c r="E47" s="8" t="s">
        <v>391</v>
      </c>
      <c r="F47" s="3" t="s">
        <v>73</v>
      </c>
      <c r="G47" s="8" t="s">
        <v>61</v>
      </c>
      <c r="H47" s="3" t="s">
        <v>78</v>
      </c>
      <c r="I47" s="3" t="s">
        <v>74</v>
      </c>
      <c r="J47" s="3" t="s">
        <v>75</v>
      </c>
      <c r="K47" s="9">
        <v>76.81</v>
      </c>
      <c r="L47" s="10">
        <v>2.2000000000000001E-3</v>
      </c>
      <c r="M47" s="11">
        <v>79988</v>
      </c>
      <c r="N47" s="10">
        <v>1.0123</v>
      </c>
      <c r="O47" s="10">
        <v>0.95</v>
      </c>
      <c r="P47" s="11">
        <v>1779</v>
      </c>
      <c r="Q47" s="11">
        <v>31</v>
      </c>
      <c r="R47" s="7">
        <f t="shared" si="4"/>
        <v>2.1970557723657559E-2</v>
      </c>
      <c r="S47" s="11">
        <v>80972</v>
      </c>
      <c r="T47" s="17">
        <v>179</v>
      </c>
      <c r="U47" s="27">
        <f t="shared" si="2"/>
        <v>0.22106407153089958</v>
      </c>
      <c r="V47" t="str">
        <f t="shared" si="3"/>
        <v>Low</v>
      </c>
      <c r="W47" s="61">
        <f>IF(Table2[[#This Row],[Swipe Ups]]=0,0,Table2[[#This Row],[Amount Spent]]/Table2[[#This Row],[Swipe Ups]])</f>
        <v>0.42910614525139668</v>
      </c>
      <c r="X47" t="s">
        <v>408</v>
      </c>
    </row>
    <row r="48" spans="1:24" x14ac:dyDescent="0.25">
      <c r="A48" s="59" t="s">
        <v>140</v>
      </c>
      <c r="B48" s="8" t="s">
        <v>365</v>
      </c>
      <c r="C48" s="3" t="str">
        <f t="shared" si="1"/>
        <v>United Arab Emirates Target Group</v>
      </c>
      <c r="D48" s="3" t="s">
        <v>353</v>
      </c>
      <c r="E48" s="8" t="s">
        <v>391</v>
      </c>
      <c r="F48" s="3" t="s">
        <v>73</v>
      </c>
      <c r="G48" s="8" t="s">
        <v>59</v>
      </c>
      <c r="H48" s="3" t="s">
        <v>78</v>
      </c>
      <c r="I48" s="3" t="s">
        <v>74</v>
      </c>
      <c r="J48" s="3" t="s">
        <v>75</v>
      </c>
      <c r="K48" s="9">
        <v>21.55</v>
      </c>
      <c r="L48" s="10">
        <v>2.5000000000000001E-3</v>
      </c>
      <c r="M48" s="11">
        <v>8544</v>
      </c>
      <c r="N48" s="10">
        <v>1.3543000000000001</v>
      </c>
      <c r="O48" s="10">
        <v>1.86</v>
      </c>
      <c r="P48" s="11">
        <v>2125</v>
      </c>
      <c r="Q48" s="11">
        <v>66</v>
      </c>
      <c r="R48" s="7">
        <f t="shared" si="4"/>
        <v>0.18364877711520181</v>
      </c>
      <c r="S48" s="11">
        <v>11571</v>
      </c>
      <c r="T48" s="17">
        <v>29</v>
      </c>
      <c r="U48" s="27">
        <f t="shared" si="2"/>
        <v>0.25062656641604009</v>
      </c>
      <c r="V48" t="str">
        <f t="shared" si="3"/>
        <v>Low</v>
      </c>
      <c r="W48" s="61">
        <f>IF(Table2[[#This Row],[Swipe Ups]]=0,0,Table2[[#This Row],[Amount Spent]]/Table2[[#This Row],[Swipe Ups]])</f>
        <v>0.74310344827586206</v>
      </c>
      <c r="X48" t="s">
        <v>408</v>
      </c>
    </row>
    <row r="49" spans="1:24" x14ac:dyDescent="0.25">
      <c r="A49" s="59" t="s">
        <v>140</v>
      </c>
      <c r="B49" s="8" t="s">
        <v>365</v>
      </c>
      <c r="C49" s="3" t="str">
        <f t="shared" si="1"/>
        <v>United Arab Emirates Target Group</v>
      </c>
      <c r="D49" s="3" t="s">
        <v>352</v>
      </c>
      <c r="E49" s="8" t="s">
        <v>391</v>
      </c>
      <c r="F49" s="3" t="s">
        <v>73</v>
      </c>
      <c r="G49" s="8" t="s">
        <v>59</v>
      </c>
      <c r="H49" s="3" t="s">
        <v>78</v>
      </c>
      <c r="I49" s="3" t="s">
        <v>74</v>
      </c>
      <c r="J49" s="3" t="s">
        <v>75</v>
      </c>
      <c r="K49" s="9">
        <v>73.180000000000007</v>
      </c>
      <c r="L49" s="10">
        <v>2.3E-3</v>
      </c>
      <c r="M49" s="11">
        <v>74948</v>
      </c>
      <c r="N49" s="10">
        <v>1.0351999999999999</v>
      </c>
      <c r="O49" s="10">
        <v>0.94</v>
      </c>
      <c r="P49" s="11">
        <v>1704</v>
      </c>
      <c r="Q49" s="11">
        <v>66</v>
      </c>
      <c r="R49" s="7">
        <f t="shared" si="4"/>
        <v>2.1963008313462654E-2</v>
      </c>
      <c r="S49" s="11">
        <v>77585</v>
      </c>
      <c r="T49" s="17">
        <v>178</v>
      </c>
      <c r="U49" s="27">
        <f t="shared" si="2"/>
        <v>0.22942579106786107</v>
      </c>
      <c r="V49" t="str">
        <f t="shared" si="3"/>
        <v>Low</v>
      </c>
      <c r="W49" s="61">
        <f>IF(Table2[[#This Row],[Swipe Ups]]=0,0,Table2[[#This Row],[Amount Spent]]/Table2[[#This Row],[Swipe Ups]])</f>
        <v>0.411123595505618</v>
      </c>
      <c r="X49" t="s">
        <v>408</v>
      </c>
    </row>
    <row r="50" spans="1:24" x14ac:dyDescent="0.25">
      <c r="A50" s="59" t="s">
        <v>140</v>
      </c>
      <c r="B50" s="8" t="s">
        <v>365</v>
      </c>
      <c r="C50" s="3" t="str">
        <f t="shared" si="1"/>
        <v>United Arab Emirates Target Group</v>
      </c>
      <c r="D50" s="3" t="s">
        <v>352</v>
      </c>
      <c r="E50" s="8" t="s">
        <v>391</v>
      </c>
      <c r="F50" s="3" t="s">
        <v>73</v>
      </c>
      <c r="G50" s="8" t="s">
        <v>141</v>
      </c>
      <c r="H50" s="3" t="s">
        <v>77</v>
      </c>
      <c r="I50" s="3" t="s">
        <v>74</v>
      </c>
      <c r="J50" s="3" t="s">
        <v>75</v>
      </c>
      <c r="K50" s="9">
        <v>75.13</v>
      </c>
      <c r="L50" s="10">
        <v>2.3E-3</v>
      </c>
      <c r="M50" s="11">
        <v>73748</v>
      </c>
      <c r="N50" s="10">
        <v>1.0785</v>
      </c>
      <c r="O50" s="10">
        <v>0.94</v>
      </c>
      <c r="P50" s="11">
        <v>1963</v>
      </c>
      <c r="Q50" s="11">
        <v>64</v>
      </c>
      <c r="R50" s="7">
        <f t="shared" si="4"/>
        <v>2.4679716868454469E-2</v>
      </c>
      <c r="S50" s="11">
        <v>79539</v>
      </c>
      <c r="T50" s="17">
        <v>181</v>
      </c>
      <c r="U50" s="27">
        <f t="shared" si="2"/>
        <v>0.22756132211870905</v>
      </c>
      <c r="V50" t="str">
        <f t="shared" si="3"/>
        <v>Low</v>
      </c>
      <c r="W50" s="61">
        <f>IF(Table2[[#This Row],[Swipe Ups]]=0,0,Table2[[#This Row],[Amount Spent]]/Table2[[#This Row],[Swipe Ups]])</f>
        <v>0.41508287292817675</v>
      </c>
      <c r="X50" t="s">
        <v>408</v>
      </c>
    </row>
    <row r="51" spans="1:24" x14ac:dyDescent="0.25">
      <c r="A51" s="59" t="s">
        <v>140</v>
      </c>
      <c r="B51" s="8" t="s">
        <v>365</v>
      </c>
      <c r="C51" s="3" t="str">
        <f t="shared" si="1"/>
        <v>United Arab Emirates Target Group</v>
      </c>
      <c r="D51" s="3" t="s">
        <v>353</v>
      </c>
      <c r="E51" s="8" t="s">
        <v>391</v>
      </c>
      <c r="F51" s="3" t="s">
        <v>73</v>
      </c>
      <c r="G51" s="8" t="s">
        <v>58</v>
      </c>
      <c r="H51" s="3" t="s">
        <v>77</v>
      </c>
      <c r="I51" s="3" t="s">
        <v>74</v>
      </c>
      <c r="J51" s="3" t="s">
        <v>75</v>
      </c>
      <c r="K51" s="9">
        <v>36.24</v>
      </c>
      <c r="L51" s="10">
        <v>3.5999999999999999E-3</v>
      </c>
      <c r="M51" s="11">
        <v>12121</v>
      </c>
      <c r="N51" s="10">
        <v>1.5053000000000001</v>
      </c>
      <c r="O51" s="10">
        <v>1.99</v>
      </c>
      <c r="P51" s="11">
        <v>3617</v>
      </c>
      <c r="Q51" s="11">
        <v>96</v>
      </c>
      <c r="R51" s="7">
        <f t="shared" si="4"/>
        <v>0.19823522963937301</v>
      </c>
      <c r="S51" s="11">
        <v>18246</v>
      </c>
      <c r="T51" s="17">
        <v>66</v>
      </c>
      <c r="U51" s="27">
        <f t="shared" si="2"/>
        <v>0.36172311739559354</v>
      </c>
      <c r="V51" t="str">
        <f t="shared" si="3"/>
        <v>Low</v>
      </c>
      <c r="W51" s="61">
        <f>IF(Table2[[#This Row],[Swipe Ups]]=0,0,Table2[[#This Row],[Amount Spent]]/Table2[[#This Row],[Swipe Ups]])</f>
        <v>0.54909090909090907</v>
      </c>
      <c r="X51" t="s">
        <v>408</v>
      </c>
    </row>
    <row r="52" spans="1:24" x14ac:dyDescent="0.25">
      <c r="A52" s="59" t="s">
        <v>140</v>
      </c>
      <c r="B52" s="8" t="s">
        <v>365</v>
      </c>
      <c r="C52" s="3" t="str">
        <f t="shared" si="1"/>
        <v>United Arab Emirates Target Group</v>
      </c>
      <c r="D52" s="3" t="s">
        <v>353</v>
      </c>
      <c r="E52" s="8" t="s">
        <v>391</v>
      </c>
      <c r="F52" s="3" t="s">
        <v>73</v>
      </c>
      <c r="G52" s="8" t="s">
        <v>60</v>
      </c>
      <c r="H52" s="3" t="s">
        <v>77</v>
      </c>
      <c r="I52" s="3" t="s">
        <v>74</v>
      </c>
      <c r="J52" s="3" t="s">
        <v>75</v>
      </c>
      <c r="K52" s="9">
        <v>110.04</v>
      </c>
      <c r="L52" s="10">
        <v>1.6999999999999999E-3</v>
      </c>
      <c r="M52" s="11">
        <v>30601</v>
      </c>
      <c r="N52" s="10">
        <v>1.8928</v>
      </c>
      <c r="O52" s="10">
        <v>1.9</v>
      </c>
      <c r="P52" s="11">
        <v>12453</v>
      </c>
      <c r="Q52" s="11">
        <v>230</v>
      </c>
      <c r="R52" s="7">
        <f t="shared" si="4"/>
        <v>0.2149960291426401</v>
      </c>
      <c r="S52" s="11">
        <v>57922</v>
      </c>
      <c r="T52" s="17">
        <v>100</v>
      </c>
      <c r="U52" s="27">
        <f t="shared" si="2"/>
        <v>0.17264597216946928</v>
      </c>
      <c r="V52" t="str">
        <f t="shared" si="3"/>
        <v>Low</v>
      </c>
      <c r="W52" s="61">
        <f>IF(Table2[[#This Row],[Swipe Ups]]=0,0,Table2[[#This Row],[Amount Spent]]/Table2[[#This Row],[Swipe Ups]])</f>
        <v>1.1004</v>
      </c>
      <c r="X52" t="s">
        <v>408</v>
      </c>
    </row>
    <row r="53" spans="1:24" x14ac:dyDescent="0.25">
      <c r="A53" s="59" t="s">
        <v>140</v>
      </c>
      <c r="B53" s="8" t="s">
        <v>365</v>
      </c>
      <c r="C53" s="3" t="str">
        <f t="shared" si="1"/>
        <v>United Arab Emirates Target Group</v>
      </c>
      <c r="D53" s="3" t="s">
        <v>352</v>
      </c>
      <c r="E53" s="8" t="s">
        <v>391</v>
      </c>
      <c r="F53" s="3" t="s">
        <v>73</v>
      </c>
      <c r="G53" s="8" t="s">
        <v>60</v>
      </c>
      <c r="H53" s="3" t="s">
        <v>77</v>
      </c>
      <c r="I53" s="3" t="s">
        <v>74</v>
      </c>
      <c r="J53" s="3" t="s">
        <v>75</v>
      </c>
      <c r="K53" s="9">
        <v>82.73</v>
      </c>
      <c r="L53" s="10">
        <v>2.3E-3</v>
      </c>
      <c r="M53" s="11">
        <v>84751</v>
      </c>
      <c r="N53" s="10">
        <v>1.0396000000000001</v>
      </c>
      <c r="O53" s="10">
        <v>0.94</v>
      </c>
      <c r="P53" s="11">
        <v>2080</v>
      </c>
      <c r="Q53" s="11">
        <v>51</v>
      </c>
      <c r="R53" s="7">
        <f t="shared" si="4"/>
        <v>2.3606855067529225E-2</v>
      </c>
      <c r="S53" s="11">
        <v>88110</v>
      </c>
      <c r="T53" s="17">
        <v>202</v>
      </c>
      <c r="U53" s="27">
        <f t="shared" si="2"/>
        <v>0.22925888094427418</v>
      </c>
      <c r="V53" t="str">
        <f t="shared" si="3"/>
        <v>Low</v>
      </c>
      <c r="W53" s="61">
        <f>IF(Table2[[#This Row],[Swipe Ups]]=0,0,Table2[[#This Row],[Amount Spent]]/Table2[[#This Row],[Swipe Ups]])</f>
        <v>0.40955445544554459</v>
      </c>
      <c r="X53" t="s">
        <v>408</v>
      </c>
    </row>
    <row r="54" spans="1:24" x14ac:dyDescent="0.25">
      <c r="A54" s="59" t="s">
        <v>140</v>
      </c>
      <c r="B54" s="8" t="s">
        <v>365</v>
      </c>
      <c r="C54" s="3" t="str">
        <f t="shared" si="1"/>
        <v>United Arab Emirates Target Group</v>
      </c>
      <c r="D54" s="3" t="s">
        <v>353</v>
      </c>
      <c r="E54" s="8" t="s">
        <v>391</v>
      </c>
      <c r="F54" s="3" t="s">
        <v>73</v>
      </c>
      <c r="G54" s="8" t="s">
        <v>61</v>
      </c>
      <c r="H54" s="3" t="s">
        <v>78</v>
      </c>
      <c r="I54" s="3" t="s">
        <v>74</v>
      </c>
      <c r="J54" s="3" t="s">
        <v>75</v>
      </c>
      <c r="K54" s="9">
        <v>62.96</v>
      </c>
      <c r="L54" s="10">
        <v>2.5000000000000001E-3</v>
      </c>
      <c r="M54" s="11">
        <v>17927</v>
      </c>
      <c r="N54" s="10">
        <v>1.8926000000000001</v>
      </c>
      <c r="O54" s="10">
        <v>1.86</v>
      </c>
      <c r="P54" s="11">
        <v>6655</v>
      </c>
      <c r="Q54" s="11">
        <v>145</v>
      </c>
      <c r="R54" s="7">
        <f t="shared" si="4"/>
        <v>0.19614489080137934</v>
      </c>
      <c r="S54" s="11">
        <v>33929</v>
      </c>
      <c r="T54" s="17">
        <v>84</v>
      </c>
      <c r="U54" s="27">
        <f t="shared" si="2"/>
        <v>0.24757582009490406</v>
      </c>
      <c r="V54" t="str">
        <f t="shared" si="3"/>
        <v>Low</v>
      </c>
      <c r="W54" s="61">
        <f>IF(Table2[[#This Row],[Swipe Ups]]=0,0,Table2[[#This Row],[Amount Spent]]/Table2[[#This Row],[Swipe Ups]])</f>
        <v>0.74952380952380948</v>
      </c>
      <c r="X54" t="s">
        <v>408</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M2" sqref="M2"/>
    </sheetView>
  </sheetViews>
  <sheetFormatPr defaultRowHeight="15" x14ac:dyDescent="0.25"/>
  <cols>
    <col min="1" max="1" width="32.28515625" customWidth="1"/>
    <col min="2" max="2" width="20.5703125" customWidth="1"/>
    <col min="3" max="3" width="12.5703125" customWidth="1"/>
    <col min="4" max="4" width="10.85546875" customWidth="1"/>
    <col min="5" max="11" width="5.42578125" customWidth="1"/>
    <col min="12" max="23" width="7" customWidth="1"/>
    <col min="24" max="50" width="8" customWidth="1"/>
    <col min="51" max="73" width="9" customWidth="1"/>
  </cols>
  <sheetData>
    <row r="1" spans="1:16" ht="14.45" customHeight="1" x14ac:dyDescent="0.25">
      <c r="A1" s="87" t="s">
        <v>395</v>
      </c>
      <c r="B1" s="87"/>
      <c r="C1" s="87"/>
      <c r="D1" s="87"/>
      <c r="E1" s="86"/>
      <c r="F1" s="86"/>
      <c r="G1" s="86"/>
      <c r="H1" s="86"/>
      <c r="I1" s="86"/>
      <c r="J1" s="86"/>
      <c r="K1" s="86"/>
      <c r="L1" s="86"/>
      <c r="M1" s="86"/>
      <c r="N1" s="86"/>
      <c r="O1" s="86"/>
      <c r="P1" s="86"/>
    </row>
    <row r="2" spans="1:16" ht="14.45" customHeight="1" x14ac:dyDescent="0.25">
      <c r="A2" s="87"/>
      <c r="B2" s="87"/>
      <c r="C2" s="87"/>
      <c r="D2" s="87"/>
      <c r="E2" s="86"/>
      <c r="F2" s="86"/>
      <c r="G2" s="86"/>
      <c r="H2" s="86"/>
      <c r="I2" s="86"/>
      <c r="J2" s="86"/>
      <c r="K2" s="86"/>
      <c r="L2" s="86"/>
      <c r="M2" s="86"/>
      <c r="N2" s="86"/>
      <c r="O2" s="86"/>
      <c r="P2" s="86"/>
    </row>
    <row r="3" spans="1:16" x14ac:dyDescent="0.25">
      <c r="A3" s="87"/>
      <c r="B3" s="87"/>
      <c r="C3" s="87"/>
      <c r="D3" s="87"/>
      <c r="E3" s="86"/>
      <c r="F3" s="86"/>
      <c r="G3" s="86"/>
      <c r="H3" s="86"/>
      <c r="I3" s="86"/>
      <c r="J3" s="86"/>
      <c r="K3" s="86"/>
      <c r="L3" s="86"/>
      <c r="M3" s="86"/>
      <c r="N3" s="86"/>
      <c r="O3" s="86"/>
      <c r="P3" s="86"/>
    </row>
    <row r="4" spans="1:16" x14ac:dyDescent="0.25">
      <c r="B4" s="42"/>
      <c r="C4" s="42"/>
      <c r="D4" s="42"/>
      <c r="E4" s="42"/>
      <c r="F4" s="42"/>
      <c r="G4" s="42"/>
      <c r="H4" s="42"/>
      <c r="I4" s="42"/>
      <c r="J4" s="42"/>
      <c r="K4" s="42"/>
      <c r="L4" s="42"/>
      <c r="M4" s="42"/>
      <c r="N4" s="42"/>
      <c r="O4" s="42"/>
      <c r="P4" s="42"/>
    </row>
    <row r="5" spans="1:16" x14ac:dyDescent="0.25">
      <c r="A5" s="43" t="s">
        <v>396</v>
      </c>
      <c r="B5" t="s">
        <v>398</v>
      </c>
      <c r="C5" t="s">
        <v>399</v>
      </c>
      <c r="D5" t="s">
        <v>400</v>
      </c>
    </row>
    <row r="6" spans="1:16" x14ac:dyDescent="0.25">
      <c r="A6" s="44" t="s">
        <v>366</v>
      </c>
      <c r="B6" s="45">
        <v>11363327</v>
      </c>
      <c r="C6" s="45">
        <v>12769</v>
      </c>
      <c r="D6" s="46">
        <v>1.6865627566443293</v>
      </c>
    </row>
    <row r="7" spans="1:16" x14ac:dyDescent="0.25">
      <c r="A7" s="44" t="s">
        <v>369</v>
      </c>
      <c r="B7" s="45">
        <v>5882789</v>
      </c>
      <c r="C7" s="45">
        <v>6936</v>
      </c>
      <c r="D7" s="46">
        <v>1.4160161187009479</v>
      </c>
    </row>
    <row r="8" spans="1:16" x14ac:dyDescent="0.25">
      <c r="A8" s="44" t="s">
        <v>373</v>
      </c>
      <c r="B8" s="45">
        <v>56264</v>
      </c>
      <c r="C8" s="45">
        <v>131</v>
      </c>
      <c r="D8" s="46">
        <v>0.95322434763730512</v>
      </c>
    </row>
    <row r="9" spans="1:16" x14ac:dyDescent="0.25">
      <c r="A9" s="44" t="s">
        <v>367</v>
      </c>
      <c r="B9" s="45">
        <v>2098862</v>
      </c>
      <c r="C9" s="45">
        <v>3613</v>
      </c>
      <c r="D9" s="46">
        <v>0.79789079752708447</v>
      </c>
    </row>
    <row r="10" spans="1:16" x14ac:dyDescent="0.25">
      <c r="A10" s="44" t="s">
        <v>371</v>
      </c>
      <c r="B10" s="45">
        <v>4128788</v>
      </c>
      <c r="C10" s="45">
        <v>6429</v>
      </c>
      <c r="D10" s="46">
        <v>0.70750019970997746</v>
      </c>
    </row>
    <row r="11" spans="1:16" x14ac:dyDescent="0.25">
      <c r="A11" s="44" t="s">
        <v>372</v>
      </c>
      <c r="B11" s="45">
        <v>16873762</v>
      </c>
      <c r="C11" s="45">
        <v>31766</v>
      </c>
      <c r="D11" s="46">
        <v>0.6349689709493167</v>
      </c>
    </row>
    <row r="12" spans="1:16" x14ac:dyDescent="0.25">
      <c r="A12" s="44" t="s">
        <v>368</v>
      </c>
      <c r="B12" s="45">
        <v>15307011</v>
      </c>
      <c r="C12" s="45">
        <v>17744</v>
      </c>
      <c r="D12" s="46">
        <v>0.60332693073121102</v>
      </c>
    </row>
    <row r="13" spans="1:16" x14ac:dyDescent="0.25">
      <c r="A13" s="44" t="s">
        <v>370</v>
      </c>
      <c r="B13" s="45">
        <v>2567839</v>
      </c>
      <c r="C13" s="45">
        <v>0</v>
      </c>
      <c r="D13" s="46">
        <v>0</v>
      </c>
    </row>
    <row r="14" spans="1:16" x14ac:dyDescent="0.25">
      <c r="A14" s="44" t="s">
        <v>397</v>
      </c>
      <c r="B14" s="45">
        <v>58278642</v>
      </c>
      <c r="C14" s="45">
        <v>79388</v>
      </c>
      <c r="D14" s="46">
        <v>6.7994901219001713</v>
      </c>
    </row>
    <row r="16" spans="1:16" x14ac:dyDescent="0.25">
      <c r="B16" s="84" t="s">
        <v>411</v>
      </c>
    </row>
    <row r="17" spans="1:4" x14ac:dyDescent="0.25">
      <c r="A17" s="43" t="s">
        <v>396</v>
      </c>
      <c r="B17" t="s">
        <v>411</v>
      </c>
    </row>
    <row r="18" spans="1:4" x14ac:dyDescent="0.25">
      <c r="A18" s="44" t="s">
        <v>354</v>
      </c>
      <c r="B18" s="65">
        <v>0.48934720345805782</v>
      </c>
    </row>
    <row r="21" spans="1:4" x14ac:dyDescent="0.25">
      <c r="B21" s="84" t="s">
        <v>429</v>
      </c>
    </row>
    <row r="22" spans="1:4" x14ac:dyDescent="0.25">
      <c r="A22" t="s">
        <v>418</v>
      </c>
      <c r="B22" t="s">
        <v>399</v>
      </c>
      <c r="C22" t="s">
        <v>432</v>
      </c>
      <c r="D22" t="s">
        <v>425</v>
      </c>
    </row>
    <row r="23" spans="1:4" x14ac:dyDescent="0.25">
      <c r="A23" s="65">
        <v>52192.570000000007</v>
      </c>
      <c r="B23" s="65">
        <v>79388</v>
      </c>
      <c r="C23" s="65">
        <v>809425.58333333337</v>
      </c>
      <c r="D23" s="65">
        <v>40396558</v>
      </c>
    </row>
    <row r="25" spans="1:4" x14ac:dyDescent="0.25">
      <c r="B25" s="84" t="s">
        <v>446</v>
      </c>
    </row>
    <row r="26" spans="1:4" x14ac:dyDescent="0.25">
      <c r="A26" s="43" t="s">
        <v>396</v>
      </c>
      <c r="B26" t="s">
        <v>445</v>
      </c>
    </row>
    <row r="27" spans="1:4" x14ac:dyDescent="0.25">
      <c r="A27" s="44" t="s">
        <v>354</v>
      </c>
      <c r="B27" s="65">
        <v>6624087</v>
      </c>
    </row>
    <row r="28" spans="1:4" x14ac:dyDescent="0.25">
      <c r="A28" s="44"/>
      <c r="B28" s="65"/>
    </row>
    <row r="30" spans="1:4" x14ac:dyDescent="0.25">
      <c r="B30" s="84" t="s">
        <v>452</v>
      </c>
    </row>
    <row r="31" spans="1:4" x14ac:dyDescent="0.25">
      <c r="A31" s="43" t="s">
        <v>396</v>
      </c>
      <c r="B31" t="s">
        <v>399</v>
      </c>
    </row>
    <row r="32" spans="1:4" x14ac:dyDescent="0.25">
      <c r="A32" s="44" t="s">
        <v>354</v>
      </c>
      <c r="B32" s="70">
        <v>79388</v>
      </c>
    </row>
    <row r="33" spans="1:2" x14ac:dyDescent="0.25">
      <c r="A33" s="80" t="s">
        <v>77</v>
      </c>
      <c r="B33" s="70">
        <v>52696</v>
      </c>
    </row>
    <row r="34" spans="1:2" x14ac:dyDescent="0.25">
      <c r="A34" s="80" t="s">
        <v>78</v>
      </c>
      <c r="B34" s="70">
        <v>26692</v>
      </c>
    </row>
    <row r="35" spans="1:2" x14ac:dyDescent="0.25">
      <c r="A35" s="80"/>
      <c r="B35" s="70"/>
    </row>
    <row r="36" spans="1:2" x14ac:dyDescent="0.25">
      <c r="A36" s="80"/>
      <c r="B36" s="70"/>
    </row>
    <row r="37" spans="1:2" x14ac:dyDescent="0.25">
      <c r="A37" s="80"/>
      <c r="B37" s="85" t="s">
        <v>454</v>
      </c>
    </row>
    <row r="38" spans="1:2" x14ac:dyDescent="0.25">
      <c r="A38" s="43" t="s">
        <v>396</v>
      </c>
      <c r="B38" t="s">
        <v>425</v>
      </c>
    </row>
    <row r="39" spans="1:2" x14ac:dyDescent="0.25">
      <c r="A39" s="44" t="s">
        <v>354</v>
      </c>
      <c r="B39" s="70">
        <v>40396558</v>
      </c>
    </row>
    <row r="42" spans="1:2" x14ac:dyDescent="0.25">
      <c r="B42" s="84" t="s">
        <v>457</v>
      </c>
    </row>
    <row r="43" spans="1:2" x14ac:dyDescent="0.25">
      <c r="A43" s="82" t="s">
        <v>396</v>
      </c>
      <c r="B43" s="61" t="s">
        <v>455</v>
      </c>
    </row>
    <row r="44" spans="1:2" x14ac:dyDescent="0.25">
      <c r="A44" s="83" t="s">
        <v>354</v>
      </c>
      <c r="B44" s="61">
        <v>9.4437362804169048E-2</v>
      </c>
    </row>
    <row r="50" spans="1:2" x14ac:dyDescent="0.25">
      <c r="B50" s="84" t="s">
        <v>444</v>
      </c>
    </row>
    <row r="51" spans="1:2" x14ac:dyDescent="0.25">
      <c r="A51" s="43" t="s">
        <v>396</v>
      </c>
      <c r="B51" t="s">
        <v>418</v>
      </c>
    </row>
    <row r="52" spans="1:2" x14ac:dyDescent="0.25">
      <c r="A52" s="44" t="s">
        <v>435</v>
      </c>
      <c r="B52" s="65">
        <v>1027.3</v>
      </c>
    </row>
    <row r="53" spans="1:2" x14ac:dyDescent="0.25">
      <c r="A53" s="44" t="s">
        <v>436</v>
      </c>
      <c r="B53" s="65">
        <v>9672.0000000000018</v>
      </c>
    </row>
    <row r="54" spans="1:2" x14ac:dyDescent="0.25">
      <c r="A54" s="44" t="s">
        <v>437</v>
      </c>
      <c r="B54" s="65">
        <v>4955.0300000000016</v>
      </c>
    </row>
    <row r="55" spans="1:2" x14ac:dyDescent="0.25">
      <c r="A55" s="44" t="s">
        <v>438</v>
      </c>
      <c r="B55" s="65">
        <v>1031.32</v>
      </c>
    </row>
    <row r="56" spans="1:2" x14ac:dyDescent="0.25">
      <c r="A56" s="44" t="s">
        <v>439</v>
      </c>
      <c r="B56" s="65">
        <v>3130.51</v>
      </c>
    </row>
    <row r="57" spans="1:2" x14ac:dyDescent="0.25">
      <c r="A57" s="44" t="s">
        <v>440</v>
      </c>
      <c r="B57" s="65">
        <v>20588.279999999995</v>
      </c>
    </row>
    <row r="58" spans="1:2" x14ac:dyDescent="0.25">
      <c r="A58" s="44" t="s">
        <v>434</v>
      </c>
      <c r="B58" s="65">
        <v>11788.130000000003</v>
      </c>
    </row>
    <row r="65" spans="1:2" x14ac:dyDescent="0.25">
      <c r="B65" s="84" t="s">
        <v>460</v>
      </c>
    </row>
    <row r="66" spans="1:2" x14ac:dyDescent="0.25">
      <c r="A66" s="43" t="s">
        <v>2</v>
      </c>
      <c r="B66" t="s">
        <v>458</v>
      </c>
    </row>
    <row r="67" spans="1:2" x14ac:dyDescent="0.25">
      <c r="A67" s="44" t="s">
        <v>73</v>
      </c>
      <c r="B67" s="70">
        <v>50</v>
      </c>
    </row>
    <row r="68" spans="1:2" x14ac:dyDescent="0.25">
      <c r="A68" s="44" t="s">
        <v>130</v>
      </c>
      <c r="B68" s="70">
        <v>22</v>
      </c>
    </row>
  </sheetData>
  <mergeCells count="1">
    <mergeCell ref="A1:D3"/>
  </mergeCells>
  <pageMargins left="0.7" right="0.7" top="0.75" bottom="0.75" header="0.3" footer="0.3"/>
  <pageSetup orientation="portrait" horizontalDpi="4294967295" verticalDpi="4294967295"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workbookViewId="0">
      <selection activeCell="A71" sqref="A71"/>
    </sheetView>
  </sheetViews>
  <sheetFormatPr defaultRowHeight="15" x14ac:dyDescent="0.25"/>
  <cols>
    <col min="1" max="1" width="11.85546875" customWidth="1"/>
    <col min="2" max="2" width="14.5703125" customWidth="1"/>
    <col min="3" max="3" width="16.42578125" customWidth="1"/>
    <col min="4" max="4" width="13.7109375" customWidth="1"/>
    <col min="5" max="5" width="12.5703125" bestFit="1" customWidth="1"/>
  </cols>
  <sheetData>
    <row r="1" spans="1:2" x14ac:dyDescent="0.25">
      <c r="B1" s="84" t="s">
        <v>401</v>
      </c>
    </row>
    <row r="2" spans="1:2" x14ac:dyDescent="0.25">
      <c r="B2" s="84" t="s">
        <v>402</v>
      </c>
    </row>
    <row r="3" spans="1:2" x14ac:dyDescent="0.25">
      <c r="B3" s="84" t="s">
        <v>403</v>
      </c>
    </row>
    <row r="6" spans="1:2" x14ac:dyDescent="0.25">
      <c r="A6" s="43" t="s">
        <v>412</v>
      </c>
      <c r="B6" t="s">
        <v>416</v>
      </c>
    </row>
    <row r="7" spans="1:2" x14ac:dyDescent="0.25">
      <c r="A7" s="44" t="s">
        <v>414</v>
      </c>
      <c r="B7" s="64">
        <v>2.0489036953025404E-2</v>
      </c>
    </row>
    <row r="8" spans="1:2" x14ac:dyDescent="0.25">
      <c r="A8" s="44" t="s">
        <v>413</v>
      </c>
      <c r="B8" s="64">
        <v>7.2367013013206844E-3</v>
      </c>
    </row>
    <row r="9" spans="1:2" x14ac:dyDescent="0.25">
      <c r="A9" s="44" t="s">
        <v>397</v>
      </c>
      <c r="B9" s="64">
        <v>1.0715834765968704E-2</v>
      </c>
    </row>
    <row r="10" spans="1:2" x14ac:dyDescent="0.25">
      <c r="A10" s="44"/>
      <c r="B10" s="64"/>
    </row>
    <row r="11" spans="1:2" x14ac:dyDescent="0.25">
      <c r="A11" s="44"/>
      <c r="B11" s="64"/>
    </row>
    <row r="12" spans="1:2" x14ac:dyDescent="0.25">
      <c r="A12" s="44"/>
      <c r="B12" s="64"/>
    </row>
    <row r="13" spans="1:2" x14ac:dyDescent="0.25">
      <c r="A13" s="44"/>
      <c r="B13" s="64"/>
    </row>
    <row r="16" spans="1:2" x14ac:dyDescent="0.25">
      <c r="A16" s="43" t="s">
        <v>406</v>
      </c>
      <c r="B16" t="s">
        <v>411</v>
      </c>
    </row>
    <row r="17" spans="1:4" x14ac:dyDescent="0.25">
      <c r="A17" s="44" t="s">
        <v>407</v>
      </c>
      <c r="B17" s="64">
        <v>0.28352271228400477</v>
      </c>
    </row>
    <row r="19" spans="1:4" x14ac:dyDescent="0.25">
      <c r="B19" s="84" t="s">
        <v>428</v>
      </c>
    </row>
    <row r="20" spans="1:4" x14ac:dyDescent="0.25">
      <c r="A20" t="s">
        <v>419</v>
      </c>
      <c r="B20" t="s">
        <v>421</v>
      </c>
      <c r="C20" t="s">
        <v>431</v>
      </c>
      <c r="D20" t="s">
        <v>426</v>
      </c>
    </row>
    <row r="21" spans="1:4" x14ac:dyDescent="0.25">
      <c r="A21" s="64">
        <v>53113.53</v>
      </c>
      <c r="B21" s="64">
        <v>419081</v>
      </c>
      <c r="C21" s="64">
        <v>251058.02582159624</v>
      </c>
      <c r="D21" s="64">
        <v>33253030</v>
      </c>
    </row>
    <row r="22" spans="1:4" x14ac:dyDescent="0.25">
      <c r="A22" s="64"/>
      <c r="B22" s="64"/>
      <c r="C22" s="64"/>
      <c r="D22" s="64"/>
    </row>
    <row r="24" spans="1:4" x14ac:dyDescent="0.25">
      <c r="B24" s="84" t="s">
        <v>446</v>
      </c>
    </row>
    <row r="25" spans="1:4" x14ac:dyDescent="0.25">
      <c r="A25" s="43" t="s">
        <v>406</v>
      </c>
      <c r="B25" t="s">
        <v>447</v>
      </c>
    </row>
    <row r="26" spans="1:4" x14ac:dyDescent="0.25">
      <c r="A26" s="44" t="s">
        <v>407</v>
      </c>
      <c r="B26" s="64">
        <v>11087790</v>
      </c>
    </row>
    <row r="27" spans="1:4" x14ac:dyDescent="0.25">
      <c r="A27" s="44"/>
      <c r="B27" s="64"/>
    </row>
    <row r="28" spans="1:4" x14ac:dyDescent="0.25">
      <c r="A28" s="44"/>
      <c r="B28" s="84" t="s">
        <v>452</v>
      </c>
    </row>
    <row r="29" spans="1:4" x14ac:dyDescent="0.25">
      <c r="A29" s="43" t="s">
        <v>406</v>
      </c>
      <c r="B29" t="s">
        <v>421</v>
      </c>
    </row>
    <row r="30" spans="1:4" x14ac:dyDescent="0.25">
      <c r="A30" s="44" t="s">
        <v>407</v>
      </c>
      <c r="B30" s="64"/>
    </row>
    <row r="31" spans="1:4" x14ac:dyDescent="0.25">
      <c r="A31" s="80" t="s">
        <v>77</v>
      </c>
      <c r="B31" s="70">
        <v>317964</v>
      </c>
    </row>
    <row r="32" spans="1:4" x14ac:dyDescent="0.25">
      <c r="A32" s="80" t="s">
        <v>78</v>
      </c>
      <c r="B32" s="70">
        <v>101117</v>
      </c>
    </row>
    <row r="33" spans="1:2" x14ac:dyDescent="0.25">
      <c r="A33" s="80"/>
      <c r="B33" s="70"/>
    </row>
    <row r="34" spans="1:2" x14ac:dyDescent="0.25">
      <c r="A34" s="80"/>
      <c r="B34" s="85" t="s">
        <v>430</v>
      </c>
    </row>
    <row r="35" spans="1:2" x14ac:dyDescent="0.25">
      <c r="A35" s="43" t="s">
        <v>406</v>
      </c>
      <c r="B35" t="s">
        <v>426</v>
      </c>
    </row>
    <row r="36" spans="1:2" x14ac:dyDescent="0.25">
      <c r="A36" s="44" t="s">
        <v>407</v>
      </c>
      <c r="B36" s="70">
        <v>33253030</v>
      </c>
    </row>
    <row r="37" spans="1:2" x14ac:dyDescent="0.25">
      <c r="A37" s="44"/>
      <c r="B37" s="70"/>
    </row>
    <row r="38" spans="1:2" x14ac:dyDescent="0.25">
      <c r="A38" s="44"/>
      <c r="B38" s="85" t="s">
        <v>457</v>
      </c>
    </row>
    <row r="39" spans="1:2" x14ac:dyDescent="0.25">
      <c r="A39" s="82" t="s">
        <v>406</v>
      </c>
      <c r="B39" s="61" t="s">
        <v>456</v>
      </c>
    </row>
    <row r="40" spans="1:2" x14ac:dyDescent="0.25">
      <c r="A40" s="83" t="s">
        <v>407</v>
      </c>
      <c r="B40" s="61">
        <v>0.36528369792846449</v>
      </c>
    </row>
    <row r="43" spans="1:2" x14ac:dyDescent="0.25">
      <c r="B43" s="84" t="s">
        <v>443</v>
      </c>
    </row>
    <row r="44" spans="1:2" x14ac:dyDescent="0.25">
      <c r="A44" s="43" t="s">
        <v>406</v>
      </c>
      <c r="B44" t="s">
        <v>419</v>
      </c>
    </row>
    <row r="45" spans="1:2" x14ac:dyDescent="0.25">
      <c r="A45" s="44" t="s">
        <v>435</v>
      </c>
      <c r="B45" s="64">
        <v>2592.0300000000002</v>
      </c>
    </row>
    <row r="46" spans="1:2" x14ac:dyDescent="0.25">
      <c r="A46" s="44" t="s">
        <v>436</v>
      </c>
      <c r="B46" s="64">
        <v>7397.15</v>
      </c>
    </row>
    <row r="47" spans="1:2" x14ac:dyDescent="0.25">
      <c r="A47" s="44" t="s">
        <v>437</v>
      </c>
      <c r="B47" s="64">
        <v>6441.14</v>
      </c>
    </row>
    <row r="48" spans="1:2" x14ac:dyDescent="0.25">
      <c r="A48" s="44" t="s">
        <v>438</v>
      </c>
      <c r="B48" s="64">
        <v>2601.6999999999998</v>
      </c>
    </row>
    <row r="49" spans="1:2" x14ac:dyDescent="0.25">
      <c r="A49" s="44" t="s">
        <v>439</v>
      </c>
      <c r="B49" s="64">
        <v>3808.15</v>
      </c>
    </row>
    <row r="50" spans="1:2" x14ac:dyDescent="0.25">
      <c r="A50" s="44" t="s">
        <v>441</v>
      </c>
      <c r="B50" s="64">
        <v>15580.71</v>
      </c>
    </row>
    <row r="51" spans="1:2" x14ac:dyDescent="0.25">
      <c r="A51" s="44" t="s">
        <v>434</v>
      </c>
      <c r="B51" s="64">
        <v>14692.65</v>
      </c>
    </row>
    <row r="55" spans="1:2" x14ac:dyDescent="0.25">
      <c r="B55" s="84" t="s">
        <v>460</v>
      </c>
    </row>
    <row r="56" spans="1:2" x14ac:dyDescent="0.25">
      <c r="A56" s="43" t="s">
        <v>406</v>
      </c>
      <c r="B56" t="s">
        <v>459</v>
      </c>
    </row>
    <row r="57" spans="1:2" x14ac:dyDescent="0.25">
      <c r="A57" s="44" t="s">
        <v>130</v>
      </c>
      <c r="B57" s="70">
        <v>115</v>
      </c>
    </row>
    <row r="58" spans="1:2" x14ac:dyDescent="0.25">
      <c r="A58" s="44" t="s">
        <v>73</v>
      </c>
      <c r="B58" s="70">
        <v>311</v>
      </c>
    </row>
    <row r="69" spans="1:3" x14ac:dyDescent="0.25">
      <c r="B69" s="84" t="s">
        <v>461</v>
      </c>
    </row>
    <row r="70" spans="1:3" x14ac:dyDescent="0.25">
      <c r="A70" s="43" t="s">
        <v>406</v>
      </c>
      <c r="B70" t="s">
        <v>451</v>
      </c>
      <c r="C70" t="s">
        <v>421</v>
      </c>
    </row>
    <row r="71" spans="1:3" x14ac:dyDescent="0.25">
      <c r="A71" s="44" t="s">
        <v>355</v>
      </c>
      <c r="B71" s="70">
        <v>25697326</v>
      </c>
      <c r="C71" s="70">
        <v>97408</v>
      </c>
    </row>
    <row r="72" spans="1:3" x14ac:dyDescent="0.25">
      <c r="A72" s="44" t="s">
        <v>356</v>
      </c>
      <c r="B72" s="70">
        <v>6734331</v>
      </c>
      <c r="C72" s="70">
        <v>25975</v>
      </c>
    </row>
    <row r="73" spans="1:3" x14ac:dyDescent="0.25">
      <c r="A73" s="44" t="s">
        <v>357</v>
      </c>
      <c r="B73" s="70">
        <v>16954833</v>
      </c>
      <c r="C73" s="70">
        <v>69368</v>
      </c>
    </row>
    <row r="74" spans="1:3" x14ac:dyDescent="0.25">
      <c r="A74" s="44" t="s">
        <v>358</v>
      </c>
      <c r="B74" s="70">
        <v>14225287</v>
      </c>
      <c r="C74" s="70">
        <v>53632</v>
      </c>
    </row>
    <row r="75" spans="1:3" x14ac:dyDescent="0.25">
      <c r="A75" s="44" t="s">
        <v>359</v>
      </c>
      <c r="B75" s="70">
        <v>9667669</v>
      </c>
      <c r="C75" s="70">
        <v>34984</v>
      </c>
    </row>
    <row r="76" spans="1:3" x14ac:dyDescent="0.25">
      <c r="A76" s="44" t="s">
        <v>360</v>
      </c>
      <c r="B76" s="70">
        <v>10998366</v>
      </c>
      <c r="C76" s="70">
        <v>42010</v>
      </c>
    </row>
    <row r="77" spans="1:3" x14ac:dyDescent="0.25">
      <c r="A77" s="44" t="s">
        <v>361</v>
      </c>
      <c r="B77" s="70">
        <v>22672907</v>
      </c>
      <c r="C77" s="70">
        <v>95704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workbookViewId="0">
      <selection activeCell="D2" sqref="D2"/>
    </sheetView>
  </sheetViews>
  <sheetFormatPr defaultRowHeight="15" x14ac:dyDescent="0.25"/>
  <cols>
    <col min="1" max="1" width="11" customWidth="1"/>
    <col min="2" max="3" width="17.42578125" customWidth="1"/>
    <col min="4" max="4" width="27.140625" bestFit="1" customWidth="1"/>
    <col min="5" max="5" width="25.7109375" bestFit="1" customWidth="1"/>
  </cols>
  <sheetData>
    <row r="2" spans="1:4" x14ac:dyDescent="0.25">
      <c r="B2" s="84" t="s">
        <v>409</v>
      </c>
    </row>
    <row r="3" spans="1:4" x14ac:dyDescent="0.25">
      <c r="A3" s="43" t="s">
        <v>410</v>
      </c>
      <c r="B3" t="s">
        <v>411</v>
      </c>
    </row>
    <row r="4" spans="1:4" x14ac:dyDescent="0.25">
      <c r="A4" s="44" t="s">
        <v>408</v>
      </c>
      <c r="B4" s="65">
        <v>0.47234362088047738</v>
      </c>
    </row>
    <row r="5" spans="1:4" x14ac:dyDescent="0.25">
      <c r="B5" s="65"/>
    </row>
    <row r="6" spans="1:4" x14ac:dyDescent="0.25">
      <c r="B6" s="84" t="s">
        <v>427</v>
      </c>
    </row>
    <row r="7" spans="1:4" x14ac:dyDescent="0.25">
      <c r="A7" t="s">
        <v>418</v>
      </c>
      <c r="B7" t="s">
        <v>422</v>
      </c>
      <c r="C7" t="s">
        <v>425</v>
      </c>
      <c r="D7" t="s">
        <v>432</v>
      </c>
    </row>
    <row r="8" spans="1:4" x14ac:dyDescent="0.25">
      <c r="A8" s="65">
        <v>23049.200000000004</v>
      </c>
      <c r="B8" s="65">
        <v>54794</v>
      </c>
      <c r="C8" s="65">
        <v>12654659</v>
      </c>
      <c r="D8" s="65">
        <v>316105.75471698114</v>
      </c>
    </row>
    <row r="11" spans="1:4" x14ac:dyDescent="0.25">
      <c r="B11" s="84" t="s">
        <v>446</v>
      </c>
    </row>
    <row r="12" spans="1:4" x14ac:dyDescent="0.25">
      <c r="A12" s="43" t="s">
        <v>410</v>
      </c>
      <c r="B12" t="s">
        <v>445</v>
      </c>
    </row>
    <row r="13" spans="1:4" x14ac:dyDescent="0.25">
      <c r="A13" s="44" t="s">
        <v>408</v>
      </c>
      <c r="B13" s="65">
        <v>1795846</v>
      </c>
    </row>
    <row r="14" spans="1:4" x14ac:dyDescent="0.25">
      <c r="A14" s="44"/>
      <c r="B14" s="65"/>
    </row>
    <row r="15" spans="1:4" x14ac:dyDescent="0.25">
      <c r="A15" s="44"/>
      <c r="B15" s="84" t="s">
        <v>452</v>
      </c>
    </row>
    <row r="16" spans="1:4" x14ac:dyDescent="0.25">
      <c r="A16" s="43" t="s">
        <v>410</v>
      </c>
      <c r="B16" t="s">
        <v>422</v>
      </c>
    </row>
    <row r="17" spans="1:2" x14ac:dyDescent="0.25">
      <c r="A17" s="44" t="s">
        <v>408</v>
      </c>
      <c r="B17" s="65">
        <v>54794</v>
      </c>
    </row>
    <row r="18" spans="1:2" x14ac:dyDescent="0.25">
      <c r="A18" s="80" t="s">
        <v>77</v>
      </c>
      <c r="B18" s="70">
        <v>42847</v>
      </c>
    </row>
    <row r="19" spans="1:2" x14ac:dyDescent="0.25">
      <c r="A19" s="80" t="s">
        <v>78</v>
      </c>
      <c r="B19" s="70">
        <v>11947</v>
      </c>
    </row>
    <row r="20" spans="1:2" x14ac:dyDescent="0.25">
      <c r="A20" s="80"/>
      <c r="B20" s="70"/>
    </row>
    <row r="21" spans="1:2" x14ac:dyDescent="0.25">
      <c r="A21" s="80"/>
      <c r="B21" s="85" t="s">
        <v>430</v>
      </c>
    </row>
    <row r="22" spans="1:2" x14ac:dyDescent="0.25">
      <c r="A22" s="43" t="s">
        <v>410</v>
      </c>
      <c r="B22" t="s">
        <v>425</v>
      </c>
    </row>
    <row r="23" spans="1:2" x14ac:dyDescent="0.25">
      <c r="A23" s="44" t="s">
        <v>408</v>
      </c>
      <c r="B23" s="70">
        <v>12654659</v>
      </c>
    </row>
    <row r="24" spans="1:2" x14ac:dyDescent="0.25">
      <c r="A24" s="44"/>
      <c r="B24" s="70"/>
    </row>
    <row r="25" spans="1:2" x14ac:dyDescent="0.25">
      <c r="A25" s="44"/>
      <c r="B25" s="85" t="s">
        <v>457</v>
      </c>
    </row>
    <row r="26" spans="1:2" x14ac:dyDescent="0.25">
      <c r="A26" s="82" t="s">
        <v>410</v>
      </c>
      <c r="B26" s="61" t="s">
        <v>455</v>
      </c>
    </row>
    <row r="27" spans="1:2" x14ac:dyDescent="0.25">
      <c r="A27" s="83" t="s">
        <v>408</v>
      </c>
      <c r="B27" s="61">
        <v>0.35372972080900511</v>
      </c>
    </row>
    <row r="29" spans="1:2" ht="22.9" customHeight="1" x14ac:dyDescent="0.25">
      <c r="B29" s="84" t="s">
        <v>442</v>
      </c>
    </row>
    <row r="30" spans="1:2" x14ac:dyDescent="0.25">
      <c r="A30" s="43" t="s">
        <v>410</v>
      </c>
      <c r="B30" t="s">
        <v>418</v>
      </c>
    </row>
    <row r="31" spans="1:2" x14ac:dyDescent="0.25">
      <c r="A31" s="44" t="s">
        <v>436</v>
      </c>
      <c r="B31" s="65">
        <v>6353.75</v>
      </c>
    </row>
    <row r="32" spans="1:2" x14ac:dyDescent="0.25">
      <c r="A32" s="44" t="s">
        <v>437</v>
      </c>
      <c r="B32" s="65">
        <v>3740.4399999999996</v>
      </c>
    </row>
    <row r="33" spans="1:3" x14ac:dyDescent="0.25">
      <c r="A33" s="44" t="s">
        <v>439</v>
      </c>
      <c r="B33" s="65">
        <v>1462.71</v>
      </c>
    </row>
    <row r="34" spans="1:3" x14ac:dyDescent="0.25">
      <c r="A34" s="44" t="s">
        <v>441</v>
      </c>
      <c r="B34" s="65">
        <v>10953.659999999998</v>
      </c>
    </row>
    <row r="35" spans="1:3" x14ac:dyDescent="0.25">
      <c r="A35" s="44" t="s">
        <v>434</v>
      </c>
      <c r="B35" s="65">
        <v>538.6400000000001</v>
      </c>
    </row>
    <row r="39" spans="1:3" x14ac:dyDescent="0.25">
      <c r="B39" s="84" t="s">
        <v>461</v>
      </c>
    </row>
    <row r="40" spans="1:3" x14ac:dyDescent="0.25">
      <c r="A40" s="43" t="s">
        <v>410</v>
      </c>
      <c r="B40" t="s">
        <v>422</v>
      </c>
      <c r="C40" t="s">
        <v>398</v>
      </c>
    </row>
    <row r="41" spans="1:3" x14ac:dyDescent="0.25">
      <c r="A41" s="44" t="s">
        <v>436</v>
      </c>
      <c r="B41" s="70">
        <v>16826</v>
      </c>
      <c r="C41" s="70">
        <v>5077886</v>
      </c>
    </row>
    <row r="42" spans="1:3" x14ac:dyDescent="0.25">
      <c r="A42" s="44" t="s">
        <v>437</v>
      </c>
      <c r="B42" s="70">
        <v>9270</v>
      </c>
      <c r="C42" s="70">
        <v>2236613</v>
      </c>
    </row>
    <row r="43" spans="1:3" x14ac:dyDescent="0.25">
      <c r="A43" s="44" t="s">
        <v>439</v>
      </c>
      <c r="B43" s="70">
        <v>2328</v>
      </c>
      <c r="C43" s="70">
        <v>752485</v>
      </c>
    </row>
    <row r="44" spans="1:3" x14ac:dyDescent="0.25">
      <c r="A44" s="44" t="s">
        <v>441</v>
      </c>
      <c r="B44" s="70">
        <v>25351</v>
      </c>
      <c r="C44" s="70">
        <v>8238747</v>
      </c>
    </row>
    <row r="45" spans="1:3" x14ac:dyDescent="0.25">
      <c r="A45" s="44" t="s">
        <v>434</v>
      </c>
      <c r="B45" s="70">
        <v>1019</v>
      </c>
      <c r="C45" s="70">
        <v>447874</v>
      </c>
    </row>
    <row r="56" spans="1:2" x14ac:dyDescent="0.25">
      <c r="A56" s="43" t="s">
        <v>410</v>
      </c>
      <c r="B56" t="s">
        <v>458</v>
      </c>
    </row>
    <row r="57" spans="1:2" x14ac:dyDescent="0.25">
      <c r="A57" s="44" t="s">
        <v>130</v>
      </c>
      <c r="B57" s="70">
        <v>16</v>
      </c>
    </row>
    <row r="58" spans="1:2" x14ac:dyDescent="0.25">
      <c r="A58" s="44" t="s">
        <v>73</v>
      </c>
      <c r="B58" s="70">
        <v>37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B52" sqref="B52"/>
    </sheetView>
  </sheetViews>
  <sheetFormatPr defaultRowHeight="15" x14ac:dyDescent="0.25"/>
  <cols>
    <col min="1" max="1" width="11.7109375" customWidth="1"/>
    <col min="2" max="2" width="17.7109375" customWidth="1"/>
    <col min="3" max="3" width="13" customWidth="1"/>
    <col min="4" max="4" width="16.7109375" customWidth="1"/>
    <col min="5" max="5" width="15.28515625" customWidth="1"/>
  </cols>
  <sheetData>
    <row r="1" spans="1:5" ht="21" x14ac:dyDescent="0.35">
      <c r="A1" s="74" t="s">
        <v>409</v>
      </c>
    </row>
    <row r="2" spans="1:5" x14ac:dyDescent="0.25">
      <c r="A2" t="s">
        <v>406</v>
      </c>
      <c r="B2" t="s">
        <v>409</v>
      </c>
    </row>
    <row r="3" spans="1:5" x14ac:dyDescent="0.25">
      <c r="A3" t="s">
        <v>354</v>
      </c>
      <c r="B3" s="65">
        <f>GETPIVOTDATA("CPC",Tiktok_pivot_table!$A$17,"Platform","TikTok")</f>
        <v>0.48934720345805782</v>
      </c>
    </row>
    <row r="4" spans="1:5" x14ac:dyDescent="0.25">
      <c r="A4" t="s">
        <v>407</v>
      </c>
      <c r="B4" s="65">
        <f>GETPIVOTDATA("[Measures].[Average of CPC]",meta_pivot!$A$16,"[Range].[Platform]","[Range].[Platform].&amp;[Meta]")</f>
        <v>0.28352271228400477</v>
      </c>
    </row>
    <row r="5" spans="1:5" x14ac:dyDescent="0.25">
      <c r="A5" t="s">
        <v>408</v>
      </c>
      <c r="B5" s="65">
        <f>GETPIVOTDATA("CPC",snap_pivot!$A$3,"Platform","Snapchat")</f>
        <v>0.47234362088047738</v>
      </c>
    </row>
    <row r="11" spans="1:5" ht="21" x14ac:dyDescent="0.35">
      <c r="A11" s="74" t="s">
        <v>424</v>
      </c>
    </row>
    <row r="12" spans="1:5" x14ac:dyDescent="0.25">
      <c r="A12" s="79" t="s">
        <v>406</v>
      </c>
      <c r="B12" s="79" t="s">
        <v>417</v>
      </c>
      <c r="C12" s="79" t="s">
        <v>423</v>
      </c>
      <c r="D12" s="79" t="s">
        <v>433</v>
      </c>
      <c r="E12" s="79" t="s">
        <v>430</v>
      </c>
    </row>
    <row r="13" spans="1:5" x14ac:dyDescent="0.25">
      <c r="A13" s="66" t="s">
        <v>354</v>
      </c>
      <c r="B13" s="71">
        <f>GETPIVOTDATA("Amount Spent",Tiktok_pivot_table!$A$22)</f>
        <v>52192.570000000007</v>
      </c>
      <c r="C13" s="73">
        <f>GETPIVOTDATA("Sum of Clicks",Tiktok_pivot_table!$A$22)</f>
        <v>79388</v>
      </c>
      <c r="D13" s="73">
        <f>GETPIVOTDATA("Average of Total Impressions",Tiktok_pivot_table!$A$22)</f>
        <v>809425.58333333337</v>
      </c>
      <c r="E13" s="70">
        <f>GETPIVOTDATA("Sum of Paid Reach",Tiktok_pivot_table!$A$22)</f>
        <v>40396558</v>
      </c>
    </row>
    <row r="14" spans="1:5" x14ac:dyDescent="0.25">
      <c r="A14" s="67" t="s">
        <v>407</v>
      </c>
      <c r="B14" s="72">
        <f>GETPIVOTDATA("[Measures].[Sum of Amount spent]",meta_pivot!$A$20)</f>
        <v>53113.53</v>
      </c>
      <c r="C14" s="73">
        <f>GETPIVOTDATA("[Measures].[Sum of Link clicks]",meta_pivot!$A$20)</f>
        <v>419081</v>
      </c>
      <c r="D14" s="73">
        <f>GETPIVOTDATA("[Measures].[Average of Impressions]",meta_pivot!$A$20)</f>
        <v>251058.02582159624</v>
      </c>
      <c r="E14" s="70">
        <f>GETPIVOTDATA("[Measures].[Sum of Reach]",meta_pivot!$A$20)</f>
        <v>33253030</v>
      </c>
    </row>
    <row r="15" spans="1:5" x14ac:dyDescent="0.25">
      <c r="A15" s="66" t="s">
        <v>408</v>
      </c>
      <c r="B15" s="71">
        <f>GETPIVOTDATA("Amount Spent",snap_pivot!$A$7)</f>
        <v>23049.200000000004</v>
      </c>
      <c r="C15" s="73">
        <f>GETPIVOTDATA("Sum of Swipe Ups",snap_pivot!$A$7)</f>
        <v>54794</v>
      </c>
      <c r="D15" s="73">
        <f>GETPIVOTDATA("Average of Total Impressions",snap_pivot!$A$7)</f>
        <v>316105.75471698114</v>
      </c>
      <c r="E15" s="70">
        <f>GETPIVOTDATA("Sum of Paid Reach",snap_pivot!$A$7)</f>
        <v>12654659</v>
      </c>
    </row>
    <row r="16" spans="1:5" x14ac:dyDescent="0.25">
      <c r="A16" s="69" t="s">
        <v>420</v>
      </c>
      <c r="B16" s="75">
        <f>SUM(B13,B14,B15)</f>
        <v>128355.30000000002</v>
      </c>
      <c r="C16" s="76">
        <f>SUM(C13,C14,C15)</f>
        <v>553263</v>
      </c>
      <c r="D16" s="76">
        <f>AVERAGE(D13,D14,,D15)</f>
        <v>344147.34096797771</v>
      </c>
      <c r="E16" s="76">
        <f>SUM(E13,E14,,E15)</f>
        <v>86304247</v>
      </c>
    </row>
    <row r="19" spans="1:3" ht="21" x14ac:dyDescent="0.35">
      <c r="A19" s="74" t="s">
        <v>462</v>
      </c>
    </row>
    <row r="20" spans="1:3" x14ac:dyDescent="0.25">
      <c r="A20" t="s">
        <v>406</v>
      </c>
      <c r="B20" s="77" t="s">
        <v>448</v>
      </c>
    </row>
    <row r="21" spans="1:3" x14ac:dyDescent="0.25">
      <c r="A21" s="66" t="s">
        <v>354</v>
      </c>
      <c r="B21" s="78">
        <f>GETPIVOTDATA("2 Second Video Views",Tiktok_pivot_table!$A$26,"Platform","TikTok")</f>
        <v>6624087</v>
      </c>
    </row>
    <row r="22" spans="1:3" x14ac:dyDescent="0.25">
      <c r="A22" s="67" t="s">
        <v>407</v>
      </c>
      <c r="B22" s="78">
        <f>GETPIVOTDATA("[Measures].[Sum of 3-second video plays]",meta_pivot!$A$25,"[Range].[Platform]","[Range].[Platform].&amp;[Meta]")</f>
        <v>11087790</v>
      </c>
    </row>
    <row r="23" spans="1:3" x14ac:dyDescent="0.25">
      <c r="A23" s="66" t="s">
        <v>408</v>
      </c>
      <c r="B23" s="78">
        <f>GETPIVOTDATA("2 Second Video Views",snap_pivot!$A$12,"Platform","Snapchat")</f>
        <v>1795846</v>
      </c>
    </row>
    <row r="29" spans="1:3" ht="21" x14ac:dyDescent="0.35">
      <c r="A29" s="74" t="s">
        <v>453</v>
      </c>
    </row>
    <row r="30" spans="1:3" x14ac:dyDescent="0.25">
      <c r="A30" t="s">
        <v>406</v>
      </c>
      <c r="B30" s="77" t="s">
        <v>449</v>
      </c>
      <c r="C30" s="77" t="s">
        <v>450</v>
      </c>
    </row>
    <row r="31" spans="1:3" x14ac:dyDescent="0.25">
      <c r="A31" s="66" t="s">
        <v>354</v>
      </c>
      <c r="B31" s="45">
        <f>GETPIVOTDATA("Clicks",Tiktok_pivot_table!$A$31,"Language ","AR","Platform","TikTok")</f>
        <v>52696</v>
      </c>
      <c r="C31">
        <f>GETPIVOTDATA("Clicks",Tiktok_pivot_table!$A$31,"Language ","EN","Platform","TikTok")</f>
        <v>26692</v>
      </c>
    </row>
    <row r="32" spans="1:3" x14ac:dyDescent="0.25">
      <c r="A32" s="67" t="s">
        <v>407</v>
      </c>
      <c r="B32" s="45">
        <f>GETPIVOTDATA("[Measures].[Sum of Link clicks]",meta_pivot!$A$29,"[Range].[Platform]","[Range].[Platform].&amp;[Meta]","[Range].[Language]","[Range].[Language].&amp;[AR]")</f>
        <v>317964</v>
      </c>
      <c r="C32">
        <f>GETPIVOTDATA("[Measures].[Sum of Link clicks]",meta_pivot!$A$29,"[Range].[Platform]","[Range].[Platform].&amp;[Meta]","[Range].[Language]","[Range].[Language].&amp;[EN]")</f>
        <v>101117</v>
      </c>
    </row>
    <row r="33" spans="1:3" x14ac:dyDescent="0.25">
      <c r="A33" s="66" t="s">
        <v>408</v>
      </c>
      <c r="B33" s="45">
        <f>GETPIVOTDATA("Sum of Swipe Ups",snap_pivot!$A$16,"Language","AR","Platform","Snapchat")</f>
        <v>42847</v>
      </c>
      <c r="C33">
        <f>GETPIVOTDATA("Sum of Swipe Ups",snap_pivot!$A$16,"Language","EN","Platform","Snapchat")</f>
        <v>11947</v>
      </c>
    </row>
    <row r="39" spans="1:3" ht="21" x14ac:dyDescent="0.35">
      <c r="A39" s="74" t="s">
        <v>430</v>
      </c>
    </row>
    <row r="40" spans="1:3" x14ac:dyDescent="0.25">
      <c r="A40" t="s">
        <v>406</v>
      </c>
      <c r="B40" s="77" t="s">
        <v>8</v>
      </c>
    </row>
    <row r="41" spans="1:3" x14ac:dyDescent="0.25">
      <c r="A41" s="66" t="s">
        <v>354</v>
      </c>
      <c r="B41" s="78">
        <f>GETPIVOTDATA("Paid Reach",Tiktok_pivot_table!$A$38,"Platform","TikTok")</f>
        <v>40396558</v>
      </c>
    </row>
    <row r="42" spans="1:3" x14ac:dyDescent="0.25">
      <c r="A42" s="67" t="s">
        <v>407</v>
      </c>
      <c r="B42" s="78">
        <f>GETPIVOTDATA("[Measures].[Sum of Reach]",meta_pivot!$A$35,"[Range].[Platform]","[Range].[Platform].&amp;[Meta]")</f>
        <v>33253030</v>
      </c>
    </row>
    <row r="43" spans="1:3" x14ac:dyDescent="0.25">
      <c r="A43" s="66" t="s">
        <v>408</v>
      </c>
      <c r="B43" s="78">
        <f>GETPIVOTDATA("Paid Reach",snap_pivot!$A$22,"Platform","Snapchat")</f>
        <v>12654659</v>
      </c>
    </row>
    <row r="48" spans="1:3" ht="21" x14ac:dyDescent="0.35">
      <c r="A48" s="74" t="s">
        <v>457</v>
      </c>
    </row>
    <row r="49" spans="1:2" x14ac:dyDescent="0.25">
      <c r="A49" t="s">
        <v>406</v>
      </c>
      <c r="B49" s="77" t="s">
        <v>457</v>
      </c>
    </row>
    <row r="50" spans="1:2" x14ac:dyDescent="0.25">
      <c r="A50" s="66" t="s">
        <v>354</v>
      </c>
      <c r="B50" s="65">
        <f>GETPIVOTDATA("CTR",Tiktok_pivot_table!$A$43,"Platform","TikTok")</f>
        <v>9.4437362804169048E-2</v>
      </c>
    </row>
    <row r="51" spans="1:2" x14ac:dyDescent="0.25">
      <c r="A51" s="67" t="s">
        <v>407</v>
      </c>
      <c r="B51" s="65">
        <f>GETPIVOTDATA("[Measures].[Average of CTR (all)]",meta_pivot!$A$39,"[Range].[Platform]","[Range].[Platform].&amp;[Meta]")</f>
        <v>0.36528369792846449</v>
      </c>
    </row>
    <row r="52" spans="1:2" x14ac:dyDescent="0.25">
      <c r="A52" s="66" t="s">
        <v>408</v>
      </c>
      <c r="B52" s="65">
        <f>GETPIVOTDATA("CTR",snap_pivot!$A$26,"Platform","Snapchat")</f>
        <v>0.35372972080900511</v>
      </c>
    </row>
  </sheetData>
  <pageMargins left="0.7" right="0.7" top="0.75" bottom="0.75" header="0.3" footer="0.3"/>
  <pageSetup orientation="portrait" horizontalDpi="4294967295" verticalDpi="4294967295" r:id="rId1"/>
  <ignoredErrors>
    <ignoredError sqref="B22:B23 B31:B33 C32:C33 B41:B43 B50:B52" calculatedColumn="1"/>
  </ignoredErrors>
  <drawing r:id="rId2"/>
  <tableParts count="6">
    <tablePart r:id="rId3"/>
    <tablePart r:id="rId4"/>
    <tablePart r:id="rId5"/>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3" sqref="P3"/>
    </sheetView>
  </sheetViews>
  <sheetFormatPr defaultRowHeight="15" x14ac:dyDescent="0.25"/>
  <sheetData>
    <row r="1" ht="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2" sqref="P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Tiktok Raw - Data</vt:lpstr>
      <vt:lpstr>Meta - Raw Data</vt:lpstr>
      <vt:lpstr>Snapchat - Raw Data</vt:lpstr>
      <vt:lpstr>Tiktok_pivot_table</vt:lpstr>
      <vt:lpstr>meta_pivot</vt:lpstr>
      <vt:lpstr>snap_pivot</vt:lpstr>
      <vt:lpstr>Master Sheet</vt:lpstr>
      <vt:lpstr>Dashboard</vt:lpstr>
      <vt:lpstr>tiktok_dashboard</vt:lpstr>
      <vt:lpstr>meta dashboard</vt:lpstr>
      <vt:lpstr>snap_dashboard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 Naseem</dc:creator>
  <cp:lastModifiedBy>DELL</cp:lastModifiedBy>
  <dcterms:created xsi:type="dcterms:W3CDTF">2023-04-26T06:21:32Z</dcterms:created>
  <dcterms:modified xsi:type="dcterms:W3CDTF">2024-09-05T16:26:58Z</dcterms:modified>
</cp:coreProperties>
</file>