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13_ncr:1_{63ECEAF5-CE7E-4AAA-B731-8456F367BED0}" xr6:coauthVersionLast="46" xr6:coauthVersionMax="46" xr10:uidLastSave="{00000000-0000-0000-0000-000000000000}"/>
  <bookViews>
    <workbookView xWindow="32295" yWindow="1050" windowWidth="23220" windowHeight="12945" xr2:uid="{29B30E28-0AA7-482C-93FA-8CFB34721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H38" i="1"/>
  <c r="F38" i="1"/>
  <c r="D38" i="1"/>
  <c r="B33" i="1"/>
  <c r="J20" i="1"/>
  <c r="H17" i="1"/>
  <c r="J37" i="1"/>
  <c r="H37" i="1"/>
  <c r="D37" i="1"/>
  <c r="F37" i="1"/>
  <c r="H33" i="1"/>
  <c r="H32" i="1"/>
  <c r="H31" i="1"/>
  <c r="H30" i="1"/>
  <c r="H29" i="1"/>
  <c r="F29" i="1"/>
  <c r="F30" i="1"/>
  <c r="F31" i="1"/>
  <c r="F32" i="1"/>
  <c r="F33" i="1"/>
  <c r="D29" i="1"/>
  <c r="D30" i="1"/>
  <c r="D31" i="1"/>
  <c r="D32" i="1"/>
  <c r="D33" i="1"/>
  <c r="J29" i="1"/>
  <c r="J30" i="1"/>
  <c r="J31" i="1"/>
  <c r="J32" i="1"/>
  <c r="J33" i="1"/>
  <c r="J28" i="1"/>
  <c r="H28" i="1"/>
  <c r="F28" i="1"/>
  <c r="D28" i="1"/>
  <c r="G20" i="1"/>
  <c r="F20" i="1"/>
  <c r="I16" i="1"/>
  <c r="H16" i="1"/>
  <c r="D16" i="1"/>
  <c r="F16" i="1" s="1"/>
  <c r="F6" i="1"/>
  <c r="J6" i="1" s="1"/>
  <c r="M6" i="1" s="1"/>
  <c r="N6" i="1" s="1"/>
  <c r="L6" i="1"/>
  <c r="H4" i="1"/>
  <c r="G4" i="1"/>
  <c r="E5" i="1"/>
  <c r="M7" i="1"/>
  <c r="N7" i="1" s="1"/>
  <c r="K3" i="1"/>
  <c r="K4" i="1"/>
  <c r="K7" i="1"/>
  <c r="L3" i="1"/>
  <c r="L4" i="1"/>
  <c r="L7" i="1"/>
  <c r="M3" i="1"/>
  <c r="M4" i="1"/>
  <c r="N4" i="1" s="1"/>
  <c r="N3" i="1"/>
  <c r="N2" i="1"/>
  <c r="L2" i="1"/>
  <c r="K2" i="1"/>
  <c r="J3" i="1"/>
  <c r="J4" i="1"/>
  <c r="I3" i="1"/>
  <c r="I4" i="1"/>
  <c r="M2" i="1"/>
  <c r="F2" i="1"/>
  <c r="J2" i="1" s="1"/>
  <c r="A6" i="1"/>
  <c r="D4" i="1" s="1"/>
  <c r="E4" i="1" s="1"/>
  <c r="A4" i="1"/>
  <c r="D2" i="1"/>
  <c r="D10" i="1" s="1"/>
  <c r="J34" i="1" l="1"/>
  <c r="J36" i="1" s="1"/>
  <c r="D34" i="1"/>
  <c r="D36" i="1" s="1"/>
  <c r="F34" i="1"/>
  <c r="F36" i="1" s="1"/>
  <c r="D39" i="1"/>
  <c r="D40" i="1" s="1"/>
  <c r="D41" i="1" s="1"/>
  <c r="D42" i="1" s="1"/>
  <c r="D43" i="1" s="1"/>
  <c r="H34" i="1"/>
  <c r="H39" i="1" s="1"/>
  <c r="H40" i="1" s="1"/>
  <c r="H41" i="1" s="1"/>
  <c r="H42" i="1" s="1"/>
  <c r="H43" i="1" s="1"/>
  <c r="H36" i="1"/>
  <c r="G6" i="1"/>
  <c r="H6" i="1" s="1"/>
  <c r="I6" i="1"/>
  <c r="I5" i="1"/>
  <c r="K5" i="1" s="1"/>
  <c r="F5" i="1"/>
  <c r="G5" i="1" s="1"/>
  <c r="H5" i="1" s="1"/>
  <c r="G2" i="1"/>
  <c r="H2" i="1" s="1"/>
  <c r="C3" i="1"/>
  <c r="E3" i="1"/>
  <c r="F3" i="1"/>
  <c r="F4" i="1"/>
  <c r="I2" i="1"/>
  <c r="C2" i="1"/>
  <c r="J39" i="1" l="1"/>
  <c r="J40" i="1" s="1"/>
  <c r="J41" i="1" s="1"/>
  <c r="J42" i="1" s="1"/>
  <c r="J43" i="1" s="1"/>
  <c r="F39" i="1"/>
  <c r="F40" i="1" s="1"/>
  <c r="F41" i="1" s="1"/>
  <c r="F42" i="1" s="1"/>
  <c r="F43" i="1" s="1"/>
  <c r="K6" i="1"/>
  <c r="J5" i="1"/>
  <c r="M5" i="1" s="1"/>
  <c r="N5" i="1" s="1"/>
  <c r="L5" i="1"/>
  <c r="G3" i="1"/>
  <c r="H3" i="1" s="1"/>
</calcChain>
</file>

<file path=xl/sharedStrings.xml><?xml version="1.0" encoding="utf-8"?>
<sst xmlns="http://schemas.openxmlformats.org/spreadsheetml/2006/main" count="54" uniqueCount="41">
  <si>
    <t>l</t>
  </si>
  <si>
    <t>b</t>
  </si>
  <si>
    <t>h</t>
  </si>
  <si>
    <t>V</t>
  </si>
  <si>
    <t>Vsqrt3</t>
  </si>
  <si>
    <t>Vsanity</t>
  </si>
  <si>
    <t>l/b</t>
  </si>
  <si>
    <t>sqrt2</t>
  </si>
  <si>
    <t>b/h</t>
  </si>
  <si>
    <t>%</t>
  </si>
  <si>
    <t>C0</t>
  </si>
  <si>
    <t>m</t>
  </si>
  <si>
    <t>n</t>
  </si>
  <si>
    <t>p</t>
  </si>
  <si>
    <t>f0=</t>
  </si>
  <si>
    <t>Vgen</t>
  </si>
  <si>
    <t>Vdiff</t>
  </si>
  <si>
    <t>diff sqrt l/b</t>
  </si>
  <si>
    <t>diff sqrt b/h</t>
  </si>
  <si>
    <t>S</t>
  </si>
  <si>
    <t>T</t>
  </si>
  <si>
    <t>a_cp</t>
  </si>
  <si>
    <t>A</t>
  </si>
  <si>
    <t>Sbot</t>
  </si>
  <si>
    <t>Слушатели</t>
  </si>
  <si>
    <t>Стул мягкий</t>
  </si>
  <si>
    <t>Ковер</t>
  </si>
  <si>
    <t>Дверь</t>
  </si>
  <si>
    <t>Стена оштукатуренная</t>
  </si>
  <si>
    <t>Деревянный потолок</t>
  </si>
  <si>
    <t>Итого:</t>
  </si>
  <si>
    <t>Частоты, Гц</t>
  </si>
  <si>
    <t>α(A)</t>
  </si>
  <si>
    <t>Требуемое</t>
  </si>
  <si>
    <t>Добавочное</t>
  </si>
  <si>
    <t>Щит бекеши</t>
  </si>
  <si>
    <t>ttl</t>
  </si>
  <si>
    <t>asr</t>
  </si>
  <si>
    <t>Ts</t>
  </si>
  <si>
    <t>dT</t>
  </si>
  <si>
    <t>ППГЗ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</si>
</sst>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9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B52B-BBBD-40E2-8937-CDA3C1499B16}">
  <dimension ref="A1:N43"/>
  <sheetViews>
    <sheetView tabSelected="1" topLeftCell="A35" zoomScale="115" zoomScaleNormal="115" workbookViewId="0">
      <selection activeCell="F42" sqref="F42"/>
    </sheetView>
  </sheetViews>
  <sheetFormatPr defaultRowHeight="15" x14ac:dyDescent="0.25"/>
  <cols>
    <col min="2" max="2" width="9.7109375" bestFit="1" customWidth="1"/>
    <col min="7" max="7" width="9.85546875" customWidth="1"/>
    <col min="8" max="8" width="12.28515625" bestFit="1" customWidth="1"/>
    <col min="11" max="11" width="11.28515625" customWidth="1"/>
    <col min="13" max="13" width="12.140625" customWidth="1"/>
  </cols>
  <sheetData>
    <row r="1" spans="1:14" x14ac:dyDescent="0.25">
      <c r="A1" t="s">
        <v>3</v>
      </c>
      <c r="C1" t="s">
        <v>15</v>
      </c>
      <c r="D1" t="s">
        <v>0</v>
      </c>
      <c r="E1" t="s">
        <v>1</v>
      </c>
      <c r="F1" t="s">
        <v>2</v>
      </c>
      <c r="G1" t="s">
        <v>5</v>
      </c>
      <c r="H1" t="s">
        <v>16</v>
      </c>
      <c r="I1" t="s">
        <v>6</v>
      </c>
      <c r="J1" t="s">
        <v>8</v>
      </c>
      <c r="K1" t="s">
        <v>17</v>
      </c>
      <c r="L1" t="s">
        <v>9</v>
      </c>
      <c r="M1" t="s">
        <v>18</v>
      </c>
      <c r="N1" t="s">
        <v>9</v>
      </c>
    </row>
    <row r="2" spans="1:14" x14ac:dyDescent="0.25">
      <c r="A2">
        <v>22000</v>
      </c>
      <c r="C2">
        <f>POWER(D2,3)*(A$6/4)</f>
        <v>32217.552717812076</v>
      </c>
      <c r="D2">
        <f>E2+F2</f>
        <v>45</v>
      </c>
      <c r="E2">
        <v>28</v>
      </c>
      <c r="F2">
        <f>17</f>
        <v>17</v>
      </c>
      <c r="G2">
        <f>D2*E2*F2</f>
        <v>21420</v>
      </c>
      <c r="H2">
        <f>G2-A$2</f>
        <v>-580</v>
      </c>
      <c r="I2">
        <f>D2/E2</f>
        <v>1.6071428571428572</v>
      </c>
      <c r="J2">
        <f>E2/F2</f>
        <v>1.6470588235294117</v>
      </c>
      <c r="K2">
        <f>A$6-I2</f>
        <v>-0.19292929476976206</v>
      </c>
      <c r="L2">
        <f>(I2/A$6)</f>
        <v>1.136421612621237</v>
      </c>
      <c r="M2">
        <f>A$6-J2</f>
        <v>-0.23284526115631654</v>
      </c>
      <c r="N2">
        <f>(M2/A$6)</f>
        <v>-0.16464646313078402</v>
      </c>
    </row>
    <row r="3" spans="1:14" x14ac:dyDescent="0.25">
      <c r="A3" t="s">
        <v>4</v>
      </c>
      <c r="C3">
        <f>POWER(D3,3)*(A$6/4)</f>
        <v>23486.595931285003</v>
      </c>
      <c r="D3">
        <v>40.5</v>
      </c>
      <c r="E3">
        <f>D3/A6</f>
        <v>28.637824638055172</v>
      </c>
      <c r="F3">
        <f>D3/(A6*A6)</f>
        <v>20.249999999999996</v>
      </c>
      <c r="G3">
        <f>D3*E3*F3</f>
        <v>23486.595931284992</v>
      </c>
      <c r="H3">
        <f>G3-A$2</f>
        <v>1486.5959312849918</v>
      </c>
      <c r="I3">
        <f t="shared" ref="I3:I5" si="0">D3/E3</f>
        <v>1.4142135623730951</v>
      </c>
      <c r="J3">
        <f t="shared" ref="J3:J5" si="1">E3/F3</f>
        <v>1.4142135623730951</v>
      </c>
      <c r="K3">
        <f t="shared" ref="K3:K7" si="2">A$6-I3</f>
        <v>0</v>
      </c>
      <c r="L3">
        <f t="shared" ref="L3:L7" si="3">(I3/A$6)</f>
        <v>1</v>
      </c>
      <c r="M3">
        <f t="shared" ref="M3:M5" si="4">A$6-J3</f>
        <v>0</v>
      </c>
      <c r="N3">
        <f t="shared" ref="N3:N7" si="5">(M3/A$6)</f>
        <v>0</v>
      </c>
    </row>
    <row r="4" spans="1:14" x14ac:dyDescent="0.25">
      <c r="A4">
        <f>POWER(A2,1/3)</f>
        <v>28.020393306553867</v>
      </c>
      <c r="C4">
        <v>22000</v>
      </c>
      <c r="D4">
        <f>POWER(C4/(A6/4),1/3)</f>
        <v>39.626820237156757</v>
      </c>
      <c r="E4">
        <f>D4/A$6</f>
        <v>28.020393306553853</v>
      </c>
      <c r="F4">
        <f>D4/2</f>
        <v>19.813410118578378</v>
      </c>
      <c r="G4">
        <f t="shared" ref="G4:G5" si="6">D4*E4*F4</f>
        <v>21999.99999999996</v>
      </c>
      <c r="H4">
        <f t="shared" ref="H4:H5" si="7">G4-A$2</f>
        <v>-4.0017766878008842E-11</v>
      </c>
      <c r="I4">
        <f t="shared" si="0"/>
        <v>1.4142135623730951</v>
      </c>
      <c r="J4">
        <f t="shared" si="1"/>
        <v>1.4142135623730949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</row>
    <row r="5" spans="1:14" x14ac:dyDescent="0.25">
      <c r="A5" t="s">
        <v>7</v>
      </c>
      <c r="D5">
        <v>39.6</v>
      </c>
      <c r="E5">
        <f>D5/A$6</f>
        <v>28.00142853498728</v>
      </c>
      <c r="F5">
        <f>D5/2</f>
        <v>19.8</v>
      </c>
      <c r="G5">
        <f t="shared" si="6"/>
        <v>21955.360085712829</v>
      </c>
      <c r="H5">
        <f t="shared" si="7"/>
        <v>-44.639914287170541</v>
      </c>
      <c r="I5">
        <f t="shared" si="0"/>
        <v>1.4142135623730951</v>
      </c>
      <c r="J5">
        <f t="shared" si="1"/>
        <v>1.4142135623730949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</row>
    <row r="6" spans="1:14" x14ac:dyDescent="0.25">
      <c r="A6">
        <f>POWER(2,1/2)</f>
        <v>1.4142135623730951</v>
      </c>
      <c r="D6">
        <v>39.6</v>
      </c>
      <c r="E6">
        <v>28</v>
      </c>
      <c r="F6">
        <f>D6/2</f>
        <v>19.8</v>
      </c>
      <c r="G6">
        <f t="shared" ref="G6" si="8">D6*E6*F6</f>
        <v>21954.240000000002</v>
      </c>
      <c r="H6">
        <f t="shared" ref="H6" si="9">G6-A$2</f>
        <v>-45.759999999998399</v>
      </c>
      <c r="I6">
        <f t="shared" ref="I6" si="10">D6/E6</f>
        <v>1.4142857142857144</v>
      </c>
      <c r="J6">
        <f t="shared" ref="J6" si="11">E6/F6</f>
        <v>1.4141414141414141</v>
      </c>
      <c r="K6">
        <f t="shared" si="2"/>
        <v>-7.2151912619222713E-5</v>
      </c>
      <c r="L6">
        <f>(1-I6/A$6)*100</f>
        <v>-5.1019106688698912E-3</v>
      </c>
      <c r="M6">
        <f t="shared" ref="M6:M7" si="12">A$6-J6</f>
        <v>7.2148231681001818E-5</v>
      </c>
      <c r="N6">
        <f>(M6/A$6)*100</f>
        <v>5.101650387225448E-3</v>
      </c>
    </row>
    <row r="7" spans="1:14" x14ac:dyDescent="0.25">
      <c r="C7" t="s">
        <v>10</v>
      </c>
      <c r="D7" t="s">
        <v>11</v>
      </c>
      <c r="E7" t="s">
        <v>12</v>
      </c>
      <c r="F7" t="s">
        <v>13</v>
      </c>
      <c r="K7">
        <f t="shared" si="2"/>
        <v>1.4142135623730951</v>
      </c>
      <c r="L7">
        <f t="shared" si="3"/>
        <v>0</v>
      </c>
      <c r="M7">
        <f t="shared" si="12"/>
        <v>1.4142135623730951</v>
      </c>
      <c r="N7">
        <f t="shared" si="5"/>
        <v>1</v>
      </c>
    </row>
    <row r="8" spans="1:14" x14ac:dyDescent="0.25">
      <c r="C8">
        <v>331</v>
      </c>
      <c r="D8">
        <v>10</v>
      </c>
      <c r="E8">
        <v>20</v>
      </c>
      <c r="F8">
        <v>30</v>
      </c>
    </row>
    <row r="10" spans="1:14" x14ac:dyDescent="0.25">
      <c r="C10" t="s">
        <v>14</v>
      </c>
      <c r="D10">
        <f>(C8/2)*SQRT(POWER(D8/D2,2)+POWER(E8/E2,2)+POWER(F8/F2,2))</f>
        <v>317.21535064778067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F15" t="s">
        <v>19</v>
      </c>
      <c r="G15" t="s">
        <v>20</v>
      </c>
      <c r="H15" t="s">
        <v>21</v>
      </c>
      <c r="I15" t="s">
        <v>22</v>
      </c>
    </row>
    <row r="16" spans="1:14" x14ac:dyDescent="0.25">
      <c r="A16">
        <v>21950</v>
      </c>
      <c r="B16">
        <v>39.6</v>
      </c>
      <c r="C16">
        <v>28</v>
      </c>
      <c r="D16">
        <f>B16/2</f>
        <v>19.8</v>
      </c>
      <c r="F16">
        <f>2*B16*C16+2*B16*D16+2*C16*D16</f>
        <v>4894.5600000000004</v>
      </c>
      <c r="G16">
        <v>1.7</v>
      </c>
      <c r="H16">
        <f>1-EXP(-A16/(6*G16*F16))</f>
        <v>0.35574700896521105</v>
      </c>
      <c r="I16">
        <f>H16*F16</f>
        <v>1741.2250802007636</v>
      </c>
    </row>
    <row r="17" spans="1:10" x14ac:dyDescent="0.25">
      <c r="H17">
        <f>A16/(6*G16*F16)</f>
        <v>0.43966378679875728</v>
      </c>
    </row>
    <row r="19" spans="1:10" x14ac:dyDescent="0.25">
      <c r="F19" t="s">
        <v>23</v>
      </c>
    </row>
    <row r="20" spans="1:10" x14ac:dyDescent="0.25">
      <c r="F20">
        <f>B16*C16</f>
        <v>1108.8</v>
      </c>
      <c r="G20">
        <f>F16-2*F20</f>
        <v>2676.9600000000005</v>
      </c>
      <c r="J20">
        <f>(1/6)*$A$16/($F$16*LN(1-H16)+4*0.05*$A$16)</f>
        <v>1.6346153846153846</v>
      </c>
    </row>
    <row r="25" spans="1:10" ht="19.5" customHeight="1" thickBot="1" x14ac:dyDescent="0.3">
      <c r="C25" s="14" t="s">
        <v>31</v>
      </c>
      <c r="D25" s="13"/>
      <c r="E25" s="13"/>
      <c r="F25" s="13"/>
      <c r="G25" s="13"/>
      <c r="H25" s="13"/>
      <c r="I25" s="13"/>
    </row>
    <row r="26" spans="1:10" ht="19.5" thickBot="1" x14ac:dyDescent="0.3">
      <c r="C26" s="11">
        <v>125</v>
      </c>
      <c r="D26" s="12"/>
      <c r="E26" s="9">
        <v>250</v>
      </c>
      <c r="F26" s="10"/>
      <c r="G26" s="13">
        <v>500</v>
      </c>
      <c r="H26" s="13"/>
      <c r="I26" s="13">
        <v>1000</v>
      </c>
      <c r="J26" s="13"/>
    </row>
    <row r="27" spans="1:10" ht="19.5" thickBot="1" x14ac:dyDescent="0.3">
      <c r="C27" s="3" t="s">
        <v>32</v>
      </c>
      <c r="D27" s="4" t="s">
        <v>22</v>
      </c>
      <c r="E27" s="3" t="s">
        <v>32</v>
      </c>
      <c r="F27" s="4" t="s">
        <v>22</v>
      </c>
      <c r="G27" s="3" t="s">
        <v>32</v>
      </c>
      <c r="H27" s="4" t="s">
        <v>22</v>
      </c>
      <c r="I27" s="3" t="s">
        <v>32</v>
      </c>
      <c r="J27" s="4" t="s">
        <v>22</v>
      </c>
    </row>
    <row r="28" spans="1:10" ht="38.25" thickBot="1" x14ac:dyDescent="0.3">
      <c r="A28" s="1" t="s">
        <v>24</v>
      </c>
      <c r="B28" s="2">
        <v>500</v>
      </c>
      <c r="C28">
        <v>0.33</v>
      </c>
      <c r="D28">
        <f>$B28*C28</f>
        <v>165</v>
      </c>
      <c r="E28">
        <v>0.41</v>
      </c>
      <c r="F28">
        <f>$B28*E28</f>
        <v>205</v>
      </c>
      <c r="G28">
        <v>0.44</v>
      </c>
      <c r="H28">
        <f>$B28*G28</f>
        <v>220</v>
      </c>
      <c r="I28">
        <v>0.46</v>
      </c>
      <c r="J28">
        <f>$B28*I28</f>
        <v>230</v>
      </c>
    </row>
    <row r="29" spans="1:10" ht="57" thickBot="1" x14ac:dyDescent="0.3">
      <c r="A29" s="3" t="s">
        <v>25</v>
      </c>
      <c r="B29" s="4">
        <v>500</v>
      </c>
      <c r="C29">
        <v>0.05</v>
      </c>
      <c r="D29">
        <f t="shared" ref="D29:D33" si="13">$B29*C29</f>
        <v>25</v>
      </c>
      <c r="E29">
        <v>0.09</v>
      </c>
      <c r="F29">
        <f t="shared" ref="F29:F33" si="14">$B29*E29</f>
        <v>45</v>
      </c>
      <c r="G29">
        <v>0.12</v>
      </c>
      <c r="H29">
        <f t="shared" ref="H29:H33" si="15">$B29*G29</f>
        <v>60</v>
      </c>
      <c r="I29">
        <v>0.13</v>
      </c>
      <c r="J29">
        <f t="shared" ref="J29:J33" si="16">$B29*I29</f>
        <v>65</v>
      </c>
    </row>
    <row r="30" spans="1:10" ht="19.5" thickBot="1" x14ac:dyDescent="0.3">
      <c r="A30" s="3" t="s">
        <v>26</v>
      </c>
      <c r="B30" s="4">
        <v>634</v>
      </c>
      <c r="C30">
        <v>0.08</v>
      </c>
      <c r="D30">
        <f t="shared" si="13"/>
        <v>50.72</v>
      </c>
      <c r="E30">
        <v>0.24</v>
      </c>
      <c r="F30">
        <f t="shared" si="14"/>
        <v>152.16</v>
      </c>
      <c r="G30">
        <v>0.56999999999999995</v>
      </c>
      <c r="H30">
        <f t="shared" si="15"/>
        <v>361.38</v>
      </c>
      <c r="I30">
        <v>0.69</v>
      </c>
      <c r="J30">
        <f t="shared" si="16"/>
        <v>437.46</v>
      </c>
    </row>
    <row r="31" spans="1:10" ht="19.5" thickBot="1" x14ac:dyDescent="0.3">
      <c r="A31" s="3" t="s">
        <v>27</v>
      </c>
      <c r="B31" s="4">
        <v>10</v>
      </c>
      <c r="C31">
        <v>0.1</v>
      </c>
      <c r="D31">
        <f t="shared" si="13"/>
        <v>1</v>
      </c>
      <c r="E31">
        <v>0.11</v>
      </c>
      <c r="F31">
        <f t="shared" si="14"/>
        <v>1.1000000000000001</v>
      </c>
      <c r="G31">
        <v>0.1</v>
      </c>
      <c r="H31">
        <f t="shared" si="15"/>
        <v>1</v>
      </c>
      <c r="I31">
        <v>0.08</v>
      </c>
      <c r="J31">
        <f t="shared" si="16"/>
        <v>0.8</v>
      </c>
    </row>
    <row r="32" spans="1:10" ht="75.75" thickBot="1" x14ac:dyDescent="0.3">
      <c r="A32" s="3" t="s">
        <v>28</v>
      </c>
      <c r="B32" s="4">
        <v>2676.96</v>
      </c>
      <c r="C32">
        <v>0.04</v>
      </c>
      <c r="D32">
        <f t="shared" si="13"/>
        <v>107.0784</v>
      </c>
      <c r="E32">
        <v>0.05</v>
      </c>
      <c r="F32">
        <f t="shared" si="14"/>
        <v>133.84800000000001</v>
      </c>
      <c r="G32">
        <v>0.06</v>
      </c>
      <c r="H32">
        <f t="shared" si="15"/>
        <v>160.61760000000001</v>
      </c>
      <c r="I32">
        <v>0.08</v>
      </c>
      <c r="J32">
        <f t="shared" si="16"/>
        <v>214.1568</v>
      </c>
    </row>
    <row r="33" spans="1:14" ht="75.75" thickBot="1" x14ac:dyDescent="0.3">
      <c r="A33" s="3" t="s">
        <v>29</v>
      </c>
      <c r="B33" s="4">
        <f>1186.17+301.24</f>
        <v>1487.41</v>
      </c>
      <c r="C33">
        <v>0.15</v>
      </c>
      <c r="D33">
        <f t="shared" si="13"/>
        <v>223.11150000000001</v>
      </c>
      <c r="E33">
        <v>0.11</v>
      </c>
      <c r="F33">
        <f t="shared" si="14"/>
        <v>163.61510000000001</v>
      </c>
      <c r="G33">
        <v>0.1</v>
      </c>
      <c r="H33">
        <f t="shared" si="15"/>
        <v>148.74100000000001</v>
      </c>
      <c r="I33">
        <v>7.0000000000000007E-2</v>
      </c>
      <c r="J33">
        <f t="shared" si="16"/>
        <v>104.11870000000002</v>
      </c>
      <c r="N33">
        <v>250</v>
      </c>
    </row>
    <row r="34" spans="1:14" ht="19.5" thickBot="1" x14ac:dyDescent="0.3">
      <c r="A34" s="3" t="s">
        <v>30</v>
      </c>
      <c r="B34" s="4">
        <v>4894.5600000000004</v>
      </c>
      <c r="D34">
        <f>SUM(D28:D33)</f>
        <v>571.90989999999999</v>
      </c>
      <c r="F34">
        <f>SUM(F28:F33)</f>
        <v>700.72309999999993</v>
      </c>
      <c r="H34">
        <f>SUM(H28:H33)</f>
        <v>951.73860000000002</v>
      </c>
      <c r="J34">
        <f>SUM(J28:J33)</f>
        <v>1051.5355</v>
      </c>
    </row>
    <row r="35" spans="1:14" ht="37.5" x14ac:dyDescent="0.25">
      <c r="A35" s="5" t="s">
        <v>33</v>
      </c>
      <c r="D35">
        <v>1741.23</v>
      </c>
      <c r="F35">
        <v>1741.23</v>
      </c>
      <c r="H35">
        <v>1741.23</v>
      </c>
      <c r="J35">
        <v>1741.23</v>
      </c>
    </row>
    <row r="36" spans="1:14" ht="37.5" x14ac:dyDescent="0.25">
      <c r="A36" s="5" t="s">
        <v>34</v>
      </c>
      <c r="D36">
        <f>D35-D34</f>
        <v>1169.3200999999999</v>
      </c>
      <c r="F36">
        <f>F35-F34</f>
        <v>1040.5069000000001</v>
      </c>
      <c r="H36">
        <f>H35-H34</f>
        <v>789.4914</v>
      </c>
      <c r="J36">
        <f>J35-J34</f>
        <v>689.69450000000006</v>
      </c>
    </row>
    <row r="37" spans="1:14" ht="56.25" x14ac:dyDescent="0.25">
      <c r="A37" s="5" t="s">
        <v>35</v>
      </c>
      <c r="B37" s="6">
        <v>1195</v>
      </c>
      <c r="C37">
        <v>0.87</v>
      </c>
      <c r="D37">
        <f t="shared" ref="D37:D38" si="17">$B37*C37</f>
        <v>1039.6500000000001</v>
      </c>
      <c r="E37">
        <v>0.72</v>
      </c>
      <c r="F37">
        <f t="shared" ref="F37:F38" si="18">$B37*E37</f>
        <v>860.4</v>
      </c>
      <c r="G37">
        <v>0.4</v>
      </c>
      <c r="H37">
        <f t="shared" ref="H37:H38" si="19">$B37*G37</f>
        <v>478</v>
      </c>
      <c r="I37">
        <v>0.3</v>
      </c>
      <c r="J37">
        <f t="shared" ref="J37:J38" si="20">$B37*I37</f>
        <v>358.5</v>
      </c>
    </row>
    <row r="38" spans="1:14" ht="18.75" x14ac:dyDescent="0.3">
      <c r="A38" s="8" t="s">
        <v>40</v>
      </c>
      <c r="B38" s="6">
        <v>400</v>
      </c>
      <c r="C38">
        <v>0.4</v>
      </c>
      <c r="D38">
        <f t="shared" si="17"/>
        <v>160</v>
      </c>
      <c r="E38">
        <v>0.6</v>
      </c>
      <c r="F38">
        <f t="shared" si="18"/>
        <v>240</v>
      </c>
      <c r="G38">
        <v>0.85</v>
      </c>
      <c r="H38">
        <f t="shared" si="19"/>
        <v>340</v>
      </c>
      <c r="I38">
        <v>0.82</v>
      </c>
      <c r="J38">
        <f t="shared" si="20"/>
        <v>328</v>
      </c>
    </row>
    <row r="39" spans="1:14" ht="18.75" x14ac:dyDescent="0.25">
      <c r="A39" s="6" t="s">
        <v>36</v>
      </c>
      <c r="D39">
        <f>D34+D37+D38</f>
        <v>1771.5599000000002</v>
      </c>
      <c r="F39">
        <f>F34+F37+F38</f>
        <v>1801.1230999999998</v>
      </c>
      <c r="H39">
        <f>H34+H37+H38</f>
        <v>1769.7386000000001</v>
      </c>
      <c r="J39">
        <f>J34+J37+J38</f>
        <v>1738.0355</v>
      </c>
    </row>
    <row r="40" spans="1:14" ht="18.75" x14ac:dyDescent="0.25">
      <c r="A40" s="7" t="s">
        <v>37</v>
      </c>
      <c r="D40">
        <f>D39/$B$34</f>
        <v>0.36194466918374685</v>
      </c>
      <c r="F40">
        <f>F39/$B$34</f>
        <v>0.36798468095191389</v>
      </c>
      <c r="H40">
        <f>H39/$B$34</f>
        <v>0.36157256219149425</v>
      </c>
      <c r="J40">
        <f>J39/$B$34</f>
        <v>0.35509535075675847</v>
      </c>
    </row>
    <row r="41" spans="1:14" ht="18.75" x14ac:dyDescent="0.25">
      <c r="A41" s="6" t="s">
        <v>38</v>
      </c>
      <c r="D41">
        <f>(1/6)*$A$16/($F$16*LN(1-D40)+4*0.05*$A$16)</f>
        <v>1.6699182415525684</v>
      </c>
      <c r="F41">
        <f>(1/6)*$A$16/($F$16*LN(1-F40)+4*0.05*$A$16)</f>
        <v>1.7061752871704579</v>
      </c>
      <c r="H41">
        <f>(1/6)*$A$16/($F$16*LN(1-H40)+4*0.05*$A$16)</f>
        <v>1.6677458488167582</v>
      </c>
      <c r="J41">
        <f>(1/6)*$A$16/($F$16*LN(1-J40)+4*0.05*$A$16)</f>
        <v>1.631009214126363</v>
      </c>
    </row>
    <row r="42" spans="1:14" ht="18.75" x14ac:dyDescent="0.25">
      <c r="A42" s="7" t="s">
        <v>39</v>
      </c>
      <c r="D42">
        <f>1.7-D41</f>
        <v>3.008175844743155E-2</v>
      </c>
      <c r="F42">
        <f>1.7-F41</f>
        <v>-6.1752871704578993E-3</v>
      </c>
      <c r="H42">
        <f>1.7-H41</f>
        <v>3.2254151183241708E-2</v>
      </c>
      <c r="J42">
        <f>1.7-J41</f>
        <v>6.8990785873636939E-2</v>
      </c>
    </row>
    <row r="43" spans="1:14" ht="18.75" x14ac:dyDescent="0.25">
      <c r="A43" s="6" t="s">
        <v>9</v>
      </c>
      <c r="D43">
        <f>D42/1.7*100</f>
        <v>1.7695152027900913</v>
      </c>
      <c r="F43">
        <f>F42/1.7*100</f>
        <v>-0.3632521864975235</v>
      </c>
      <c r="H43">
        <f>H42/1.7*100</f>
        <v>1.8973030107789242</v>
      </c>
      <c r="J43">
        <f>J42/1.7*100</f>
        <v>4.0582815219786434</v>
      </c>
    </row>
  </sheetData>
  <mergeCells count="5">
    <mergeCell ref="E26:F26"/>
    <mergeCell ref="C26:D26"/>
    <mergeCell ref="G26:H26"/>
    <mergeCell ref="I26:J26"/>
    <mergeCell ref="C25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2021-05-09T21:02:32Z</dcterms:created>
  <dcterms:modified xsi:type="dcterms:W3CDTF">2021-05-19T10:07:04Z</dcterms:modified>
</cp:coreProperties>
</file>