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8579236028ae952/Escritorio/"/>
    </mc:Choice>
  </mc:AlternateContent>
  <xr:revisionPtr revIDLastSave="0" documentId="8_{BA887889-530A-C743-BF0E-FFF7D59A64D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ZUL Económico" sheetId="1" r:id="rId1"/>
    <sheet name="AZUL Financiero" sheetId="2" r:id="rId2"/>
    <sheet name="COPEC ECONOMICO  " sheetId="3" r:id="rId3"/>
    <sheet name="COPEC FINANCIERO" sheetId="4" r:id="rId4"/>
    <sheet name="costo y amortización 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PvdBOE92HFsir7GtlYQ1wSRtJ+zZvL8c5V1EQIvDvYQ="/>
    </ext>
  </extLst>
</workbook>
</file>

<file path=xl/calcChain.xml><?xml version="1.0" encoding="utf-8"?>
<calcChain xmlns="http://schemas.openxmlformats.org/spreadsheetml/2006/main">
  <c r="M63" i="4" l="1"/>
  <c r="C49" i="4"/>
  <c r="B49" i="4"/>
  <c r="D48" i="4"/>
  <c r="B48" i="4"/>
  <c r="F47" i="4"/>
  <c r="E47" i="4"/>
  <c r="D47" i="4"/>
  <c r="C47" i="4"/>
  <c r="B47" i="4"/>
  <c r="E43" i="4"/>
  <c r="F43" i="4"/>
  <c r="G43" i="4"/>
  <c r="C42" i="4"/>
  <c r="C41" i="4"/>
  <c r="C40" i="4"/>
  <c r="C39" i="4"/>
  <c r="C38" i="4"/>
  <c r="G25" i="4"/>
  <c r="F25" i="4"/>
  <c r="E25" i="4"/>
  <c r="D25" i="4"/>
  <c r="C25" i="4"/>
  <c r="B24" i="4"/>
  <c r="B21" i="4"/>
  <c r="G15" i="4"/>
  <c r="F15" i="4"/>
  <c r="E15" i="4"/>
  <c r="D15" i="4"/>
  <c r="C15" i="4"/>
  <c r="O14" i="4"/>
  <c r="C13" i="4"/>
  <c r="M12" i="4"/>
  <c r="N10" i="4"/>
  <c r="V7" i="4"/>
  <c r="G7" i="4"/>
  <c r="F7" i="4"/>
  <c r="E7" i="4"/>
  <c r="D7" i="4"/>
  <c r="C7" i="4"/>
  <c r="S4" i="4"/>
  <c r="B79" i="3"/>
  <c r="B76" i="3"/>
  <c r="A70" i="3"/>
  <c r="G69" i="3"/>
  <c r="F69" i="3"/>
  <c r="E69" i="3"/>
  <c r="D69" i="3"/>
  <c r="C69" i="3"/>
  <c r="B69" i="3"/>
  <c r="M53" i="3"/>
  <c r="C46" i="3"/>
  <c r="B46" i="3"/>
  <c r="D45" i="3"/>
  <c r="B45" i="3"/>
  <c r="F44" i="3"/>
  <c r="E44" i="3"/>
  <c r="D44" i="3"/>
  <c r="C44" i="3"/>
  <c r="B44" i="3"/>
  <c r="E40" i="3"/>
  <c r="F40" i="3"/>
  <c r="G40" i="3"/>
  <c r="C39" i="3"/>
  <c r="C38" i="3"/>
  <c r="C37" i="3"/>
  <c r="C36" i="3"/>
  <c r="C35" i="3"/>
  <c r="B20" i="3"/>
  <c r="O14" i="3"/>
  <c r="C13" i="3"/>
  <c r="M12" i="3"/>
  <c r="N10" i="3"/>
  <c r="V7" i="3"/>
  <c r="G7" i="3"/>
  <c r="F7" i="3"/>
  <c r="E7" i="3"/>
  <c r="D7" i="3"/>
  <c r="C7" i="3"/>
  <c r="S4" i="3"/>
  <c r="F46" i="2"/>
  <c r="B41" i="2"/>
  <c r="C40" i="2"/>
  <c r="B40" i="2"/>
  <c r="C39" i="2"/>
  <c r="B39" i="2"/>
  <c r="F38" i="2"/>
  <c r="E38" i="2"/>
  <c r="D38" i="2"/>
  <c r="C38" i="2"/>
  <c r="B38" i="2"/>
  <c r="C35" i="2"/>
  <c r="E34" i="2"/>
  <c r="F34" i="2"/>
  <c r="F33" i="2"/>
  <c r="E32" i="2"/>
  <c r="F32" i="2"/>
  <c r="G31" i="2"/>
  <c r="E31" i="2"/>
  <c r="F31" i="2"/>
  <c r="G30" i="2"/>
  <c r="E30" i="2"/>
  <c r="F30" i="2"/>
  <c r="B24" i="2"/>
  <c r="B20" i="2"/>
  <c r="E14" i="2"/>
  <c r="C13" i="2"/>
  <c r="C12" i="2"/>
  <c r="H8" i="2"/>
  <c r="E8" i="2"/>
  <c r="H7" i="2"/>
  <c r="G7" i="2"/>
  <c r="F7" i="2"/>
  <c r="E7" i="2"/>
  <c r="D7" i="2"/>
  <c r="C7" i="2"/>
  <c r="B78" i="1"/>
  <c r="B75" i="1"/>
  <c r="A69" i="1"/>
  <c r="H68" i="1"/>
  <c r="G68" i="1"/>
  <c r="F68" i="1"/>
  <c r="E68" i="1"/>
  <c r="D68" i="1"/>
  <c r="C68" i="1"/>
  <c r="B68" i="1"/>
  <c r="B46" i="1"/>
  <c r="C45" i="1"/>
  <c r="B45" i="1"/>
  <c r="C44" i="1"/>
  <c r="B44" i="1"/>
  <c r="F43" i="1"/>
  <c r="E43" i="1"/>
  <c r="D43" i="1"/>
  <c r="C43" i="1"/>
  <c r="B43" i="1"/>
  <c r="C40" i="1"/>
  <c r="E39" i="1"/>
  <c r="F39" i="1"/>
  <c r="F38" i="1"/>
  <c r="E37" i="1"/>
  <c r="F37" i="1"/>
  <c r="G36" i="1"/>
  <c r="E36" i="1"/>
  <c r="F36" i="1"/>
  <c r="G35" i="1"/>
  <c r="E35" i="1"/>
  <c r="F35" i="1"/>
  <c r="B19" i="1"/>
  <c r="E14" i="1"/>
  <c r="C13" i="1"/>
  <c r="C12" i="1"/>
  <c r="H8" i="1"/>
  <c r="E8" i="1"/>
  <c r="H7" i="1"/>
  <c r="G7" i="1"/>
  <c r="F7" i="1"/>
  <c r="E7" i="1"/>
  <c r="D7" i="1"/>
  <c r="C7" i="1"/>
  <c r="B21" i="1"/>
  <c r="C9" i="1"/>
  <c r="C15" i="1"/>
  <c r="C21" i="1"/>
  <c r="D9" i="1"/>
  <c r="D21" i="1"/>
  <c r="E9" i="1"/>
  <c r="E21" i="1"/>
  <c r="F9" i="1"/>
  <c r="F21" i="1"/>
  <c r="G9" i="1"/>
  <c r="G21" i="1"/>
  <c r="H9" i="1"/>
  <c r="C18" i="1"/>
  <c r="D12" i="1"/>
  <c r="B23" i="1"/>
  <c r="C46" i="1"/>
  <c r="E19" i="1"/>
  <c r="E44" i="1"/>
  <c r="E45" i="1"/>
  <c r="F45" i="1"/>
  <c r="B22" i="2"/>
  <c r="C9" i="2"/>
  <c r="C22" i="2"/>
  <c r="D9" i="2"/>
  <c r="D22" i="2"/>
  <c r="E9" i="2"/>
  <c r="E22" i="2"/>
  <c r="F9" i="2"/>
  <c r="F22" i="2"/>
  <c r="G9" i="2"/>
  <c r="G22" i="2"/>
  <c r="H9" i="2"/>
  <c r="C19" i="2"/>
  <c r="D12" i="2"/>
  <c r="B26" i="2"/>
  <c r="C41" i="2"/>
  <c r="E20" i="2"/>
  <c r="E39" i="2"/>
  <c r="E40" i="2"/>
  <c r="F40" i="2"/>
  <c r="B55" i="2"/>
  <c r="D47" i="2"/>
  <c r="C15" i="2"/>
  <c r="C47" i="2"/>
  <c r="C9" i="3"/>
  <c r="C21" i="3"/>
  <c r="D9" i="3"/>
  <c r="D21" i="3"/>
  <c r="E9" i="3"/>
  <c r="E21" i="3"/>
  <c r="F9" i="3"/>
  <c r="G21" i="3"/>
  <c r="F21" i="3"/>
  <c r="G9" i="3"/>
  <c r="R20" i="3"/>
  <c r="R18" i="3"/>
  <c r="O13" i="3"/>
  <c r="M14" i="3"/>
  <c r="Q11" i="3"/>
  <c r="R21" i="3"/>
  <c r="C41" i="3"/>
  <c r="B19" i="3"/>
  <c r="F35" i="3"/>
  <c r="G36" i="3"/>
  <c r="E36" i="3"/>
  <c r="C45" i="3"/>
  <c r="E37" i="3"/>
  <c r="F37" i="3"/>
  <c r="G37" i="3"/>
  <c r="E8" i="3"/>
  <c r="E38" i="3"/>
  <c r="E39" i="3"/>
  <c r="F39" i="3"/>
  <c r="G39" i="3"/>
  <c r="E46" i="3"/>
  <c r="F46" i="3"/>
  <c r="C9" i="4"/>
  <c r="C22" i="4"/>
  <c r="D9" i="4"/>
  <c r="D22" i="4"/>
  <c r="E9" i="4"/>
  <c r="E22" i="4"/>
  <c r="F9" i="4"/>
  <c r="G22" i="4"/>
  <c r="F22" i="4"/>
  <c r="G9" i="4"/>
  <c r="R21" i="4"/>
  <c r="R19" i="4"/>
  <c r="O13" i="4"/>
  <c r="M14" i="4"/>
  <c r="Q11" i="4"/>
  <c r="R22" i="4"/>
  <c r="C44" i="4"/>
  <c r="B20" i="4"/>
  <c r="F38" i="4"/>
  <c r="G39" i="4"/>
  <c r="E39" i="4"/>
  <c r="C48" i="4"/>
  <c r="E40" i="4"/>
  <c r="F40" i="4"/>
  <c r="G40" i="4"/>
  <c r="E8" i="4"/>
  <c r="E41" i="4"/>
  <c r="E42" i="4"/>
  <c r="F42" i="4"/>
  <c r="G42" i="4"/>
  <c r="E49" i="4"/>
  <c r="F49" i="4"/>
  <c r="C12" i="4"/>
  <c r="F41" i="4"/>
  <c r="G41" i="4"/>
  <c r="C50" i="4"/>
  <c r="E48" i="4"/>
  <c r="F48" i="4"/>
  <c r="F50" i="4"/>
  <c r="G8" i="4"/>
  <c r="E44" i="4"/>
  <c r="F12" i="4"/>
  <c r="F39" i="4"/>
  <c r="G44" i="4"/>
  <c r="F16" i="4"/>
  <c r="B22" i="4"/>
  <c r="B26" i="4"/>
  <c r="C16" i="4"/>
  <c r="C12" i="3"/>
  <c r="F38" i="3"/>
  <c r="G38" i="3"/>
  <c r="C47" i="3"/>
  <c r="E45" i="3"/>
  <c r="F45" i="3"/>
  <c r="F47" i="3"/>
  <c r="G8" i="3"/>
  <c r="E41" i="3"/>
  <c r="F12" i="3"/>
  <c r="F36" i="3"/>
  <c r="G41" i="3"/>
  <c r="F15" i="3"/>
  <c r="B21" i="3"/>
  <c r="B23" i="3"/>
  <c r="C15" i="3"/>
  <c r="C48" i="2"/>
  <c r="E47" i="2"/>
  <c r="H12" i="2"/>
  <c r="F12" i="2"/>
  <c r="F39" i="2"/>
  <c r="H14" i="2"/>
  <c r="D19" i="2"/>
  <c r="E12" i="2"/>
  <c r="E19" i="2"/>
  <c r="H16" i="2"/>
  <c r="C16" i="2"/>
  <c r="H23" i="2"/>
  <c r="H12" i="1"/>
  <c r="F12" i="1"/>
  <c r="F44" i="1"/>
  <c r="H14" i="1"/>
  <c r="B69" i="1"/>
  <c r="B70" i="1"/>
  <c r="B52" i="1"/>
  <c r="B25" i="1"/>
  <c r="D18" i="1"/>
  <c r="E12" i="1"/>
  <c r="E18" i="1"/>
  <c r="H15" i="1"/>
  <c r="F15" i="1"/>
  <c r="E15" i="1"/>
  <c r="D15" i="1"/>
  <c r="C16" i="1"/>
  <c r="C17" i="1"/>
  <c r="C23" i="1"/>
  <c r="H22" i="1"/>
  <c r="C69" i="1"/>
  <c r="D16" i="1"/>
  <c r="D17" i="1"/>
  <c r="D23" i="1"/>
  <c r="E16" i="1"/>
  <c r="E17" i="1"/>
  <c r="E23" i="1"/>
  <c r="F16" i="1"/>
  <c r="F17" i="1"/>
  <c r="H16" i="1"/>
  <c r="H17" i="1"/>
  <c r="B57" i="2"/>
  <c r="C52" i="1"/>
  <c r="B51" i="1"/>
  <c r="C51" i="1"/>
  <c r="C50" i="1"/>
  <c r="B76" i="1"/>
  <c r="B77" i="1"/>
  <c r="F18" i="1"/>
  <c r="G12" i="1"/>
  <c r="H18" i="1"/>
  <c r="C17" i="2"/>
  <c r="C18" i="2"/>
  <c r="H17" i="2"/>
  <c r="H18" i="2"/>
  <c r="F19" i="2"/>
  <c r="G12" i="2"/>
  <c r="H19" i="2"/>
  <c r="C25" i="2"/>
  <c r="F47" i="2"/>
  <c r="C49" i="2"/>
  <c r="C16" i="3"/>
  <c r="C17" i="3"/>
  <c r="B70" i="3"/>
  <c r="B71" i="3"/>
  <c r="B53" i="3"/>
  <c r="B25" i="3"/>
  <c r="F16" i="3"/>
  <c r="F17" i="3"/>
  <c r="F18" i="3"/>
  <c r="G12" i="3"/>
  <c r="G18" i="3"/>
  <c r="G15" i="3"/>
  <c r="E47" i="3"/>
  <c r="E19" i="3"/>
  <c r="C18" i="3"/>
  <c r="D12" i="3"/>
  <c r="C17" i="4"/>
  <c r="C18" i="4"/>
  <c r="B63" i="4"/>
  <c r="B28" i="4"/>
  <c r="F17" i="4"/>
  <c r="F18" i="4"/>
  <c r="F19" i="4"/>
  <c r="G12" i="4"/>
  <c r="G19" i="4"/>
  <c r="G16" i="4"/>
  <c r="E50" i="4"/>
  <c r="E20" i="4"/>
  <c r="C19" i="4"/>
  <c r="D12" i="4"/>
  <c r="D19" i="4"/>
  <c r="E12" i="4"/>
  <c r="D16" i="4"/>
  <c r="G17" i="4"/>
  <c r="G18" i="4"/>
  <c r="G26" i="4"/>
  <c r="F26" i="4"/>
  <c r="C63" i="4"/>
  <c r="E61" i="4"/>
  <c r="B61" i="4"/>
  <c r="C26" i="4"/>
  <c r="D18" i="3"/>
  <c r="E12" i="3"/>
  <c r="D15" i="3"/>
  <c r="G16" i="3"/>
  <c r="G17" i="3"/>
  <c r="G23" i="3"/>
  <c r="F23" i="3"/>
  <c r="C53" i="3"/>
  <c r="E51" i="3"/>
  <c r="B51" i="3"/>
  <c r="B77" i="3"/>
  <c r="B78" i="3"/>
  <c r="C23" i="3"/>
  <c r="C50" i="2"/>
  <c r="D48" i="2"/>
  <c r="G19" i="2"/>
  <c r="H26" i="2"/>
  <c r="C26" i="2"/>
  <c r="G18" i="1"/>
  <c r="G15" i="1"/>
  <c r="B58" i="1"/>
  <c r="B59" i="1"/>
  <c r="B63" i="1"/>
  <c r="C57" i="2"/>
  <c r="B56" i="2"/>
  <c r="C56" i="2"/>
  <c r="C55" i="2"/>
  <c r="H23" i="1"/>
  <c r="F23" i="1"/>
  <c r="E69" i="1"/>
  <c r="E70" i="1"/>
  <c r="E76" i="1"/>
  <c r="E25" i="1"/>
  <c r="D69" i="1"/>
  <c r="D70" i="1"/>
  <c r="D76" i="1"/>
  <c r="D25" i="1"/>
  <c r="C70" i="1"/>
  <c r="C76" i="1"/>
  <c r="C77" i="1"/>
  <c r="D77" i="1"/>
  <c r="E77" i="1"/>
  <c r="C71" i="1"/>
  <c r="D71" i="1"/>
  <c r="E71" i="1"/>
  <c r="F69" i="1"/>
  <c r="F70" i="1"/>
  <c r="F76" i="1"/>
  <c r="F25" i="1"/>
  <c r="H69" i="1"/>
  <c r="H70" i="1"/>
  <c r="H76" i="1"/>
  <c r="B80" i="1"/>
  <c r="H25" i="1"/>
  <c r="B63" i="2"/>
  <c r="B64" i="2"/>
  <c r="C25" i="1"/>
  <c r="G16" i="1"/>
  <c r="G17" i="1"/>
  <c r="G23" i="1"/>
  <c r="D15" i="2"/>
  <c r="D16" i="2"/>
  <c r="E48" i="2"/>
  <c r="C51" i="2"/>
  <c r="C70" i="3"/>
  <c r="C51" i="3"/>
  <c r="B52" i="3"/>
  <c r="C52" i="3"/>
  <c r="F70" i="3"/>
  <c r="G70" i="3"/>
  <c r="D16" i="3"/>
  <c r="D17" i="3"/>
  <c r="D23" i="3"/>
  <c r="E18" i="3"/>
  <c r="E15" i="3"/>
  <c r="C61" i="4"/>
  <c r="B62" i="4"/>
  <c r="C62" i="4"/>
  <c r="D17" i="4"/>
  <c r="D18" i="4"/>
  <c r="D26" i="4"/>
  <c r="E19" i="4"/>
  <c r="E16" i="4"/>
  <c r="E17" i="4"/>
  <c r="E18" i="4"/>
  <c r="E26" i="4"/>
  <c r="B77" i="4"/>
  <c r="B69" i="4"/>
  <c r="B70" i="4"/>
  <c r="B74" i="4"/>
  <c r="E16" i="3"/>
  <c r="E17" i="3"/>
  <c r="E23" i="3"/>
  <c r="D70" i="3"/>
  <c r="B67" i="3"/>
  <c r="B59" i="3"/>
  <c r="B60" i="3"/>
  <c r="B64" i="3"/>
  <c r="C71" i="3"/>
  <c r="D25" i="2"/>
  <c r="F48" i="2"/>
  <c r="D17" i="2"/>
  <c r="D18" i="2"/>
  <c r="D26" i="2"/>
  <c r="G69" i="1"/>
  <c r="G70" i="1"/>
  <c r="G76" i="1"/>
  <c r="G25" i="1"/>
  <c r="B66" i="1"/>
  <c r="B65" i="1" a="1"/>
  <c r="B65" i="1"/>
  <c r="B27" i="1"/>
  <c r="B68" i="2"/>
  <c r="F71" i="1"/>
  <c r="G71" i="1"/>
  <c r="H71" i="1"/>
  <c r="B72" i="1"/>
  <c r="F77" i="1"/>
  <c r="G77" i="1"/>
  <c r="B79" i="1"/>
  <c r="B81" i="1"/>
  <c r="H77" i="1"/>
  <c r="D49" i="2"/>
  <c r="C77" i="3"/>
  <c r="C78" i="3"/>
  <c r="C72" i="3"/>
  <c r="B66" i="3" a="1"/>
  <c r="B66" i="3"/>
  <c r="C25" i="3"/>
  <c r="F25" i="3"/>
  <c r="G25" i="3"/>
  <c r="D25" i="3"/>
  <c r="G71" i="3"/>
  <c r="G77" i="3"/>
  <c r="B81" i="3"/>
  <c r="F71" i="3"/>
  <c r="F77" i="3"/>
  <c r="D71" i="3"/>
  <c r="D77" i="3"/>
  <c r="E70" i="3"/>
  <c r="E71" i="3"/>
  <c r="E77" i="3"/>
  <c r="E25" i="3"/>
  <c r="B76" i="4" a="1"/>
  <c r="B76" i="4"/>
  <c r="C28" i="4"/>
  <c r="F28" i="4"/>
  <c r="G28" i="4"/>
  <c r="D28" i="4"/>
  <c r="E28" i="4"/>
  <c r="B30" i="4"/>
  <c r="B27" i="3"/>
  <c r="D72" i="3"/>
  <c r="E72" i="3"/>
  <c r="F72" i="3"/>
  <c r="G72" i="3"/>
  <c r="B73" i="3"/>
  <c r="D78" i="3"/>
  <c r="E78" i="3"/>
  <c r="F78" i="3"/>
  <c r="E15" i="2"/>
  <c r="E16" i="2"/>
  <c r="E49" i="2"/>
  <c r="E25" i="2"/>
  <c r="F49" i="2"/>
  <c r="E17" i="2"/>
  <c r="E18" i="2"/>
  <c r="E26" i="2"/>
  <c r="B80" i="3"/>
  <c r="B82" i="3"/>
  <c r="G78" i="3"/>
  <c r="D50" i="2"/>
  <c r="F15" i="2"/>
  <c r="F16" i="2"/>
  <c r="E50" i="2"/>
  <c r="F25" i="2"/>
  <c r="F50" i="2"/>
  <c r="F17" i="2"/>
  <c r="F18" i="2"/>
  <c r="F26" i="2"/>
  <c r="D51" i="2"/>
  <c r="G15" i="2"/>
  <c r="G16" i="2"/>
  <c r="E51" i="2"/>
  <c r="G25" i="2"/>
  <c r="F51" i="2"/>
  <c r="G17" i="2"/>
  <c r="G18" i="2"/>
  <c r="G26" i="2"/>
  <c r="B70" i="2" a="1"/>
  <c r="B70" i="2"/>
  <c r="B7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ID#AAAAxZmqXwc
cetecom    (2023-06-06 20:18:05)
se vende en el año 3</t>
        </r>
      </text>
    </comment>
    <comment ref="G36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ID#AAAAxZmqXwY
cetecom    (2023-06-06 20:18:05)
Se vende en el año 3</t>
        </r>
      </text>
    </comment>
    <comment ref="G40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ID#AAAAxZmqXwg
Marta Jara Muñoz    (2023-06-06 20:18:05)
Todos los activos fijos que queden se venden en $180.000.000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vPIhQfoWg9z6Ne33pN1JFDTz7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0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ID#AAAAxZmqXwM
cetecom    (2023-06-06 20:18:05)
se vende en el año 3</t>
        </r>
      </text>
    </comment>
    <comment ref="G3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ID#AAAAxZmqXwQ
cetecom    (2023-06-06 20:18:05)
Se vende en el año 3</t>
        </r>
      </text>
    </comment>
    <comment ref="G35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ID#AAAAxZmqXwU
Marta Jara Muñoz    (2023-06-06 20:18:05)
Todos los activos fijos que queden se venden en $180.000.000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JC71lL+dgEvPJc5KfC6e3ScZpA=="/>
    </ext>
  </extLst>
</comments>
</file>

<file path=xl/sharedStrings.xml><?xml version="1.0" encoding="utf-8"?>
<sst xmlns="http://schemas.openxmlformats.org/spreadsheetml/2006/main" count="408" uniqueCount="173">
  <si>
    <t>Items</t>
  </si>
  <si>
    <t>AÑO 1</t>
  </si>
  <si>
    <t>AÑO 2</t>
  </si>
  <si>
    <t>AÑO 3</t>
  </si>
  <si>
    <t>AÑO 4</t>
  </si>
  <si>
    <t>AÑO 5</t>
  </si>
  <si>
    <t>AÑO 6</t>
  </si>
  <si>
    <t>Precio</t>
  </si>
  <si>
    <t>Cantidad de TURISTAS en temporada alta</t>
  </si>
  <si>
    <t>Cantidad de TURISTAS en temporada baja</t>
  </si>
  <si>
    <t>Ingreso por venta</t>
  </si>
  <si>
    <t>Venta de AF</t>
  </si>
  <si>
    <t xml:space="preserve">se renueva cada 3 años los autos </t>
  </si>
  <si>
    <t>Costo de venta</t>
  </si>
  <si>
    <t xml:space="preserve"> con rojo es egresos y lo demás ingresos </t>
  </si>
  <si>
    <t>GAV</t>
  </si>
  <si>
    <t>Costos Fijos</t>
  </si>
  <si>
    <t>Depreciación</t>
  </si>
  <si>
    <t>Amortizacion de Intangible</t>
  </si>
  <si>
    <t>Valor Libro</t>
  </si>
  <si>
    <t>Utilidad antes de impuesto</t>
  </si>
  <si>
    <t>impuesto 27%</t>
  </si>
  <si>
    <t>Utilidad despues de impuesto</t>
  </si>
  <si>
    <t>Ajuste GND (gasto no desembolsado)</t>
  </si>
  <si>
    <t>Inversion en AF</t>
  </si>
  <si>
    <t>GOPM (gasto de operación y puesta en marcha)</t>
  </si>
  <si>
    <t>Capital de Trabajo</t>
  </si>
  <si>
    <t>Recuperacion del CT</t>
  </si>
  <si>
    <t>Flujo Economico</t>
  </si>
  <si>
    <t xml:space="preserve">VAN ECONOMICO </t>
  </si>
  <si>
    <t>Tabla de Inversiones año cero</t>
  </si>
  <si>
    <t>Activo</t>
  </si>
  <si>
    <t>Valor de Adq.</t>
  </si>
  <si>
    <t>Vida util</t>
  </si>
  <si>
    <t>Depreciacion</t>
  </si>
  <si>
    <t>VL</t>
  </si>
  <si>
    <t>VM</t>
  </si>
  <si>
    <t>Furgones</t>
  </si>
  <si>
    <t>Mini buses</t>
  </si>
  <si>
    <t>Infraestructura</t>
  </si>
  <si>
    <t>Terreno</t>
  </si>
  <si>
    <t>Mobiliario y equipo</t>
  </si>
  <si>
    <t>TOTAL</t>
  </si>
  <si>
    <t>Tabla de Inversiones Futuras</t>
  </si>
  <si>
    <t>DEUDA</t>
  </si>
  <si>
    <t>C</t>
  </si>
  <si>
    <t>PATRIMONIO</t>
  </si>
  <si>
    <t>D</t>
  </si>
  <si>
    <t>TOTAL INVERSION AÑO CERO (AF (activos fijos) CT ( capital de trabajo) GOPM)</t>
  </si>
  <si>
    <t>Calculo de CAPM</t>
  </si>
  <si>
    <t>CAPM= Rf +Bi*(Rm-Rf)</t>
  </si>
  <si>
    <t>RF</t>
  </si>
  <si>
    <t>RM</t>
  </si>
  <si>
    <t>BETA DE LA INDUSTRIA</t>
  </si>
  <si>
    <t>BETA APALANCADO</t>
  </si>
  <si>
    <t>B. ind*(1+(1-0,27)*(d/c)</t>
  </si>
  <si>
    <t>KP</t>
  </si>
  <si>
    <t>CALCULO DE WACC</t>
  </si>
  <si>
    <t>KD</t>
  </si>
  <si>
    <t>WACC</t>
  </si>
  <si>
    <t>WAAC= (C/(C+D)*KP+(D/(D+C)*(1-TC9*KD)</t>
  </si>
  <si>
    <t>VAN ECONOMICO</t>
  </si>
  <si>
    <t>TIR ECONOMICA</t>
  </si>
  <si>
    <t>PAYBACK</t>
  </si>
  <si>
    <t>FLUJO DESCONTAD0</t>
  </si>
  <si>
    <t>FACTOR PRI</t>
  </si>
  <si>
    <t>Periodo anterior a cambio de signo</t>
  </si>
  <si>
    <t>Valor Acumulado del flujo acumulado</t>
  </si>
  <si>
    <t>Flujo de caja en el siguiente período</t>
  </si>
  <si>
    <t>Cantidad de viajes en temporada alta</t>
  </si>
  <si>
    <t>Cantidad de viajes en temporada baja</t>
  </si>
  <si>
    <t xml:space="preserve">el financiero concidera el prestamo </t>
  </si>
  <si>
    <t>Interes del Prestamo</t>
  </si>
  <si>
    <t>Ajuste GND</t>
  </si>
  <si>
    <t>GOPM</t>
  </si>
  <si>
    <t>Prestamo</t>
  </si>
  <si>
    <t>Amortizacion de Prestamo</t>
  </si>
  <si>
    <t>Flujo Financiero</t>
  </si>
  <si>
    <t>Tabla de Amortizacion del Prestamo</t>
  </si>
  <si>
    <t>Periodo</t>
  </si>
  <si>
    <t>Cuota</t>
  </si>
  <si>
    <t>Interes</t>
  </si>
  <si>
    <t xml:space="preserve">Amortizacion </t>
  </si>
  <si>
    <t>Saldo</t>
  </si>
  <si>
    <t>TOTAL INVERSION AÑO CERO (AFCTGOPM)</t>
  </si>
  <si>
    <t>VAN FINANCIERO</t>
  </si>
  <si>
    <t>TIR FINANCIERA</t>
  </si>
  <si>
    <t>cantidad de CLIENTES</t>
  </si>
  <si>
    <t xml:space="preserve">cantidad de CLIENTES en temporada alta </t>
  </si>
  <si>
    <t xml:space="preserve">productos de conveniencias </t>
  </si>
  <si>
    <t xml:space="preserve">cacino </t>
  </si>
  <si>
    <t xml:space="preserve">Bencinera </t>
  </si>
  <si>
    <t xml:space="preserve">CALCULOS </t>
  </si>
  <si>
    <t xml:space="preserve">puntos y prontos copec </t>
  </si>
  <si>
    <t xml:space="preserve">estaciones de servicio </t>
  </si>
  <si>
    <t xml:space="preserve">TOTAL ANUAL </t>
  </si>
  <si>
    <t>TOTAL POR LOCAL</t>
  </si>
  <si>
    <t xml:space="preserve">total de clientes incritos </t>
  </si>
  <si>
    <t xml:space="preserve"> vehuculos </t>
  </si>
  <si>
    <t xml:space="preserve">clientes atendidos en total pronto punto </t>
  </si>
  <si>
    <t xml:space="preserve"> seria en este caso con metodo de deficit máximo de caja, que este deficit se tra</t>
  </si>
  <si>
    <t xml:space="preserve">ingresos </t>
  </si>
  <si>
    <t>trabajar con un precio promediooooo</t>
  </si>
  <si>
    <t xml:space="preserve">buscar precios de productos </t>
  </si>
  <si>
    <t>costos</t>
  </si>
  <si>
    <t xml:space="preserve">Terreno </t>
  </si>
  <si>
    <t xml:space="preserve">patentes y gastos legales </t>
  </si>
  <si>
    <t>contructora</t>
  </si>
  <si>
    <t xml:space="preserve">VALOR LIBRO </t>
  </si>
  <si>
    <t>materiales de contrucción</t>
  </si>
  <si>
    <t xml:space="preserve">arriendo de maquinarias de contrucción </t>
  </si>
  <si>
    <t xml:space="preserve">Terrenos </t>
  </si>
  <si>
    <t>instalación electrica (mano de obra)</t>
  </si>
  <si>
    <t xml:space="preserve">Infraestructura </t>
  </si>
  <si>
    <t xml:space="preserve">materiales instalación electrica </t>
  </si>
  <si>
    <t xml:space="preserve">Equipo tecnologico </t>
  </si>
  <si>
    <t>instalación hidráulica (mano de obra)</t>
  </si>
  <si>
    <t xml:space="preserve">Equipos de cocina </t>
  </si>
  <si>
    <t xml:space="preserve">material de instalación hidraulica </t>
  </si>
  <si>
    <t>Equipo de refrigeración</t>
  </si>
  <si>
    <t xml:space="preserve">material de instalación de gasfiteria </t>
  </si>
  <si>
    <t xml:space="preserve">Mobiliario </t>
  </si>
  <si>
    <t xml:space="preserve">equipos tecnologicos </t>
  </si>
  <si>
    <t xml:space="preserve">software de sistemas </t>
  </si>
  <si>
    <t>vida util sacado del sii</t>
  </si>
  <si>
    <t xml:space="preserve">equipos de cocina </t>
  </si>
  <si>
    <t xml:space="preserve">Tabla de inversiones futuras </t>
  </si>
  <si>
    <t xml:space="preserve">equipos de refrigeración </t>
  </si>
  <si>
    <t xml:space="preserve">puede aumentar en un 5 % </t>
  </si>
  <si>
    <t>servicios de alimentos (catering)</t>
  </si>
  <si>
    <t xml:space="preserve">camiones de abastecimientos </t>
  </si>
  <si>
    <t>costos de materia prima en insumos</t>
  </si>
  <si>
    <t>gasto de personal</t>
  </si>
  <si>
    <t xml:space="preserve">mantenimiento y soporte </t>
  </si>
  <si>
    <t xml:space="preserve">beta Yahoo financiero </t>
  </si>
  <si>
    <t xml:space="preserve">Interes del prestamo </t>
  </si>
  <si>
    <t xml:space="preserve">Amortización del prestamo </t>
  </si>
  <si>
    <t>N°Cuota</t>
  </si>
  <si>
    <t>Amortización</t>
  </si>
  <si>
    <t>terrenos</t>
  </si>
  <si>
    <t>$500.000.000</t>
  </si>
  <si>
    <t>inversión total</t>
  </si>
  <si>
    <t>$1.330.500.000</t>
  </si>
  <si>
    <t>credito</t>
  </si>
  <si>
    <t>$ 665.250.000</t>
  </si>
  <si>
    <t>patentes y gastos legales</t>
  </si>
  <si>
    <t>$7.500.000</t>
  </si>
  <si>
    <t>$150.000.000</t>
  </si>
  <si>
    <t>anual</t>
  </si>
  <si>
    <t>5 años</t>
  </si>
  <si>
    <t>arriendo de maquinarias de contrucción</t>
  </si>
  <si>
    <t>$80.000.000</t>
  </si>
  <si>
    <t>$205.072.600</t>
  </si>
  <si>
    <t>$5.000.000</t>
  </si>
  <si>
    <t>materiales instalación electrica</t>
  </si>
  <si>
    <t>$20.000.000</t>
  </si>
  <si>
    <t>material de instalación hidraulica</t>
  </si>
  <si>
    <t>material de instalación de gasfiteria</t>
  </si>
  <si>
    <t>equipos tecnologicos</t>
  </si>
  <si>
    <t>$30.000.000</t>
  </si>
  <si>
    <t>software de sistemas</t>
  </si>
  <si>
    <t>equipos de cocina</t>
  </si>
  <si>
    <t>$60.000.000</t>
  </si>
  <si>
    <t>equipos de refrigeración</t>
  </si>
  <si>
    <t>$50.000.000</t>
  </si>
  <si>
    <t>Mobiliario</t>
  </si>
  <si>
    <t>$15.000.000</t>
  </si>
  <si>
    <t>$90.000.000</t>
  </si>
  <si>
    <t>camiones de abastecimientos</t>
  </si>
  <si>
    <t>$70.000.000</t>
  </si>
  <si>
    <t>$62.000.000</t>
  </si>
  <si>
    <t>mantenimiento y soporte</t>
  </si>
  <si>
    <t>$6.000.000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</si>
</sst>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_ ;_ &quot;$&quot;* \-#,##0_ ;_ &quot;$&quot;* &quot;-&quot;_ ;_ @_ "/>
    <numFmt numFmtId="165" formatCode="0.0%"/>
    <numFmt numFmtId="166" formatCode="#,##0.0"/>
    <numFmt numFmtId="167" formatCode="_-* #,##0.00\ [$€-1]_-;\-* #,##0.00\ [$€-1]_-;_-* &quot;-&quot;??\ [$€-1]_-;_-@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center"/>
    </xf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5" borderId="2" xfId="0" applyNumberFormat="1" applyFont="1" applyFill="1" applyBorder="1" applyAlignment="1">
      <alignment horizontal="center"/>
    </xf>
    <xf numFmtId="9" fontId="1" fillId="0" borderId="1" xfId="0" applyNumberFormat="1" applyFont="1" applyBorder="1"/>
    <xf numFmtId="166" fontId="1" fillId="0" borderId="1" xfId="0" applyNumberFormat="1" applyFont="1" applyBorder="1"/>
    <xf numFmtId="4" fontId="1" fillId="0" borderId="1" xfId="0" applyNumberFormat="1" applyFont="1" applyBorder="1"/>
    <xf numFmtId="10" fontId="2" fillId="2" borderId="1" xfId="0" applyNumberFormat="1" applyFont="1" applyFill="1" applyBorder="1"/>
    <xf numFmtId="4" fontId="1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/>
    <xf numFmtId="4" fontId="2" fillId="2" borderId="3" xfId="0" applyNumberFormat="1" applyFont="1" applyFill="1" applyBorder="1"/>
    <xf numFmtId="3" fontId="1" fillId="0" borderId="4" xfId="0" applyNumberFormat="1" applyFont="1" applyBorder="1"/>
    <xf numFmtId="4" fontId="2" fillId="2" borderId="1" xfId="0" applyNumberFormat="1" applyFont="1" applyFill="1" applyBorder="1"/>
    <xf numFmtId="3" fontId="1" fillId="2" borderId="1" xfId="0" applyNumberFormat="1" applyFont="1" applyFill="1" applyBorder="1"/>
    <xf numFmtId="3" fontId="3" fillId="5" borderId="1" xfId="0" applyNumberFormat="1" applyFont="1" applyFill="1" applyBorder="1"/>
    <xf numFmtId="3" fontId="3" fillId="5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/>
    <xf numFmtId="3" fontId="1" fillId="5" borderId="1" xfId="0" applyNumberFormat="1" applyFont="1" applyFill="1" applyBorder="1" applyAlignment="1">
      <alignment horizontal="center"/>
    </xf>
    <xf numFmtId="3" fontId="1" fillId="6" borderId="0" xfId="0" applyNumberFormat="1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3" fillId="6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7" borderId="1" xfId="0" applyFont="1" applyFill="1" applyBorder="1"/>
    <xf numFmtId="164" fontId="1" fillId="7" borderId="1" xfId="0" applyNumberFormat="1" applyFont="1" applyFill="1" applyBorder="1"/>
    <xf numFmtId="3" fontId="4" fillId="6" borderId="1" xfId="0" applyNumberFormat="1" applyFont="1" applyFill="1" applyBorder="1"/>
    <xf numFmtId="3" fontId="4" fillId="6" borderId="5" xfId="0" applyNumberFormat="1" applyFont="1" applyFill="1" applyBorder="1" applyAlignment="1">
      <alignment horizontal="left"/>
    </xf>
    <xf numFmtId="3" fontId="4" fillId="6" borderId="4" xfId="0" applyNumberFormat="1" applyFont="1" applyFill="1" applyBorder="1"/>
    <xf numFmtId="3" fontId="4" fillId="6" borderId="6" xfId="0" applyNumberFormat="1" applyFont="1" applyFill="1" applyBorder="1"/>
    <xf numFmtId="167" fontId="2" fillId="5" borderId="1" xfId="0" applyNumberFormat="1" applyFont="1" applyFill="1" applyBorder="1"/>
    <xf numFmtId="3" fontId="4" fillId="5" borderId="4" xfId="0" applyNumberFormat="1" applyFont="1" applyFill="1" applyBorder="1"/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167" fontId="1" fillId="6" borderId="1" xfId="0" applyNumberFormat="1" applyFont="1" applyFill="1" applyBorder="1"/>
    <xf numFmtId="3" fontId="1" fillId="0" borderId="1" xfId="0" applyNumberFormat="1" applyFont="1" applyBorder="1" applyAlignment="1">
      <alignment horizontal="center" wrapText="1"/>
    </xf>
    <xf numFmtId="0" fontId="1" fillId="5" borderId="1" xfId="0" applyFont="1" applyFill="1" applyBorder="1"/>
    <xf numFmtId="0" fontId="5" fillId="0" borderId="1" xfId="0" applyFont="1" applyBorder="1" applyAlignment="1">
      <alignment horizontal="center" wrapText="1"/>
    </xf>
    <xf numFmtId="165" fontId="1" fillId="0" borderId="1" xfId="0" applyNumberFormat="1" applyFont="1" applyBorder="1"/>
    <xf numFmtId="3" fontId="1" fillId="6" borderId="2" xfId="0" applyNumberFormat="1" applyFont="1" applyFill="1" applyBorder="1" applyAlignment="1">
      <alignment horizontal="center"/>
    </xf>
    <xf numFmtId="4" fontId="1" fillId="6" borderId="0" xfId="0" applyNumberFormat="1" applyFont="1" applyFill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6" xfId="0" applyFont="1" applyBorder="1"/>
    <xf numFmtId="3" fontId="4" fillId="0" borderId="6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4" fillId="6" borderId="1" xfId="0" applyFont="1" applyFill="1" applyBorder="1"/>
    <xf numFmtId="0" fontId="4" fillId="6" borderId="5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6" borderId="4" xfId="0" applyFont="1" applyFill="1" applyBorder="1"/>
    <xf numFmtId="0" fontId="4" fillId="6" borderId="6" xfId="0" applyFont="1" applyFill="1" applyBorder="1" applyAlignment="1">
      <alignment horizontal="right"/>
    </xf>
    <xf numFmtId="10" fontId="4" fillId="0" borderId="0" xfId="0" applyNumberFormat="1" applyFont="1" applyAlignment="1">
      <alignment horizontal="right"/>
    </xf>
    <xf numFmtId="0" fontId="6" fillId="9" borderId="1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0" fillId="0" borderId="0" xfId="0"/>
    <xf numFmtId="3" fontId="1" fillId="6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 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 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84" zoomScaleNormal="84" workbookViewId="0"/>
  </sheetViews>
  <sheetFormatPr defaultColWidth="14.390625" defaultRowHeight="15" customHeight="1" x14ac:dyDescent="0.2"/>
  <cols>
    <col min="1" max="1" width="43.71875" customWidth="1"/>
    <col min="2" max="2" width="17.08203125" customWidth="1"/>
    <col min="3" max="3" width="13.5859375" customWidth="1"/>
    <col min="4" max="4" width="12.9140625" customWidth="1"/>
    <col min="5" max="5" width="13.1796875" customWidth="1"/>
    <col min="6" max="6" width="12.5078125" customWidth="1"/>
    <col min="7" max="7" width="12.23828125" customWidth="1"/>
    <col min="8" max="8" width="12.375" customWidth="1"/>
    <col min="9" max="9" width="13.71875" customWidth="1"/>
    <col min="10" max="26" width="11.43359375" customWidth="1"/>
  </cols>
  <sheetData>
    <row r="1" spans="1:26" x14ac:dyDescent="0.2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8</v>
      </c>
      <c r="B3" s="5"/>
      <c r="C3" s="6">
        <v>260</v>
      </c>
      <c r="D3" s="6">
        <v>260</v>
      </c>
      <c r="E3" s="6">
        <v>260</v>
      </c>
      <c r="F3" s="6">
        <v>280</v>
      </c>
      <c r="G3" s="6">
        <v>280</v>
      </c>
      <c r="H3" s="6">
        <v>280</v>
      </c>
      <c r="I3" s="4">
        <v>450000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5" t="s">
        <v>9</v>
      </c>
      <c r="B4" s="5"/>
      <c r="C4" s="6">
        <v>100</v>
      </c>
      <c r="D4" s="6">
        <v>100</v>
      </c>
      <c r="E4" s="6">
        <v>100</v>
      </c>
      <c r="F4" s="6">
        <v>120</v>
      </c>
      <c r="G4" s="6">
        <v>120</v>
      </c>
      <c r="H4" s="6">
        <v>120</v>
      </c>
      <c r="I4" s="4">
        <v>400000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/>
      <c r="B6" s="3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 t="s">
        <v>10</v>
      </c>
      <c r="B7" s="5"/>
      <c r="C7" s="6">
        <f t="shared" ref="C7:H7" si="0">(C3*$I$3)+(C4*$I$4)</f>
        <v>157000000</v>
      </c>
      <c r="D7" s="6">
        <f t="shared" si="0"/>
        <v>157000000</v>
      </c>
      <c r="E7" s="6">
        <f t="shared" si="0"/>
        <v>157000000</v>
      </c>
      <c r="F7" s="6">
        <f t="shared" si="0"/>
        <v>174000000</v>
      </c>
      <c r="G7" s="6">
        <f t="shared" si="0"/>
        <v>174000000</v>
      </c>
      <c r="H7" s="6">
        <f t="shared" si="0"/>
        <v>174000000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 t="s">
        <v>11</v>
      </c>
      <c r="B8" s="5"/>
      <c r="C8" s="6"/>
      <c r="D8" s="6"/>
      <c r="E8" s="7">
        <f>G35+G36</f>
        <v>112000000</v>
      </c>
      <c r="F8" s="6"/>
      <c r="G8" s="6"/>
      <c r="H8" s="7">
        <f>G40</f>
        <v>180000000</v>
      </c>
      <c r="I8" s="1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 t="s">
        <v>13</v>
      </c>
      <c r="B9" s="8"/>
      <c r="C9" s="9">
        <f t="shared" ref="C9:H9" si="1">-C7*20%</f>
        <v>-31400000</v>
      </c>
      <c r="D9" s="9">
        <f t="shared" si="1"/>
        <v>-31400000</v>
      </c>
      <c r="E9" s="9">
        <f t="shared" si="1"/>
        <v>-31400000</v>
      </c>
      <c r="F9" s="9">
        <f t="shared" si="1"/>
        <v>-34800000</v>
      </c>
      <c r="G9" s="9">
        <f t="shared" si="1"/>
        <v>-34800000</v>
      </c>
      <c r="H9" s="9">
        <f t="shared" si="1"/>
        <v>-34800000</v>
      </c>
      <c r="I9" s="1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 t="s">
        <v>15</v>
      </c>
      <c r="B10" s="8"/>
      <c r="C10" s="9">
        <v>-10000000</v>
      </c>
      <c r="D10" s="9">
        <v>-10000000</v>
      </c>
      <c r="E10" s="9">
        <v>-10000000</v>
      </c>
      <c r="F10" s="9">
        <v>-10000000</v>
      </c>
      <c r="G10" s="9">
        <v>-10000000</v>
      </c>
      <c r="H10" s="9">
        <v>-10000000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16</v>
      </c>
      <c r="B11" s="8"/>
      <c r="C11" s="9">
        <v>-20000000</v>
      </c>
      <c r="D11" s="9">
        <v>-20000000</v>
      </c>
      <c r="E11" s="9">
        <v>-20000000</v>
      </c>
      <c r="F11" s="9">
        <v>-20000000</v>
      </c>
      <c r="G11" s="9">
        <v>-20000000</v>
      </c>
      <c r="H11" s="9">
        <v>-20000000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 t="s">
        <v>17</v>
      </c>
      <c r="B12" s="8"/>
      <c r="C12" s="9">
        <f>-(E35+E36+E37+E39)</f>
        <v>-22000000</v>
      </c>
      <c r="D12" s="9">
        <f t="shared" ref="D12:E12" si="2">C12</f>
        <v>-22000000</v>
      </c>
      <c r="E12" s="9">
        <f t="shared" si="2"/>
        <v>-22000000</v>
      </c>
      <c r="F12" s="9">
        <f>-(E37+E39+E44+E45)</f>
        <v>-23750000</v>
      </c>
      <c r="G12" s="9">
        <f>F12</f>
        <v>-23750000</v>
      </c>
      <c r="H12" s="9">
        <f>-(E37+E44+E45)</f>
        <v>-21750000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 t="s">
        <v>18</v>
      </c>
      <c r="B13" s="8"/>
      <c r="C13" s="9">
        <f>B20/1</f>
        <v>-5000000</v>
      </c>
      <c r="D13" s="9"/>
      <c r="E13" s="9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 t="s">
        <v>19</v>
      </c>
      <c r="B14" s="8"/>
      <c r="C14" s="9"/>
      <c r="D14" s="9"/>
      <c r="E14" s="9">
        <f>-(F35+F36)</f>
        <v>-70000000</v>
      </c>
      <c r="F14" s="9"/>
      <c r="G14" s="9"/>
      <c r="H14" s="9">
        <f>-(F37+F38+F44+F45)</f>
        <v>-183250000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 t="s">
        <v>20</v>
      </c>
      <c r="B15" s="3"/>
      <c r="C15" s="4">
        <f t="shared" ref="C15:H15" si="3">SUM(C7:C14)</f>
        <v>68600000</v>
      </c>
      <c r="D15" s="4">
        <f t="shared" si="3"/>
        <v>73600000</v>
      </c>
      <c r="E15" s="4">
        <f t="shared" si="3"/>
        <v>115600000</v>
      </c>
      <c r="F15" s="4">
        <f t="shared" si="3"/>
        <v>85450000</v>
      </c>
      <c r="G15" s="4">
        <f t="shared" si="3"/>
        <v>85450000</v>
      </c>
      <c r="H15" s="4">
        <f t="shared" si="3"/>
        <v>84200000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8" t="s">
        <v>21</v>
      </c>
      <c r="B16" s="8"/>
      <c r="C16" s="9">
        <f t="shared" ref="C16:H16" si="4">-C15*0.27</f>
        <v>-18522000</v>
      </c>
      <c r="D16" s="9">
        <f t="shared" si="4"/>
        <v>-19872000</v>
      </c>
      <c r="E16" s="9">
        <f t="shared" si="4"/>
        <v>-31212000.000000004</v>
      </c>
      <c r="F16" s="9">
        <f t="shared" si="4"/>
        <v>-23071500</v>
      </c>
      <c r="G16" s="9">
        <f t="shared" si="4"/>
        <v>-23071500</v>
      </c>
      <c r="H16" s="9">
        <f t="shared" si="4"/>
        <v>-22734000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 t="s">
        <v>22</v>
      </c>
      <c r="B17" s="3"/>
      <c r="C17" s="4">
        <f t="shared" ref="C17:H17" si="5">SUM(C15:C16)</f>
        <v>50078000</v>
      </c>
      <c r="D17" s="4">
        <f t="shared" si="5"/>
        <v>53728000</v>
      </c>
      <c r="E17" s="4">
        <f t="shared" si="5"/>
        <v>84388000</v>
      </c>
      <c r="F17" s="4">
        <f t="shared" si="5"/>
        <v>62378500</v>
      </c>
      <c r="G17" s="4">
        <f t="shared" si="5"/>
        <v>62378500</v>
      </c>
      <c r="H17" s="4">
        <f t="shared" si="5"/>
        <v>61466000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 t="s">
        <v>23</v>
      </c>
      <c r="B18" s="5"/>
      <c r="C18" s="6">
        <f t="shared" ref="C18:H18" si="6">-(C12+C13+C14)</f>
        <v>27000000</v>
      </c>
      <c r="D18" s="6">
        <f t="shared" si="6"/>
        <v>22000000</v>
      </c>
      <c r="E18" s="6">
        <f t="shared" si="6"/>
        <v>92000000</v>
      </c>
      <c r="F18" s="6">
        <f t="shared" si="6"/>
        <v>23750000</v>
      </c>
      <c r="G18" s="6">
        <f t="shared" si="6"/>
        <v>23750000</v>
      </c>
      <c r="H18" s="6">
        <f t="shared" si="6"/>
        <v>205000000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 t="s">
        <v>24</v>
      </c>
      <c r="B19" s="8">
        <f>-C40</f>
        <v>-250000000</v>
      </c>
      <c r="C19" s="6"/>
      <c r="D19" s="6"/>
      <c r="E19" s="9">
        <f>-C46</f>
        <v>-176000000.00000003</v>
      </c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 t="s">
        <v>25</v>
      </c>
      <c r="B20" s="8">
        <v>-5000000</v>
      </c>
      <c r="C20" s="6"/>
      <c r="D20" s="6"/>
      <c r="E20" s="6"/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 t="s">
        <v>26</v>
      </c>
      <c r="B21" s="8">
        <f>-C7*15%</f>
        <v>-23550000</v>
      </c>
      <c r="C21" s="9">
        <f t="shared" ref="C21:G21" si="7">-(D7-C7)*15%</f>
        <v>0</v>
      </c>
      <c r="D21" s="9">
        <f t="shared" si="7"/>
        <v>0</v>
      </c>
      <c r="E21" s="9">
        <f t="shared" si="7"/>
        <v>-2550000</v>
      </c>
      <c r="F21" s="9">
        <f t="shared" si="7"/>
        <v>0</v>
      </c>
      <c r="G21" s="9">
        <f t="shared" si="7"/>
        <v>0</v>
      </c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27</v>
      </c>
      <c r="B22" s="5"/>
      <c r="C22" s="6"/>
      <c r="D22" s="6"/>
      <c r="E22" s="6"/>
      <c r="F22" s="6"/>
      <c r="G22" s="6"/>
      <c r="H22" s="6">
        <f>-SUM(B21:G21)</f>
        <v>26100000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0" t="s">
        <v>28</v>
      </c>
      <c r="B23" s="10">
        <f t="shared" ref="B23:H23" si="8">SUM(B17:B22)</f>
        <v>-278550000</v>
      </c>
      <c r="C23" s="11">
        <f t="shared" si="8"/>
        <v>77078000</v>
      </c>
      <c r="D23" s="11">
        <f t="shared" si="8"/>
        <v>75728000</v>
      </c>
      <c r="E23" s="11">
        <f t="shared" si="8"/>
        <v>-2162000.0000000298</v>
      </c>
      <c r="F23" s="11">
        <f t="shared" si="8"/>
        <v>86128500</v>
      </c>
      <c r="G23" s="11">
        <f t="shared" si="8"/>
        <v>86128500</v>
      </c>
      <c r="H23" s="11">
        <f t="shared" si="8"/>
        <v>292566000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>
        <f>B23</f>
        <v>-278550000</v>
      </c>
      <c r="C25" s="2">
        <f t="shared" ref="C25:H25" si="9">C23/(1+$B$63)^C6</f>
        <v>68461901.901174158</v>
      </c>
      <c r="D25" s="2">
        <f t="shared" si="9"/>
        <v>59743894.931919828</v>
      </c>
      <c r="E25" s="2">
        <f t="shared" si="9"/>
        <v>-1514995.2028952623</v>
      </c>
      <c r="F25" s="2">
        <f t="shared" si="9"/>
        <v>53606934.688567892</v>
      </c>
      <c r="G25" s="2">
        <f t="shared" si="9"/>
        <v>47614529.487939291</v>
      </c>
      <c r="H25" s="2">
        <f t="shared" si="9"/>
        <v>143659711.56905535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">
      <c r="A27" s="1"/>
      <c r="B27" s="1">
        <f>SUM(B25:H25)</f>
        <v>93021977.375761271</v>
      </c>
      <c r="C27" s="77" t="s">
        <v>29</v>
      </c>
      <c r="D27" s="78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2" t="s">
        <v>30</v>
      </c>
      <c r="C33" s="13"/>
      <c r="D33" s="13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 t="s">
        <v>31</v>
      </c>
      <c r="C34" s="4" t="s">
        <v>32</v>
      </c>
      <c r="D34" s="4" t="s">
        <v>33</v>
      </c>
      <c r="E34" s="4" t="s">
        <v>34</v>
      </c>
      <c r="F34" s="4" t="s">
        <v>35</v>
      </c>
      <c r="G34" s="4" t="s">
        <v>36</v>
      </c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5" t="s">
        <v>37</v>
      </c>
      <c r="C35" s="6">
        <v>60000000</v>
      </c>
      <c r="D35" s="6">
        <v>8</v>
      </c>
      <c r="E35" s="6">
        <f t="shared" ref="E35:E37" si="10">C35/D35</f>
        <v>7500000</v>
      </c>
      <c r="F35" s="6">
        <f>C35-(E35*8)</f>
        <v>0</v>
      </c>
      <c r="G35" s="6">
        <f t="shared" ref="G35:G36" si="11">C35*70%</f>
        <v>42000000</v>
      </c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5" t="s">
        <v>38</v>
      </c>
      <c r="C36" s="6">
        <v>100000000</v>
      </c>
      <c r="D36" s="6">
        <v>10</v>
      </c>
      <c r="E36" s="6">
        <f t="shared" si="10"/>
        <v>10000000</v>
      </c>
      <c r="F36" s="6">
        <f>C36-(E36*3)</f>
        <v>70000000</v>
      </c>
      <c r="G36" s="6">
        <f t="shared" si="11"/>
        <v>70000000</v>
      </c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5" t="s">
        <v>39</v>
      </c>
      <c r="C37" s="6">
        <v>50000000</v>
      </c>
      <c r="D37" s="6">
        <v>20</v>
      </c>
      <c r="E37" s="6">
        <f t="shared" si="10"/>
        <v>2500000</v>
      </c>
      <c r="F37" s="6">
        <f t="shared" ref="F37:F38" si="12">C37-(E37*6)</f>
        <v>35000000</v>
      </c>
      <c r="G37" s="6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5" t="s">
        <v>40</v>
      </c>
      <c r="C38" s="6">
        <v>30000000</v>
      </c>
      <c r="D38" s="6"/>
      <c r="E38" s="6"/>
      <c r="F38" s="6">
        <f t="shared" si="12"/>
        <v>30000000</v>
      </c>
      <c r="G38" s="6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5" t="s">
        <v>41</v>
      </c>
      <c r="C39" s="6">
        <v>10000000</v>
      </c>
      <c r="D39" s="6">
        <v>5</v>
      </c>
      <c r="E39" s="6">
        <f>C39/D39</f>
        <v>2000000</v>
      </c>
      <c r="F39" s="6">
        <f>C39-(E39*5)</f>
        <v>0</v>
      </c>
      <c r="G39" s="6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4" t="s">
        <v>42</v>
      </c>
      <c r="C40" s="15">
        <f>SUM(C35:C39)</f>
        <v>250000000</v>
      </c>
      <c r="D40" s="15"/>
      <c r="E40" s="15"/>
      <c r="F40" s="6"/>
      <c r="G40" s="15">
        <v>180000000</v>
      </c>
      <c r="H40" s="2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2" t="s">
        <v>43</v>
      </c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 t="str">
        <f t="shared" ref="B43:F43" si="13">B34</f>
        <v>Activo</v>
      </c>
      <c r="C43" s="4" t="str">
        <f t="shared" si="13"/>
        <v>Valor de Adq.</v>
      </c>
      <c r="D43" s="4" t="str">
        <f t="shared" si="13"/>
        <v>Vida util</v>
      </c>
      <c r="E43" s="4" t="str">
        <f t="shared" si="13"/>
        <v>Depreciacion</v>
      </c>
      <c r="F43" s="4" t="str">
        <f t="shared" si="13"/>
        <v>VL</v>
      </c>
      <c r="G43" s="17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5" t="str">
        <f t="shared" ref="B44:B45" si="14">B35</f>
        <v>Furgones</v>
      </c>
      <c r="C44" s="6">
        <f t="shared" ref="C44:C45" si="15">C35*1.1</f>
        <v>66000000.000000007</v>
      </c>
      <c r="D44" s="6">
        <v>8</v>
      </c>
      <c r="E44" s="6">
        <f t="shared" ref="E44:E45" si="16">C44/D44</f>
        <v>8250000.0000000009</v>
      </c>
      <c r="F44" s="6">
        <f t="shared" ref="F44:F45" si="17">C44-(E44*3)</f>
        <v>41250000</v>
      </c>
      <c r="G44" s="17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5" t="str">
        <f t="shared" si="14"/>
        <v>Mini buses</v>
      </c>
      <c r="C45" s="6">
        <f t="shared" si="15"/>
        <v>110000000.00000001</v>
      </c>
      <c r="D45" s="6">
        <v>10</v>
      </c>
      <c r="E45" s="6">
        <f t="shared" si="16"/>
        <v>11000000.000000002</v>
      </c>
      <c r="F45" s="6">
        <f t="shared" si="17"/>
        <v>77000000</v>
      </c>
      <c r="G45" s="17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4" t="str">
        <f>B40</f>
        <v>TOTAL</v>
      </c>
      <c r="C46" s="15">
        <f>SUM(C44:C45)</f>
        <v>176000000.00000003</v>
      </c>
      <c r="D46" s="15"/>
      <c r="E46" s="15"/>
      <c r="F46" s="15"/>
      <c r="G46" s="17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5" t="s">
        <v>44</v>
      </c>
      <c r="B50" s="5">
        <v>50000000</v>
      </c>
      <c r="C50" s="18">
        <f t="shared" ref="C50:C52" si="18">B50/$B$52</f>
        <v>0.1795009872554299</v>
      </c>
      <c r="D50" s="2" t="s">
        <v>45</v>
      </c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5" t="s">
        <v>46</v>
      </c>
      <c r="B51" s="5">
        <f>B52-B50</f>
        <v>228550000</v>
      </c>
      <c r="C51" s="18">
        <f t="shared" si="18"/>
        <v>0.82049901274457004</v>
      </c>
      <c r="D51" s="2" t="s">
        <v>47</v>
      </c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4" t="s">
        <v>48</v>
      </c>
      <c r="B52" s="14">
        <f>-B23</f>
        <v>278550000</v>
      </c>
      <c r="C52" s="19">
        <f t="shared" si="18"/>
        <v>1</v>
      </c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20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 t="s">
        <v>49</v>
      </c>
      <c r="B54" s="5"/>
      <c r="C54" s="21"/>
      <c r="D54" s="21" t="s">
        <v>50</v>
      </c>
      <c r="E54" s="21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5" t="s">
        <v>51</v>
      </c>
      <c r="B55" s="22">
        <v>0.04</v>
      </c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5" t="s">
        <v>52</v>
      </c>
      <c r="B56" s="22">
        <v>0.16</v>
      </c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 t="s">
        <v>53</v>
      </c>
      <c r="B57" s="23">
        <v>0.7</v>
      </c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 t="s">
        <v>54</v>
      </c>
      <c r="B58" s="24">
        <f>B57*(1+(1-0.27)*(C50/C51))</f>
        <v>0.81179173047473185</v>
      </c>
      <c r="C58" s="21"/>
      <c r="D58" s="21" t="s">
        <v>55</v>
      </c>
      <c r="E58" s="21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 t="s">
        <v>56</v>
      </c>
      <c r="B59" s="25">
        <f>B55+(B56-B55)*B58</f>
        <v>0.13741500765696782</v>
      </c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3" t="s">
        <v>57</v>
      </c>
      <c r="B61" s="1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5" t="s">
        <v>58</v>
      </c>
      <c r="B62" s="22">
        <v>0.1</v>
      </c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3" t="s">
        <v>59</v>
      </c>
      <c r="B63" s="25">
        <f>(C50*B62*0.73)+(C51*B59)</f>
        <v>0.12585245018847602</v>
      </c>
      <c r="C63" s="21"/>
      <c r="D63" s="21"/>
      <c r="E63" s="21" t="s">
        <v>60</v>
      </c>
      <c r="F63" s="21"/>
      <c r="G63" s="2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3" t="s">
        <v>61</v>
      </c>
      <c r="B65" s="5">
        <f t="array" ref="B65">NPV(B63,C23:H23)+B23</f>
        <v>93021977.375761211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3" t="s">
        <v>62</v>
      </c>
      <c r="B66" s="22">
        <f>IRR(B23:H23)</f>
        <v>0.21262208029437368</v>
      </c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3" t="s">
        <v>63</v>
      </c>
      <c r="B68" s="4">
        <f t="shared" ref="B68:H68" si="19">B6</f>
        <v>0</v>
      </c>
      <c r="C68" s="4">
        <f t="shared" si="19"/>
        <v>1</v>
      </c>
      <c r="D68" s="4">
        <f t="shared" si="19"/>
        <v>2</v>
      </c>
      <c r="E68" s="4">
        <f t="shared" si="19"/>
        <v>3</v>
      </c>
      <c r="F68" s="4">
        <f t="shared" si="19"/>
        <v>4</v>
      </c>
      <c r="G68" s="4">
        <f t="shared" si="19"/>
        <v>5</v>
      </c>
      <c r="H68" s="4">
        <f t="shared" si="19"/>
        <v>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5" t="str">
        <f t="shared" ref="A69:H69" si="20">A23</f>
        <v>Flujo Economico</v>
      </c>
      <c r="B69" s="6">
        <f t="shared" si="20"/>
        <v>-278550000</v>
      </c>
      <c r="C69" s="6">
        <f t="shared" si="20"/>
        <v>77078000</v>
      </c>
      <c r="D69" s="6">
        <f t="shared" si="20"/>
        <v>75728000</v>
      </c>
      <c r="E69" s="6">
        <f t="shared" si="20"/>
        <v>-2162000.0000000298</v>
      </c>
      <c r="F69" s="6">
        <f t="shared" si="20"/>
        <v>86128500</v>
      </c>
      <c r="G69" s="6">
        <f t="shared" si="20"/>
        <v>86128500</v>
      </c>
      <c r="H69" s="6">
        <f t="shared" si="20"/>
        <v>292566000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5" t="s">
        <v>64</v>
      </c>
      <c r="B70" s="6">
        <f>B69</f>
        <v>-278550000</v>
      </c>
      <c r="C70" s="6">
        <f t="shared" ref="C70:H70" si="21">C69/POWER(1+$B$63,C68)</f>
        <v>68461901.901174158</v>
      </c>
      <c r="D70" s="6">
        <f t="shared" si="21"/>
        <v>59743894.931919828</v>
      </c>
      <c r="E70" s="6">
        <f t="shared" si="21"/>
        <v>-1514995.2028952623</v>
      </c>
      <c r="F70" s="6">
        <f t="shared" si="21"/>
        <v>53606934.688567892</v>
      </c>
      <c r="G70" s="6">
        <f t="shared" si="21"/>
        <v>47614529.487939291</v>
      </c>
      <c r="H70" s="6">
        <f t="shared" si="21"/>
        <v>143659711.56905535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5" t="s">
        <v>65</v>
      </c>
      <c r="B71" s="6"/>
      <c r="C71" s="6">
        <f>B70+C70</f>
        <v>-210088098.09882584</v>
      </c>
      <c r="D71" s="6">
        <f t="shared" ref="D71:G71" si="22">C71+D70</f>
        <v>-150344203.166906</v>
      </c>
      <c r="E71" s="6">
        <f t="shared" si="22"/>
        <v>-151859198.36980125</v>
      </c>
      <c r="F71" s="6">
        <f t="shared" si="22"/>
        <v>-98252263.681233361</v>
      </c>
      <c r="G71" s="6">
        <f t="shared" si="22"/>
        <v>-50637734.193294071</v>
      </c>
      <c r="H71" s="26">
        <f>-G71/H70</f>
        <v>0.35248389155336129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7" t="s">
        <v>63</v>
      </c>
      <c r="B72" s="28">
        <f>G68+H71</f>
        <v>5.3524838915533612</v>
      </c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3" t="s">
        <v>63</v>
      </c>
      <c r="B75" s="4">
        <f>B13</f>
        <v>0</v>
      </c>
      <c r="C75" s="4">
        <v>1</v>
      </c>
      <c r="D75" s="4">
        <v>2</v>
      </c>
      <c r="E75" s="4">
        <v>3</v>
      </c>
      <c r="F75" s="4">
        <v>4</v>
      </c>
      <c r="G75" s="4">
        <v>5</v>
      </c>
      <c r="H75" s="4">
        <v>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6">
        <f t="shared" ref="B76:H76" si="23">B70</f>
        <v>-278550000</v>
      </c>
      <c r="C76" s="6">
        <f t="shared" si="23"/>
        <v>68461901.901174158</v>
      </c>
      <c r="D76" s="6">
        <f t="shared" si="23"/>
        <v>59743894.931919828</v>
      </c>
      <c r="E76" s="6">
        <f t="shared" si="23"/>
        <v>-1514995.2028952623</v>
      </c>
      <c r="F76" s="6">
        <f t="shared" si="23"/>
        <v>53606934.688567892</v>
      </c>
      <c r="G76" s="6">
        <f t="shared" si="23"/>
        <v>47614529.487939291</v>
      </c>
      <c r="H76" s="6">
        <f t="shared" si="23"/>
        <v>143659711.56905535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6">
        <f>B76</f>
        <v>-278550000</v>
      </c>
      <c r="C77" s="6">
        <f t="shared" ref="C77:H77" si="24">B77+C76</f>
        <v>-210088098.09882584</v>
      </c>
      <c r="D77" s="6">
        <f t="shared" si="24"/>
        <v>-150344203.166906</v>
      </c>
      <c r="E77" s="6">
        <f t="shared" si="24"/>
        <v>-151859198.36980125</v>
      </c>
      <c r="F77" s="6">
        <f t="shared" si="24"/>
        <v>-98252263.681233361</v>
      </c>
      <c r="G77" s="6">
        <f t="shared" si="24"/>
        <v>-50637734.193294071</v>
      </c>
      <c r="H77" s="6">
        <f t="shared" si="24"/>
        <v>93021977.375761271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5" t="s">
        <v>66</v>
      </c>
      <c r="B78" s="29">
        <f>G75</f>
        <v>5</v>
      </c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5" t="s">
        <v>67</v>
      </c>
      <c r="B79" s="5">
        <f>ABS(G77)</f>
        <v>50637734.193294071</v>
      </c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5" t="s">
        <v>68</v>
      </c>
      <c r="B80" s="5">
        <f>H76</f>
        <v>143659711.56905535</v>
      </c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3" t="s">
        <v>63</v>
      </c>
      <c r="B81" s="30">
        <f>B78+(B79/B80)</f>
        <v>5.3524838915533612</v>
      </c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7:D27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390625" defaultRowHeight="15" customHeight="1" x14ac:dyDescent="0.2"/>
  <cols>
    <col min="1" max="1" width="43.71875" customWidth="1"/>
    <col min="2" max="2" width="20.84765625" customWidth="1"/>
    <col min="3" max="3" width="13.5859375" customWidth="1"/>
    <col min="4" max="4" width="12.9140625" customWidth="1"/>
    <col min="5" max="5" width="13.1796875" customWidth="1"/>
    <col min="6" max="6" width="12.5078125" customWidth="1"/>
    <col min="7" max="7" width="12.23828125" customWidth="1"/>
    <col min="8" max="8" width="12.375" customWidth="1"/>
    <col min="9" max="9" width="13.71875" customWidth="1"/>
    <col min="10" max="26" width="11.43359375" customWidth="1"/>
  </cols>
  <sheetData>
    <row r="1" spans="1:26" x14ac:dyDescent="0.2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69</v>
      </c>
      <c r="B3" s="5"/>
      <c r="C3" s="6">
        <v>260</v>
      </c>
      <c r="D3" s="6">
        <v>260</v>
      </c>
      <c r="E3" s="6">
        <v>260</v>
      </c>
      <c r="F3" s="6">
        <v>280</v>
      </c>
      <c r="G3" s="6">
        <v>280</v>
      </c>
      <c r="H3" s="6">
        <v>280</v>
      </c>
      <c r="I3" s="31">
        <v>450000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5" t="s">
        <v>70</v>
      </c>
      <c r="B4" s="5"/>
      <c r="C4" s="6">
        <v>100</v>
      </c>
      <c r="D4" s="6">
        <v>100</v>
      </c>
      <c r="E4" s="6">
        <v>100</v>
      </c>
      <c r="F4" s="6">
        <v>120</v>
      </c>
      <c r="G4" s="6">
        <v>120</v>
      </c>
      <c r="H4" s="6">
        <v>120</v>
      </c>
      <c r="I4" s="31">
        <v>400000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/>
      <c r="B6" s="3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 t="s">
        <v>10</v>
      </c>
      <c r="B7" s="5"/>
      <c r="C7" s="6">
        <f t="shared" ref="C7:H7" si="0">(C3*$I$3)+(C4*$I$4)</f>
        <v>157000000</v>
      </c>
      <c r="D7" s="6">
        <f t="shared" si="0"/>
        <v>157000000</v>
      </c>
      <c r="E7" s="6">
        <f t="shared" si="0"/>
        <v>157000000</v>
      </c>
      <c r="F7" s="6">
        <f t="shared" si="0"/>
        <v>174000000</v>
      </c>
      <c r="G7" s="6">
        <f t="shared" si="0"/>
        <v>174000000</v>
      </c>
      <c r="H7" s="6">
        <f t="shared" si="0"/>
        <v>174000000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 t="s">
        <v>11</v>
      </c>
      <c r="B8" s="5"/>
      <c r="C8" s="6"/>
      <c r="D8" s="6"/>
      <c r="E8" s="7">
        <f>G30+G31</f>
        <v>112000000</v>
      </c>
      <c r="F8" s="6"/>
      <c r="G8" s="6"/>
      <c r="H8" s="7">
        <f>G35</f>
        <v>180000000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 t="s">
        <v>13</v>
      </c>
      <c r="B9" s="8"/>
      <c r="C9" s="9">
        <f t="shared" ref="C9:H9" si="1">-C7*20%</f>
        <v>-31400000</v>
      </c>
      <c r="D9" s="9">
        <f t="shared" si="1"/>
        <v>-31400000</v>
      </c>
      <c r="E9" s="9">
        <f t="shared" si="1"/>
        <v>-31400000</v>
      </c>
      <c r="F9" s="9">
        <f t="shared" si="1"/>
        <v>-34800000</v>
      </c>
      <c r="G9" s="9">
        <f t="shared" si="1"/>
        <v>-34800000</v>
      </c>
      <c r="H9" s="9">
        <f t="shared" si="1"/>
        <v>-34800000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 t="s">
        <v>15</v>
      </c>
      <c r="B10" s="8"/>
      <c r="C10" s="9">
        <v>-10000000</v>
      </c>
      <c r="D10" s="9">
        <v>-10000000</v>
      </c>
      <c r="E10" s="9">
        <v>-10000000</v>
      </c>
      <c r="F10" s="9">
        <v>-10000000</v>
      </c>
      <c r="G10" s="9">
        <v>-10000000</v>
      </c>
      <c r="H10" s="9">
        <v>-10000000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16</v>
      </c>
      <c r="B11" s="8"/>
      <c r="C11" s="9">
        <v>-20000000</v>
      </c>
      <c r="D11" s="9">
        <v>-20000000</v>
      </c>
      <c r="E11" s="9">
        <v>-20000000</v>
      </c>
      <c r="F11" s="9">
        <v>-20000000</v>
      </c>
      <c r="G11" s="9">
        <v>-20000000</v>
      </c>
      <c r="H11" s="9">
        <v>-20000000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 t="s">
        <v>34</v>
      </c>
      <c r="B12" s="8"/>
      <c r="C12" s="9">
        <f>-(E30+E31+E32+E34)</f>
        <v>-22000000</v>
      </c>
      <c r="D12" s="9">
        <f t="shared" ref="D12:E12" si="2">C12</f>
        <v>-22000000</v>
      </c>
      <c r="E12" s="9">
        <f t="shared" si="2"/>
        <v>-22000000</v>
      </c>
      <c r="F12" s="9">
        <f>-(E32+++E34+E39+E40)</f>
        <v>-23750000</v>
      </c>
      <c r="G12" s="9">
        <f>F12</f>
        <v>-23750000</v>
      </c>
      <c r="H12" s="9">
        <f>-(E32+E39+E40)</f>
        <v>-21750000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 t="s">
        <v>18</v>
      </c>
      <c r="B13" s="8"/>
      <c r="C13" s="9">
        <f>B21/1</f>
        <v>-5000000</v>
      </c>
      <c r="D13" s="9"/>
      <c r="E13" s="9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 t="s">
        <v>19</v>
      </c>
      <c r="B14" s="8"/>
      <c r="C14" s="9"/>
      <c r="D14" s="9"/>
      <c r="E14" s="9">
        <f>-(F30+F31)</f>
        <v>-107500000</v>
      </c>
      <c r="F14" s="9"/>
      <c r="G14" s="9"/>
      <c r="H14" s="9">
        <f>-(F32+F33+F39+F40)</f>
        <v>-183250000</v>
      </c>
      <c r="I14" s="1"/>
      <c r="J14" s="1" t="s">
        <v>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2" t="s">
        <v>72</v>
      </c>
      <c r="B15" s="32"/>
      <c r="C15" s="33">
        <f>-D47</f>
        <v>-5000000</v>
      </c>
      <c r="D15" s="33">
        <f>-D48</f>
        <v>-4181012.5960262734</v>
      </c>
      <c r="E15" s="33">
        <f>-D49</f>
        <v>-3280126.4516551737</v>
      </c>
      <c r="F15" s="33">
        <f>-D50</f>
        <v>-2289151.6928469636</v>
      </c>
      <c r="G15" s="33">
        <f>-D51</f>
        <v>-1199079.4581579331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 t="s">
        <v>20</v>
      </c>
      <c r="B16" s="3"/>
      <c r="C16" s="4">
        <f t="shared" ref="C16:H16" si="3">SUM(C7:C15)</f>
        <v>63600000</v>
      </c>
      <c r="D16" s="4">
        <f t="shared" si="3"/>
        <v>69418987.403973728</v>
      </c>
      <c r="E16" s="4">
        <f t="shared" si="3"/>
        <v>74819873.548344821</v>
      </c>
      <c r="F16" s="4">
        <f t="shared" si="3"/>
        <v>83160848.307153031</v>
      </c>
      <c r="G16" s="4">
        <f t="shared" si="3"/>
        <v>84250920.541842073</v>
      </c>
      <c r="H16" s="4">
        <f t="shared" si="3"/>
        <v>84200000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8" t="s">
        <v>21</v>
      </c>
      <c r="B17" s="8"/>
      <c r="C17" s="9">
        <f t="shared" ref="C17:H17" si="4">-C16*0.27</f>
        <v>-17172000</v>
      </c>
      <c r="D17" s="9">
        <f t="shared" si="4"/>
        <v>-18743126.599072907</v>
      </c>
      <c r="E17" s="9">
        <f t="shared" si="4"/>
        <v>-20201365.858053103</v>
      </c>
      <c r="F17" s="9">
        <f t="shared" si="4"/>
        <v>-22453429.042931318</v>
      </c>
      <c r="G17" s="9">
        <f t="shared" si="4"/>
        <v>-22747748.54629736</v>
      </c>
      <c r="H17" s="9">
        <f t="shared" si="4"/>
        <v>-22734000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22</v>
      </c>
      <c r="B18" s="3"/>
      <c r="C18" s="4">
        <f t="shared" ref="C18:H18" si="5">SUM(C16:C17)</f>
        <v>46428000</v>
      </c>
      <c r="D18" s="4">
        <f t="shared" si="5"/>
        <v>50675860.804900825</v>
      </c>
      <c r="E18" s="4">
        <f t="shared" si="5"/>
        <v>54618507.690291718</v>
      </c>
      <c r="F18" s="4">
        <f t="shared" si="5"/>
        <v>60707419.264221713</v>
      </c>
      <c r="G18" s="4">
        <f t="shared" si="5"/>
        <v>61503171.995544717</v>
      </c>
      <c r="H18" s="4">
        <f t="shared" si="5"/>
        <v>61466000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 t="s">
        <v>73</v>
      </c>
      <c r="B19" s="5"/>
      <c r="C19" s="6">
        <f t="shared" ref="C19:H19" si="6">-(C12+C13+C14)</f>
        <v>27000000</v>
      </c>
      <c r="D19" s="6">
        <f t="shared" si="6"/>
        <v>22000000</v>
      </c>
      <c r="E19" s="6">
        <f t="shared" si="6"/>
        <v>129500000</v>
      </c>
      <c r="F19" s="6">
        <f t="shared" si="6"/>
        <v>23750000</v>
      </c>
      <c r="G19" s="6">
        <f t="shared" si="6"/>
        <v>23750000</v>
      </c>
      <c r="H19" s="6">
        <f t="shared" si="6"/>
        <v>205000000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 t="s">
        <v>24</v>
      </c>
      <c r="B20" s="8">
        <f>-C35</f>
        <v>-250000000</v>
      </c>
      <c r="C20" s="6"/>
      <c r="D20" s="6"/>
      <c r="E20" s="9">
        <f>-C41</f>
        <v>-176000000.00000003</v>
      </c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 t="s">
        <v>74</v>
      </c>
      <c r="B21" s="8">
        <v>-5000000</v>
      </c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26</v>
      </c>
      <c r="B22" s="8">
        <f>-C7*15%</f>
        <v>-23550000</v>
      </c>
      <c r="C22" s="9">
        <f t="shared" ref="C22:G22" si="7">-(D7-C7)*15%</f>
        <v>0</v>
      </c>
      <c r="D22" s="9">
        <f t="shared" si="7"/>
        <v>0</v>
      </c>
      <c r="E22" s="9">
        <f t="shared" si="7"/>
        <v>-2550000</v>
      </c>
      <c r="F22" s="9">
        <f t="shared" si="7"/>
        <v>0</v>
      </c>
      <c r="G22" s="9">
        <f t="shared" si="7"/>
        <v>0</v>
      </c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 t="s">
        <v>27</v>
      </c>
      <c r="B23" s="5"/>
      <c r="C23" s="6"/>
      <c r="D23" s="6"/>
      <c r="E23" s="6"/>
      <c r="F23" s="6"/>
      <c r="G23" s="6"/>
      <c r="H23" s="6">
        <f>-SUM(B22:G22)</f>
        <v>26100000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4" t="s">
        <v>75</v>
      </c>
      <c r="B24" s="34">
        <f>+F46</f>
        <v>50000000</v>
      </c>
      <c r="C24" s="35"/>
      <c r="D24" s="35"/>
      <c r="E24" s="35"/>
      <c r="F24" s="35"/>
      <c r="G24" s="35"/>
      <c r="H24" s="3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4" t="s">
        <v>76</v>
      </c>
      <c r="B25" s="32"/>
      <c r="C25" s="33">
        <f>-E47</f>
        <v>-8189874.0397372693</v>
      </c>
      <c r="D25" s="33">
        <f>-E48</f>
        <v>-9008861.4437109958</v>
      </c>
      <c r="E25" s="33">
        <f>-E49</f>
        <v>-9909747.5880820956</v>
      </c>
      <c r="F25" s="33">
        <f>-E50</f>
        <v>-10900722.346890306</v>
      </c>
      <c r="G25" s="33">
        <f>-E51</f>
        <v>-11990794.581579337</v>
      </c>
      <c r="H25" s="3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77</v>
      </c>
      <c r="B26" s="3">
        <f>SUM(B19:B25)</f>
        <v>-228550000</v>
      </c>
      <c r="C26" s="4">
        <f t="shared" ref="C26:H26" si="8">SUM(C18:C25)</f>
        <v>65238125.960262731</v>
      </c>
      <c r="D26" s="4">
        <f t="shared" si="8"/>
        <v>63666999.361189827</v>
      </c>
      <c r="E26" s="4">
        <f t="shared" si="8"/>
        <v>-4341239.8977904227</v>
      </c>
      <c r="F26" s="4">
        <f t="shared" si="8"/>
        <v>73556696.917331412</v>
      </c>
      <c r="G26" s="4">
        <f t="shared" si="8"/>
        <v>73262377.413965374</v>
      </c>
      <c r="H26" s="4">
        <f t="shared" si="8"/>
        <v>292566000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2" t="s">
        <v>30</v>
      </c>
      <c r="C28" s="13"/>
      <c r="D28" s="13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 t="s">
        <v>31</v>
      </c>
      <c r="C29" s="4" t="s">
        <v>32</v>
      </c>
      <c r="D29" s="4" t="s">
        <v>33</v>
      </c>
      <c r="E29" s="4" t="s">
        <v>34</v>
      </c>
      <c r="F29" s="4" t="s">
        <v>35</v>
      </c>
      <c r="G29" s="4" t="s">
        <v>36</v>
      </c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5" t="s">
        <v>37</v>
      </c>
      <c r="C30" s="6">
        <v>60000000</v>
      </c>
      <c r="D30" s="6">
        <v>8</v>
      </c>
      <c r="E30" s="6">
        <f t="shared" ref="E30:E32" si="9">C30/D30</f>
        <v>7500000</v>
      </c>
      <c r="F30" s="6">
        <f t="shared" ref="F30:F31" si="10">C30-(E30*3)</f>
        <v>37500000</v>
      </c>
      <c r="G30" s="6">
        <f t="shared" ref="G30:G31" si="11">C30*70%</f>
        <v>42000000</v>
      </c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5" t="s">
        <v>38</v>
      </c>
      <c r="C31" s="6">
        <v>100000000</v>
      </c>
      <c r="D31" s="6">
        <v>10</v>
      </c>
      <c r="E31" s="6">
        <f t="shared" si="9"/>
        <v>10000000</v>
      </c>
      <c r="F31" s="6">
        <f t="shared" si="10"/>
        <v>70000000</v>
      </c>
      <c r="G31" s="6">
        <f t="shared" si="11"/>
        <v>70000000</v>
      </c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5" t="s">
        <v>39</v>
      </c>
      <c r="C32" s="6">
        <v>50000000</v>
      </c>
      <c r="D32" s="6">
        <v>20</v>
      </c>
      <c r="E32" s="6">
        <f t="shared" si="9"/>
        <v>2500000</v>
      </c>
      <c r="F32" s="6">
        <f t="shared" ref="F32:F33" si="12">C32-(E32*6)</f>
        <v>35000000</v>
      </c>
      <c r="G32" s="6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5" t="s">
        <v>40</v>
      </c>
      <c r="C33" s="6">
        <v>30000000</v>
      </c>
      <c r="D33" s="6"/>
      <c r="E33" s="6"/>
      <c r="F33" s="6">
        <f t="shared" si="12"/>
        <v>30000000</v>
      </c>
      <c r="G33" s="6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5" t="s">
        <v>41</v>
      </c>
      <c r="C34" s="6">
        <v>10000000</v>
      </c>
      <c r="D34" s="6">
        <v>5</v>
      </c>
      <c r="E34" s="6">
        <f>C34/D34</f>
        <v>2000000</v>
      </c>
      <c r="F34" s="6">
        <f>C34-(E34*5)</f>
        <v>0</v>
      </c>
      <c r="G34" s="6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4" t="s">
        <v>42</v>
      </c>
      <c r="C35" s="15">
        <f>SUM(C30:C34)</f>
        <v>250000000</v>
      </c>
      <c r="D35" s="15"/>
      <c r="E35" s="15"/>
      <c r="F35" s="6"/>
      <c r="G35" s="15">
        <v>180000000</v>
      </c>
      <c r="H35" s="2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2" t="s">
        <v>43</v>
      </c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 t="str">
        <f t="shared" ref="B38:F38" si="13">B29</f>
        <v>Activo</v>
      </c>
      <c r="C38" s="4" t="str">
        <f t="shared" si="13"/>
        <v>Valor de Adq.</v>
      </c>
      <c r="D38" s="4" t="str">
        <f t="shared" si="13"/>
        <v>Vida util</v>
      </c>
      <c r="E38" s="4" t="str">
        <f t="shared" si="13"/>
        <v>Depreciacion</v>
      </c>
      <c r="F38" s="4" t="str">
        <f t="shared" si="13"/>
        <v>VL</v>
      </c>
      <c r="G38" s="17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5" t="str">
        <f t="shared" ref="B39:B40" si="14">B30</f>
        <v>Furgones</v>
      </c>
      <c r="C39" s="6">
        <f t="shared" ref="C39:C40" si="15">C30*1.1</f>
        <v>66000000.000000007</v>
      </c>
      <c r="D39" s="6">
        <v>8</v>
      </c>
      <c r="E39" s="6">
        <f t="shared" ref="E39:E40" si="16">C39/D39</f>
        <v>8250000.0000000009</v>
      </c>
      <c r="F39" s="6">
        <f t="shared" ref="F39:F40" si="17">C39-(E39*3)</f>
        <v>41250000</v>
      </c>
      <c r="G39" s="17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5" t="str">
        <f t="shared" si="14"/>
        <v>Mini buses</v>
      </c>
      <c r="C40" s="6">
        <f t="shared" si="15"/>
        <v>110000000.00000001</v>
      </c>
      <c r="D40" s="6">
        <v>10</v>
      </c>
      <c r="E40" s="6">
        <f t="shared" si="16"/>
        <v>11000000.000000002</v>
      </c>
      <c r="F40" s="6">
        <f t="shared" si="17"/>
        <v>77000000</v>
      </c>
      <c r="G40" s="17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4" t="str">
        <f>B35</f>
        <v>TOTAL</v>
      </c>
      <c r="C41" s="15">
        <f>SUM(C39:C40)</f>
        <v>176000000.00000003</v>
      </c>
      <c r="D41" s="15"/>
      <c r="E41" s="15"/>
      <c r="F41" s="15"/>
      <c r="G41" s="17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2" t="s">
        <v>78</v>
      </c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 t="s">
        <v>79</v>
      </c>
      <c r="C45" s="4" t="s">
        <v>80</v>
      </c>
      <c r="D45" s="4" t="s">
        <v>81</v>
      </c>
      <c r="E45" s="4" t="s">
        <v>82</v>
      </c>
      <c r="F45" s="4" t="s">
        <v>83</v>
      </c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5">
        <v>0</v>
      </c>
      <c r="C46" s="6"/>
      <c r="D46" s="6"/>
      <c r="E46" s="6"/>
      <c r="F46" s="6">
        <f>C32</f>
        <v>50000000</v>
      </c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5">
        <v>1</v>
      </c>
      <c r="C47" s="6">
        <f>-PMT(10%,5,F46)</f>
        <v>13189874.039737269</v>
      </c>
      <c r="D47" s="6">
        <f t="shared" ref="D47:D51" si="18">F46*10%</f>
        <v>5000000</v>
      </c>
      <c r="E47" s="6">
        <f t="shared" ref="E47:E51" si="19">C47-D47</f>
        <v>8189874.0397372693</v>
      </c>
      <c r="F47" s="6">
        <f t="shared" ref="F47:F51" si="20">F46-E47</f>
        <v>41810125.960262731</v>
      </c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5">
        <v>2</v>
      </c>
      <c r="C48" s="6">
        <f t="shared" ref="C48:C51" si="21">C47</f>
        <v>13189874.039737269</v>
      </c>
      <c r="D48" s="6">
        <f t="shared" si="18"/>
        <v>4181012.5960262734</v>
      </c>
      <c r="E48" s="6">
        <f t="shared" si="19"/>
        <v>9008861.4437109958</v>
      </c>
      <c r="F48" s="6">
        <f t="shared" si="20"/>
        <v>32801264.516551733</v>
      </c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5">
        <v>3</v>
      </c>
      <c r="C49" s="6">
        <f t="shared" si="21"/>
        <v>13189874.039737269</v>
      </c>
      <c r="D49" s="6">
        <f t="shared" si="18"/>
        <v>3280126.4516551737</v>
      </c>
      <c r="E49" s="6">
        <f t="shared" si="19"/>
        <v>9909747.5880820956</v>
      </c>
      <c r="F49" s="6">
        <f t="shared" si="20"/>
        <v>22891516.928469636</v>
      </c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5">
        <v>4</v>
      </c>
      <c r="C50" s="6">
        <f t="shared" si="21"/>
        <v>13189874.039737269</v>
      </c>
      <c r="D50" s="6">
        <f t="shared" si="18"/>
        <v>2289151.6928469636</v>
      </c>
      <c r="E50" s="6">
        <f t="shared" si="19"/>
        <v>10900722.346890306</v>
      </c>
      <c r="F50" s="6">
        <f t="shared" si="20"/>
        <v>11990794.581579329</v>
      </c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5">
        <v>5</v>
      </c>
      <c r="C51" s="6">
        <f t="shared" si="21"/>
        <v>13189874.039737269</v>
      </c>
      <c r="D51" s="6">
        <f t="shared" si="18"/>
        <v>1199079.4581579331</v>
      </c>
      <c r="E51" s="6">
        <f t="shared" si="19"/>
        <v>11990794.581579337</v>
      </c>
      <c r="F51" s="6">
        <f t="shared" si="20"/>
        <v>0</v>
      </c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5" t="s">
        <v>44</v>
      </c>
      <c r="B55" s="5">
        <f>F46</f>
        <v>50000000</v>
      </c>
      <c r="C55" s="18">
        <f t="shared" ref="C55:C57" si="22">B55/$B$57</f>
        <v>0.1795009872554299</v>
      </c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5" t="s">
        <v>46</v>
      </c>
      <c r="B56" s="5">
        <f>B57-B55</f>
        <v>228550000</v>
      </c>
      <c r="C56" s="18">
        <f t="shared" si="22"/>
        <v>0.82049901274457004</v>
      </c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 t="s">
        <v>84</v>
      </c>
      <c r="B57" s="5">
        <f>'AZUL Económico'!B52</f>
        <v>278550000</v>
      </c>
      <c r="C57" s="18">
        <f t="shared" si="22"/>
        <v>1</v>
      </c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20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 t="s">
        <v>49</v>
      </c>
      <c r="B59" s="1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 t="s">
        <v>51</v>
      </c>
      <c r="B60" s="22">
        <v>0.04</v>
      </c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5" t="s">
        <v>52</v>
      </c>
      <c r="B61" s="22">
        <v>0.16</v>
      </c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5" t="s">
        <v>53</v>
      </c>
      <c r="B62" s="23">
        <v>0.7</v>
      </c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5" t="s">
        <v>54</v>
      </c>
      <c r="B63" s="24">
        <f>B62*(1+(1-0.27)*(C55/C56))</f>
        <v>0.81179173047473185</v>
      </c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3" t="s">
        <v>56</v>
      </c>
      <c r="B64" s="25">
        <f>B60+(B61-B60)*B63</f>
        <v>0.13741500765696782</v>
      </c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3" t="s">
        <v>57</v>
      </c>
      <c r="B66" s="1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5" t="s">
        <v>58</v>
      </c>
      <c r="B67" s="22">
        <v>0.1</v>
      </c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3" t="s">
        <v>59</v>
      </c>
      <c r="B68" s="25">
        <f>(C55*B67*0.73)+(C56*B64)</f>
        <v>0.12585245018847602</v>
      </c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3" t="s">
        <v>85</v>
      </c>
      <c r="B70" s="3">
        <f t="array" ref="B70">NPV(B64,C26:H26)+B26</f>
        <v>92619179.094527066</v>
      </c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3" t="s">
        <v>86</v>
      </c>
      <c r="B71" s="22">
        <f>IRR(B26:H26)</f>
        <v>0.23967642131534728</v>
      </c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showGridLines="0" tabSelected="1" zoomScale="80" zoomScaleNormal="80" workbookViewId="0"/>
  </sheetViews>
  <sheetFormatPr defaultColWidth="14.390625" defaultRowHeight="15" customHeight="1" x14ac:dyDescent="0.2"/>
  <cols>
    <col min="1" max="1" width="43.71875" customWidth="1"/>
    <col min="2" max="2" width="26.09765625" customWidth="1"/>
    <col min="3" max="4" width="20.84765625" customWidth="1"/>
    <col min="5" max="5" width="36.05078125" customWidth="1"/>
    <col min="6" max="7" width="20.84765625" customWidth="1"/>
    <col min="8" max="8" width="16.27734375" customWidth="1"/>
    <col min="9" max="9" width="13.71875" customWidth="1"/>
    <col min="10" max="11" width="11.43359375" customWidth="1"/>
    <col min="12" max="12" width="38.47265625" customWidth="1"/>
    <col min="13" max="13" width="16.27734375" customWidth="1"/>
    <col min="14" max="14" width="11.43359375" customWidth="1"/>
    <col min="15" max="15" width="36.9921875" customWidth="1"/>
    <col min="16" max="16" width="22.05859375" customWidth="1"/>
    <col min="17" max="26" width="11.43359375" customWidth="1"/>
  </cols>
  <sheetData>
    <row r="1" spans="1:26" x14ac:dyDescent="0.2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87</v>
      </c>
      <c r="B3" s="5"/>
      <c r="C3" s="6">
        <v>110000000</v>
      </c>
      <c r="D3" s="6">
        <v>110000000</v>
      </c>
      <c r="E3" s="6">
        <v>110000000</v>
      </c>
      <c r="F3" s="6">
        <v>110000000</v>
      </c>
      <c r="G3" s="6">
        <v>110000000</v>
      </c>
      <c r="H3" s="4">
        <v>22500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5" t="s">
        <v>88</v>
      </c>
      <c r="B4" s="5"/>
      <c r="C4" s="6">
        <v>0</v>
      </c>
      <c r="D4" s="6">
        <v>0</v>
      </c>
      <c r="E4" s="6">
        <v>0</v>
      </c>
      <c r="F4" s="6">
        <v>0</v>
      </c>
      <c r="G4" s="6">
        <v>0</v>
      </c>
      <c r="H4" s="4">
        <v>0</v>
      </c>
      <c r="J4" s="1"/>
      <c r="K4" s="1"/>
      <c r="L4" s="1"/>
      <c r="M4" s="1"/>
      <c r="N4" s="1"/>
      <c r="O4" s="1"/>
      <c r="P4" s="1"/>
      <c r="Q4" s="1"/>
      <c r="R4" s="1">
        <v>253000000</v>
      </c>
      <c r="S4" s="1">
        <f>R4/N10</f>
        <v>572398.19004524883</v>
      </c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2"/>
      <c r="D5" s="2"/>
      <c r="E5" s="2"/>
      <c r="F5" s="2"/>
      <c r="G5" s="2"/>
      <c r="H5" s="3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89</v>
      </c>
      <c r="V5" s="1">
        <v>9000000</v>
      </c>
      <c r="W5" s="1"/>
      <c r="X5" s="1"/>
      <c r="Y5" s="1"/>
      <c r="Z5" s="1"/>
    </row>
    <row r="6" spans="1:26" x14ac:dyDescent="0.2">
      <c r="A6" s="3"/>
      <c r="B6" s="3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3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90</v>
      </c>
      <c r="V6" s="1">
        <v>20000000</v>
      </c>
      <c r="W6" s="1"/>
      <c r="X6" s="1"/>
      <c r="Y6" s="1"/>
      <c r="Z6" s="1"/>
    </row>
    <row r="7" spans="1:26" x14ac:dyDescent="0.2">
      <c r="A7" s="5" t="s">
        <v>10</v>
      </c>
      <c r="B7" s="5"/>
      <c r="C7" s="6">
        <f t="shared" ref="C7:G7" si="0">(C3*$H$3)+(C4*$H$4)</f>
        <v>2475000000000</v>
      </c>
      <c r="D7" s="6">
        <f t="shared" si="0"/>
        <v>2475000000000</v>
      </c>
      <c r="E7" s="6">
        <f t="shared" si="0"/>
        <v>2475000000000</v>
      </c>
      <c r="F7" s="6">
        <f t="shared" si="0"/>
        <v>2475000000000</v>
      </c>
      <c r="G7" s="6">
        <f t="shared" si="0"/>
        <v>2475000000000</v>
      </c>
      <c r="H7" s="3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91</v>
      </c>
      <c r="V7" s="1">
        <f>M11/N11</f>
        <v>28083793.859649122</v>
      </c>
      <c r="W7" s="1"/>
      <c r="X7" s="1"/>
      <c r="Y7" s="1"/>
      <c r="Z7" s="1"/>
    </row>
    <row r="8" spans="1:26" x14ac:dyDescent="0.2">
      <c r="A8" s="5" t="s">
        <v>11</v>
      </c>
      <c r="B8" s="5"/>
      <c r="C8" s="6"/>
      <c r="D8" s="6"/>
      <c r="E8" s="38">
        <f>G37+G40</f>
        <v>5250000</v>
      </c>
      <c r="F8" s="6"/>
      <c r="G8" s="6">
        <f>F47</f>
        <v>6187500.0000000019</v>
      </c>
      <c r="H8" s="36"/>
      <c r="I8" s="1"/>
      <c r="J8" s="1"/>
      <c r="K8" s="1"/>
      <c r="L8" s="1"/>
      <c r="M8" s="1" t="s">
        <v>92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 t="s">
        <v>13</v>
      </c>
      <c r="B9" s="8"/>
      <c r="C9" s="9">
        <f t="shared" ref="C9:G9" si="1">-C7*20%</f>
        <v>-495000000000</v>
      </c>
      <c r="D9" s="9">
        <f t="shared" si="1"/>
        <v>-495000000000</v>
      </c>
      <c r="E9" s="9">
        <f t="shared" si="1"/>
        <v>-495000000000</v>
      </c>
      <c r="F9" s="9">
        <f t="shared" si="1"/>
        <v>-495000000000</v>
      </c>
      <c r="G9" s="9">
        <f t="shared" si="1"/>
        <v>-495000000000</v>
      </c>
      <c r="H9" s="3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 t="s">
        <v>15</v>
      </c>
      <c r="B10" s="8"/>
      <c r="C10" s="9">
        <v>-15000000</v>
      </c>
      <c r="D10" s="9">
        <v>-15000000</v>
      </c>
      <c r="E10" s="9">
        <v>-15000000</v>
      </c>
      <c r="F10" s="9">
        <v>-15000000</v>
      </c>
      <c r="G10" s="9">
        <v>-15000000</v>
      </c>
      <c r="H10" s="39"/>
      <c r="I10" s="1"/>
      <c r="J10" s="1"/>
      <c r="K10" s="1"/>
      <c r="L10" s="1"/>
      <c r="M10" s="40">
        <v>92000000000</v>
      </c>
      <c r="N10" s="1">
        <f>141+301</f>
        <v>442</v>
      </c>
      <c r="O10" s="1" t="s">
        <v>93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16</v>
      </c>
      <c r="B11" s="8"/>
      <c r="C11" s="9">
        <v>-20000000</v>
      </c>
      <c r="D11" s="9">
        <v>-20000000</v>
      </c>
      <c r="E11" s="9">
        <v>-20000000</v>
      </c>
      <c r="F11" s="9">
        <v>-20000000</v>
      </c>
      <c r="G11" s="9">
        <v>-20000000</v>
      </c>
      <c r="H11" s="39"/>
      <c r="I11" s="1"/>
      <c r="J11" s="1"/>
      <c r="K11" s="1"/>
      <c r="L11" s="1"/>
      <c r="M11" s="40">
        <v>19209315000</v>
      </c>
      <c r="N11" s="1">
        <v>684</v>
      </c>
      <c r="O11" s="1" t="s">
        <v>94</v>
      </c>
      <c r="P11" s="1"/>
      <c r="Q11" s="1">
        <f>N10+N11</f>
        <v>1126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 t="s">
        <v>17</v>
      </c>
      <c r="B12" s="8"/>
      <c r="C12" s="9">
        <f>-(E38+E36+E37+E39+E40)</f>
        <v>-28166666.666666668</v>
      </c>
      <c r="D12" s="9">
        <f t="shared" ref="D12:E12" si="2">C12</f>
        <v>-28166666.666666668</v>
      </c>
      <c r="E12" s="9">
        <f t="shared" si="2"/>
        <v>-28166666.666666668</v>
      </c>
      <c r="F12" s="9">
        <f>-(E36+E38+E39+E45+E46)</f>
        <v>-28916666.666666668</v>
      </c>
      <c r="G12" s="9">
        <f>F12</f>
        <v>-28916666.666666668</v>
      </c>
      <c r="H12" s="39"/>
      <c r="I12" s="1"/>
      <c r="J12" s="1"/>
      <c r="K12" s="1"/>
      <c r="L12" s="1" t="s">
        <v>95</v>
      </c>
      <c r="M12" s="1">
        <f>M10+M11</f>
        <v>111209315000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 t="s">
        <v>18</v>
      </c>
      <c r="B13" s="8"/>
      <c r="C13" s="9">
        <f>B20/1</f>
        <v>-247500000</v>
      </c>
      <c r="D13" s="9"/>
      <c r="E13" s="9"/>
      <c r="F13" s="9"/>
      <c r="G13" s="9"/>
      <c r="H13" s="39"/>
      <c r="I13" s="1"/>
      <c r="J13" s="1"/>
      <c r="K13" s="1"/>
      <c r="L13" s="1"/>
      <c r="M13" s="1"/>
      <c r="N13" s="1"/>
      <c r="O13" s="1">
        <f t="shared" ref="O13:O14" si="3">M10/N10</f>
        <v>208144796.3800905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 t="s">
        <v>19</v>
      </c>
      <c r="B14" s="8"/>
      <c r="C14" s="9"/>
      <c r="D14" s="9"/>
      <c r="E14" s="9"/>
      <c r="F14" s="9"/>
      <c r="G14" s="9"/>
      <c r="H14" s="39"/>
      <c r="I14" s="1"/>
      <c r="J14" s="1"/>
      <c r="K14" s="1"/>
      <c r="L14" s="1" t="s">
        <v>96</v>
      </c>
      <c r="M14" s="1">
        <f>O13+O14</f>
        <v>236228590.23973963</v>
      </c>
      <c r="N14" s="1"/>
      <c r="O14" s="1">
        <f t="shared" si="3"/>
        <v>28083793.859649122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 t="s">
        <v>20</v>
      </c>
      <c r="B15" s="3"/>
      <c r="C15" s="4">
        <f t="shared" ref="C15:G15" si="4">SUM(C7:C14)</f>
        <v>1979689333333.3333</v>
      </c>
      <c r="D15" s="4">
        <f t="shared" si="4"/>
        <v>1979936833333.3333</v>
      </c>
      <c r="E15" s="4">
        <f t="shared" si="4"/>
        <v>1979942083333.3333</v>
      </c>
      <c r="F15" s="4">
        <f t="shared" si="4"/>
        <v>1979936083333.3333</v>
      </c>
      <c r="G15" s="4">
        <f t="shared" si="4"/>
        <v>1979942270833.3333</v>
      </c>
      <c r="H15" s="3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8" t="s">
        <v>21</v>
      </c>
      <c r="B16" s="8"/>
      <c r="C16" s="9">
        <f t="shared" ref="C16:G16" si="5">-C15*0.27</f>
        <v>-534516120000</v>
      </c>
      <c r="D16" s="9">
        <f t="shared" si="5"/>
        <v>-534582945000</v>
      </c>
      <c r="E16" s="9">
        <f t="shared" si="5"/>
        <v>-534584362500</v>
      </c>
      <c r="F16" s="9">
        <f t="shared" si="5"/>
        <v>-534582742500</v>
      </c>
      <c r="G16" s="9">
        <f t="shared" si="5"/>
        <v>-534584413125</v>
      </c>
      <c r="H16" s="3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 t="s">
        <v>22</v>
      </c>
      <c r="B17" s="3"/>
      <c r="C17" s="4">
        <f t="shared" ref="C17:G17" si="6">SUM(C15:C16)</f>
        <v>1445173213333.3333</v>
      </c>
      <c r="D17" s="4">
        <f t="shared" si="6"/>
        <v>1445353888333.3333</v>
      </c>
      <c r="E17" s="4">
        <f t="shared" si="6"/>
        <v>1445357720833.3333</v>
      </c>
      <c r="F17" s="4">
        <f t="shared" si="6"/>
        <v>1445353340833.3333</v>
      </c>
      <c r="G17" s="4">
        <f t="shared" si="6"/>
        <v>1445357857708.3333</v>
      </c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 t="s">
        <v>23</v>
      </c>
      <c r="B18" s="5"/>
      <c r="C18" s="6">
        <f t="shared" ref="C18:G18" si="7">-(C12+C13+C14)</f>
        <v>275666666.66666669</v>
      </c>
      <c r="D18" s="6">
        <f t="shared" si="7"/>
        <v>28166666.666666668</v>
      </c>
      <c r="E18" s="6">
        <f t="shared" si="7"/>
        <v>28166666.666666668</v>
      </c>
      <c r="F18" s="6">
        <f t="shared" si="7"/>
        <v>28916666.666666668</v>
      </c>
      <c r="G18" s="6">
        <f t="shared" si="7"/>
        <v>28916666.666666668</v>
      </c>
      <c r="H18" s="36"/>
      <c r="I18" s="1"/>
      <c r="J18" s="1"/>
      <c r="K18" s="1"/>
      <c r="L18" s="1"/>
      <c r="M18" s="1"/>
      <c r="N18" s="1"/>
      <c r="O18" s="1"/>
      <c r="P18" s="1" t="s">
        <v>97</v>
      </c>
      <c r="Q18" s="1">
        <v>3100248</v>
      </c>
      <c r="R18" s="1">
        <f>Q18/N10</f>
        <v>7014.1357466063346</v>
      </c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 t="s">
        <v>24</v>
      </c>
      <c r="B19" s="8">
        <f>-C41</f>
        <v>-835000000</v>
      </c>
      <c r="C19" s="6"/>
      <c r="D19" s="6"/>
      <c r="E19" s="9">
        <f>-C47</f>
        <v>-49500000.000000007</v>
      </c>
      <c r="F19" s="6"/>
      <c r="G19" s="6"/>
      <c r="H19" s="36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 t="s">
        <v>25</v>
      </c>
      <c r="B20" s="8">
        <f>-(M31+M32+M34+M35+M37)</f>
        <v>-247500000</v>
      </c>
      <c r="C20" s="6"/>
      <c r="D20" s="6"/>
      <c r="E20" s="6"/>
      <c r="F20" s="6"/>
      <c r="G20" s="6"/>
      <c r="H20" s="36"/>
      <c r="I20" s="1"/>
      <c r="J20" s="1">
        <v>8000</v>
      </c>
      <c r="K20" s="1" t="s">
        <v>98</v>
      </c>
      <c r="L20" s="1"/>
      <c r="M20" s="1"/>
      <c r="N20" s="1"/>
      <c r="O20" s="1"/>
      <c r="P20" s="1" t="s">
        <v>99</v>
      </c>
      <c r="Q20" s="1">
        <v>881334</v>
      </c>
      <c r="R20" s="1">
        <f>Q20/N10</f>
        <v>1993.9683257918552</v>
      </c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 t="s">
        <v>26</v>
      </c>
      <c r="B21" s="8">
        <f>-C7-(SUM(C9:C12))</f>
        <v>-1979936833333.3333</v>
      </c>
      <c r="C21" s="9">
        <f t="shared" ref="C21:G21" si="8">-(D7-C7)*15%</f>
        <v>0</v>
      </c>
      <c r="D21" s="9">
        <f t="shared" si="8"/>
        <v>0</v>
      </c>
      <c r="E21" s="9">
        <f t="shared" si="8"/>
        <v>0</v>
      </c>
      <c r="F21" s="9">
        <f t="shared" si="8"/>
        <v>0</v>
      </c>
      <c r="G21" s="9">
        <f t="shared" si="8"/>
        <v>371250000000</v>
      </c>
      <c r="J21" s="79" t="s">
        <v>100</v>
      </c>
      <c r="K21" s="78"/>
      <c r="L21" s="1"/>
      <c r="M21" s="1"/>
      <c r="N21" s="1"/>
      <c r="O21" s="1"/>
      <c r="P21" s="1" t="s">
        <v>101</v>
      </c>
      <c r="Q21" s="1">
        <v>10141980</v>
      </c>
      <c r="R21" s="1">
        <f>Q21/Q11</f>
        <v>9007.0870337477791</v>
      </c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27</v>
      </c>
      <c r="B22" s="5"/>
      <c r="C22" s="6"/>
      <c r="D22" s="6"/>
      <c r="E22" s="6"/>
      <c r="F22" s="6"/>
      <c r="G22" s="6"/>
      <c r="J22" s="78"/>
      <c r="K22" s="78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0" t="s">
        <v>28</v>
      </c>
      <c r="B23" s="10">
        <f t="shared" ref="B23:G23" si="9">SUM(B17:B22)</f>
        <v>-1981019333333.3333</v>
      </c>
      <c r="C23" s="11">
        <f t="shared" si="9"/>
        <v>1445448880000</v>
      </c>
      <c r="D23" s="11">
        <f t="shared" si="9"/>
        <v>1445382055000</v>
      </c>
      <c r="E23" s="11">
        <f t="shared" si="9"/>
        <v>1445336387500</v>
      </c>
      <c r="F23" s="11">
        <f t="shared" si="9"/>
        <v>1445382257500</v>
      </c>
      <c r="G23" s="11">
        <f t="shared" si="9"/>
        <v>1816636774375</v>
      </c>
      <c r="H23" s="3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2"/>
      <c r="D24" s="2"/>
      <c r="E24" s="2"/>
      <c r="F24" s="2"/>
      <c r="G24" s="2"/>
      <c r="H24" s="2"/>
      <c r="I24" s="1"/>
      <c r="J24" s="1"/>
      <c r="K24" s="1"/>
      <c r="L24" s="1" t="s">
        <v>102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>
        <f>B23</f>
        <v>-1981019333333.3333</v>
      </c>
      <c r="C25" s="2">
        <f t="shared" ref="C25:G25" si="10">C23/(1+$B$64)^C6</f>
        <v>1385113077328.9363</v>
      </c>
      <c r="D25" s="2">
        <f t="shared" si="10"/>
        <v>1327234443908.7764</v>
      </c>
      <c r="E25" s="2">
        <f t="shared" si="10"/>
        <v>1271792953905.3</v>
      </c>
      <c r="F25" s="2">
        <f t="shared" si="10"/>
        <v>1218744559474.6765</v>
      </c>
      <c r="G25" s="2">
        <f t="shared" si="10"/>
        <v>1467846240231.4346</v>
      </c>
      <c r="H25" s="2"/>
      <c r="I25" s="1"/>
      <c r="J25" s="1" t="s">
        <v>103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">
      <c r="A27" s="1"/>
      <c r="B27" s="1">
        <f>SUM(B25:H25)</f>
        <v>4689711941515.791</v>
      </c>
      <c r="C27" s="77" t="s">
        <v>29</v>
      </c>
      <c r="D27" s="78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2"/>
      <c r="D29" s="2"/>
      <c r="E29" s="2"/>
      <c r="F29" s="2"/>
      <c r="G29" s="2"/>
      <c r="H29" s="2"/>
      <c r="I29" s="1"/>
      <c r="J29" s="1"/>
      <c r="K29" s="1"/>
      <c r="M29" s="41" t="s">
        <v>104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2"/>
      <c r="D30" s="2"/>
      <c r="E30" s="2"/>
      <c r="F30" s="2"/>
      <c r="G30" s="2"/>
      <c r="H30" s="2"/>
      <c r="I30" s="1"/>
      <c r="J30" s="1"/>
      <c r="K30" s="1"/>
      <c r="L30" s="42" t="s">
        <v>105</v>
      </c>
      <c r="M30" s="43">
        <v>500000000</v>
      </c>
      <c r="N30" s="1"/>
      <c r="O30" s="44"/>
      <c r="P30" s="4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2"/>
      <c r="D31" s="2"/>
      <c r="E31" s="2"/>
      <c r="F31" s="2"/>
      <c r="G31" s="2"/>
      <c r="H31" s="2"/>
      <c r="I31" s="1"/>
      <c r="J31" s="1"/>
      <c r="K31" s="1"/>
      <c r="L31" s="42" t="s">
        <v>106</v>
      </c>
      <c r="M31" s="43">
        <v>7500000</v>
      </c>
      <c r="N31" s="1"/>
      <c r="O31" s="46"/>
      <c r="P31" s="47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2"/>
      <c r="D32" s="2"/>
      <c r="E32" s="2"/>
      <c r="F32" s="2"/>
      <c r="G32" s="2"/>
      <c r="H32" s="2"/>
      <c r="I32" s="1"/>
      <c r="J32" s="1"/>
      <c r="K32" s="1"/>
      <c r="L32" s="42" t="s">
        <v>107</v>
      </c>
      <c r="M32" s="43">
        <v>150000000</v>
      </c>
      <c r="N32" s="1"/>
      <c r="O32" s="46"/>
      <c r="P32" s="47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2" t="s">
        <v>30</v>
      </c>
      <c r="C33" s="13"/>
      <c r="D33" s="13"/>
      <c r="E33" s="2"/>
      <c r="F33" s="2" t="s">
        <v>108</v>
      </c>
      <c r="G33" s="2"/>
      <c r="H33" s="2"/>
      <c r="I33" s="1"/>
      <c r="J33" s="1"/>
      <c r="K33" s="1"/>
      <c r="L33" s="48" t="s">
        <v>109</v>
      </c>
      <c r="M33" s="43">
        <v>150000000</v>
      </c>
      <c r="N33" s="1"/>
      <c r="O33" s="49"/>
      <c r="P33" s="47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 t="s">
        <v>31</v>
      </c>
      <c r="C34" s="4" t="s">
        <v>32</v>
      </c>
      <c r="D34" s="4" t="s">
        <v>33</v>
      </c>
      <c r="E34" s="4" t="s">
        <v>34</v>
      </c>
      <c r="F34" s="4" t="s">
        <v>35</v>
      </c>
      <c r="G34" s="4" t="s">
        <v>36</v>
      </c>
      <c r="H34" s="2"/>
      <c r="I34" s="1"/>
      <c r="J34" s="1"/>
      <c r="K34" s="1"/>
      <c r="L34" s="42" t="s">
        <v>110</v>
      </c>
      <c r="M34" s="43">
        <v>80000000</v>
      </c>
      <c r="N34" s="1"/>
      <c r="O34" s="46"/>
      <c r="P34" s="47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5" t="s">
        <v>111</v>
      </c>
      <c r="C35" s="6">
        <f>M30</f>
        <v>500000000</v>
      </c>
      <c r="D35" s="50"/>
      <c r="E35" s="50"/>
      <c r="F35" s="51">
        <f t="shared" ref="F35:F38" si="11">C35-(E35*5)</f>
        <v>500000000</v>
      </c>
      <c r="G35" s="50"/>
      <c r="H35" s="2"/>
      <c r="I35" s="1"/>
      <c r="J35" s="1"/>
      <c r="K35" s="1"/>
      <c r="L35" s="42" t="s">
        <v>112</v>
      </c>
      <c r="M35" s="43">
        <v>5000000</v>
      </c>
      <c r="N35" s="1"/>
      <c r="O35" s="46"/>
      <c r="P35" s="47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52" t="s">
        <v>113</v>
      </c>
      <c r="C36" s="6">
        <f>M33+M36+M38+M39</f>
        <v>180000000</v>
      </c>
      <c r="D36" s="6">
        <v>20</v>
      </c>
      <c r="E36" s="6">
        <f t="shared" ref="E36:E40" si="12">C36/D36</f>
        <v>9000000</v>
      </c>
      <c r="F36" s="6">
        <f t="shared" si="11"/>
        <v>135000000</v>
      </c>
      <c r="G36" s="53">
        <f>F35*70%</f>
        <v>350000000</v>
      </c>
      <c r="H36" s="2"/>
      <c r="I36" s="1"/>
      <c r="J36" s="1"/>
      <c r="K36" s="1"/>
      <c r="L36" s="54" t="s">
        <v>114</v>
      </c>
      <c r="M36" s="43">
        <v>20000000</v>
      </c>
      <c r="N36" s="1"/>
      <c r="O36" s="49"/>
      <c r="P36" s="47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50" t="s">
        <v>115</v>
      </c>
      <c r="C37" s="6">
        <f>M40</f>
        <v>30000000</v>
      </c>
      <c r="D37" s="6">
        <v>6</v>
      </c>
      <c r="E37" s="6">
        <f t="shared" si="12"/>
        <v>5000000</v>
      </c>
      <c r="F37" s="6">
        <f t="shared" si="11"/>
        <v>5000000</v>
      </c>
      <c r="G37" s="55">
        <f t="shared" ref="G37:G40" si="13">F37*70%</f>
        <v>3500000</v>
      </c>
      <c r="H37" s="2"/>
      <c r="I37" s="1"/>
      <c r="J37" s="1"/>
      <c r="K37" s="1"/>
      <c r="L37" s="42" t="s">
        <v>116</v>
      </c>
      <c r="M37" s="43">
        <v>5000000</v>
      </c>
      <c r="N37" s="1"/>
      <c r="O37" s="46"/>
      <c r="P37" s="47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5" t="s">
        <v>117</v>
      </c>
      <c r="C38" s="6">
        <f>M42</f>
        <v>60000000</v>
      </c>
      <c r="D38" s="6">
        <v>9</v>
      </c>
      <c r="E38" s="6">
        <f t="shared" si="12"/>
        <v>6666666.666666667</v>
      </c>
      <c r="F38" s="6">
        <f t="shared" si="11"/>
        <v>26666666.666666664</v>
      </c>
      <c r="G38" s="6">
        <f t="shared" si="13"/>
        <v>18666666.666666664</v>
      </c>
      <c r="H38" s="2"/>
      <c r="I38" s="1"/>
      <c r="J38" s="1"/>
      <c r="K38" s="1"/>
      <c r="L38" s="54" t="s">
        <v>118</v>
      </c>
      <c r="M38" s="43">
        <v>5000000</v>
      </c>
      <c r="N38" s="1"/>
      <c r="O38" s="49"/>
      <c r="P38" s="47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5" t="s">
        <v>119</v>
      </c>
      <c r="C39" s="6">
        <f>M44</f>
        <v>50000000</v>
      </c>
      <c r="D39" s="6">
        <v>10</v>
      </c>
      <c r="E39" s="6">
        <f t="shared" si="12"/>
        <v>5000000</v>
      </c>
      <c r="F39" s="6">
        <f>C39-(E39*5)</f>
        <v>25000000</v>
      </c>
      <c r="G39" s="6">
        <f t="shared" si="13"/>
        <v>17500000</v>
      </c>
      <c r="H39" s="2"/>
      <c r="I39" s="1"/>
      <c r="J39" s="1"/>
      <c r="K39" s="1"/>
      <c r="L39" s="54" t="s">
        <v>120</v>
      </c>
      <c r="M39" s="43">
        <v>5000000</v>
      </c>
      <c r="N39" s="1"/>
      <c r="O39" s="49"/>
      <c r="P39" s="47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5" t="s">
        <v>121</v>
      </c>
      <c r="C40" s="6">
        <v>15000000</v>
      </c>
      <c r="D40" s="6">
        <v>6</v>
      </c>
      <c r="E40" s="6">
        <f t="shared" si="12"/>
        <v>2500000</v>
      </c>
      <c r="F40" s="6">
        <f>C40-(E40*5)</f>
        <v>2500000</v>
      </c>
      <c r="G40" s="6">
        <f t="shared" si="13"/>
        <v>1750000</v>
      </c>
      <c r="H40" s="2"/>
      <c r="I40" s="1"/>
      <c r="J40" s="1"/>
      <c r="K40" s="1"/>
      <c r="L40" s="42" t="s">
        <v>122</v>
      </c>
      <c r="M40" s="43">
        <v>30000000</v>
      </c>
      <c r="N40" s="1"/>
      <c r="O40" s="46"/>
      <c r="P40" s="47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4" t="s">
        <v>42</v>
      </c>
      <c r="C41" s="15">
        <f>SUM(C35:C40)</f>
        <v>835000000</v>
      </c>
      <c r="D41" s="15"/>
      <c r="E41" s="15">
        <f>SUM(E35:E40)</f>
        <v>28166666.666666668</v>
      </c>
      <c r="F41" s="6"/>
      <c r="G41" s="15">
        <f>SUM(G35:G40)</f>
        <v>391416666.66666669</v>
      </c>
      <c r="H41" s="2"/>
      <c r="I41" s="16"/>
      <c r="J41" s="1"/>
      <c r="K41" s="1"/>
      <c r="L41" s="42" t="s">
        <v>123</v>
      </c>
      <c r="M41" s="43">
        <v>5000000</v>
      </c>
      <c r="N41" s="1"/>
      <c r="O41" s="46"/>
      <c r="P41" s="47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2"/>
      <c r="D42" s="2" t="s">
        <v>124</v>
      </c>
      <c r="E42" s="2"/>
      <c r="F42" s="2"/>
      <c r="G42" s="2"/>
      <c r="H42" s="2"/>
      <c r="I42" s="1"/>
      <c r="J42" s="1"/>
      <c r="K42" s="1"/>
      <c r="L42" s="42" t="s">
        <v>125</v>
      </c>
      <c r="M42" s="43">
        <v>60000000</v>
      </c>
      <c r="N42" s="1"/>
      <c r="O42" s="46"/>
      <c r="P42" s="47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2" t="s">
        <v>126</v>
      </c>
      <c r="C43" s="2"/>
      <c r="D43" s="2"/>
      <c r="E43" s="2"/>
      <c r="F43" s="2"/>
      <c r="G43" s="2"/>
      <c r="H43" s="2"/>
      <c r="I43" s="1"/>
      <c r="J43" s="1"/>
      <c r="K43" s="1"/>
      <c r="L43" s="42"/>
      <c r="M43" s="43"/>
      <c r="N43" s="1"/>
      <c r="O43" s="46"/>
      <c r="P43" s="47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 t="str">
        <f t="shared" ref="B44:F44" si="14">B34</f>
        <v>Activo</v>
      </c>
      <c r="C44" s="4" t="str">
        <f t="shared" si="14"/>
        <v>Valor de Adq.</v>
      </c>
      <c r="D44" s="4" t="str">
        <f t="shared" si="14"/>
        <v>Vida util</v>
      </c>
      <c r="E44" s="4" t="str">
        <f t="shared" si="14"/>
        <v>Depreciacion</v>
      </c>
      <c r="F44" s="4" t="str">
        <f t="shared" si="14"/>
        <v>VL</v>
      </c>
      <c r="G44" s="17"/>
      <c r="H44" s="2"/>
      <c r="I44" s="1"/>
      <c r="J44" s="1"/>
      <c r="K44" s="1"/>
      <c r="L44" s="42" t="s">
        <v>127</v>
      </c>
      <c r="M44" s="43">
        <v>50000000</v>
      </c>
      <c r="N44" s="1"/>
      <c r="O44" s="46"/>
      <c r="P44" s="4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5" t="str">
        <f>B37</f>
        <v xml:space="preserve">Equipo tecnologico </v>
      </c>
      <c r="C45" s="6">
        <f>C37*1.1</f>
        <v>33000000.000000004</v>
      </c>
      <c r="D45" s="6">
        <f>6</f>
        <v>6</v>
      </c>
      <c r="E45" s="6">
        <f>C45/D45</f>
        <v>5500000.0000000009</v>
      </c>
      <c r="F45" s="6">
        <f t="shared" ref="F45:F46" si="15">E45*75%</f>
        <v>4125000.0000000009</v>
      </c>
      <c r="G45" s="17" t="s">
        <v>128</v>
      </c>
      <c r="H45" s="2"/>
      <c r="I45" s="1"/>
      <c r="J45" s="1"/>
      <c r="K45" s="1"/>
      <c r="L45" s="42" t="s">
        <v>121</v>
      </c>
      <c r="M45" s="43">
        <v>15000000</v>
      </c>
      <c r="N45" s="1"/>
      <c r="O45" s="46"/>
      <c r="P45" s="47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5" t="str">
        <f>B40</f>
        <v xml:space="preserve">Mobiliario </v>
      </c>
      <c r="C46" s="6">
        <f>C40*1.1</f>
        <v>16500000.000000002</v>
      </c>
      <c r="D46" s="6">
        <v>6</v>
      </c>
      <c r="E46" s="6">
        <f t="shared" ref="E46:E47" si="16">C46/D45</f>
        <v>2750000.0000000005</v>
      </c>
      <c r="F46" s="6">
        <f t="shared" si="15"/>
        <v>2062500.0000000005</v>
      </c>
      <c r="G46" s="17"/>
      <c r="H46" s="2"/>
      <c r="I46" s="1"/>
      <c r="J46" s="1"/>
      <c r="K46" s="1"/>
      <c r="L46" s="42" t="s">
        <v>129</v>
      </c>
      <c r="M46" s="43">
        <v>90000000</v>
      </c>
      <c r="N46" s="1"/>
      <c r="O46" s="46"/>
      <c r="P46" s="47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4" t="s">
        <v>42</v>
      </c>
      <c r="C47" s="15">
        <f>SUM(C45:C46)</f>
        <v>49500000.000000007</v>
      </c>
      <c r="D47" s="15"/>
      <c r="E47" s="6">
        <f t="shared" si="16"/>
        <v>8250000.0000000009</v>
      </c>
      <c r="F47" s="15">
        <f>SUM(F45:F46)</f>
        <v>6187500.0000000019</v>
      </c>
      <c r="G47" s="17"/>
      <c r="H47" s="2"/>
      <c r="I47" s="1"/>
      <c r="J47" s="1"/>
      <c r="K47" s="1"/>
      <c r="L47" s="42" t="s">
        <v>130</v>
      </c>
      <c r="M47" s="43">
        <v>70000000</v>
      </c>
      <c r="N47" s="1"/>
      <c r="O47" s="46"/>
      <c r="P47" s="47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2"/>
      <c r="D48" s="2"/>
      <c r="E48" s="2"/>
      <c r="F48" s="2"/>
      <c r="G48" s="2"/>
      <c r="H48" s="2"/>
      <c r="I48" s="1"/>
      <c r="J48" s="1"/>
      <c r="K48" s="1"/>
      <c r="L48" s="42" t="s">
        <v>131</v>
      </c>
      <c r="M48" s="43">
        <v>62000000</v>
      </c>
      <c r="N48" s="1"/>
      <c r="O48" s="46"/>
      <c r="P48" s="47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2"/>
      <c r="D49" s="2"/>
      <c r="E49" s="2"/>
      <c r="F49" s="2"/>
      <c r="G49" s="2"/>
      <c r="H49" s="2"/>
      <c r="I49" s="1"/>
      <c r="J49" s="1"/>
      <c r="K49" s="1"/>
      <c r="L49" s="42" t="s">
        <v>132</v>
      </c>
      <c r="M49" s="43">
        <v>15000000</v>
      </c>
      <c r="N49" s="1"/>
      <c r="O49" s="46"/>
      <c r="P49" s="47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2"/>
      <c r="D50" s="2"/>
      <c r="E50" s="2"/>
      <c r="F50" s="2"/>
      <c r="G50" s="2"/>
      <c r="H50" s="2"/>
      <c r="I50" s="1"/>
      <c r="J50" s="1"/>
      <c r="K50" s="1"/>
      <c r="L50" s="42" t="s">
        <v>133</v>
      </c>
      <c r="M50" s="43">
        <v>6000000</v>
      </c>
      <c r="N50" s="1"/>
      <c r="O50" s="46"/>
      <c r="P50" s="47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5" t="s">
        <v>44</v>
      </c>
      <c r="B51" s="5">
        <f>E51</f>
        <v>990509666666.66663</v>
      </c>
      <c r="C51" s="18">
        <f t="shared" ref="C51:C53" si="17">B51/$B$53</f>
        <v>0.5</v>
      </c>
      <c r="D51" s="2" t="s">
        <v>45</v>
      </c>
      <c r="E51" s="2">
        <f>B53/2</f>
        <v>990509666666.66663</v>
      </c>
      <c r="F51" s="2"/>
      <c r="G51" s="2"/>
      <c r="H51" s="2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5" t="s">
        <v>46</v>
      </c>
      <c r="B52" s="5">
        <f>B53-B51</f>
        <v>990509666666.66663</v>
      </c>
      <c r="C52" s="18">
        <f t="shared" si="17"/>
        <v>0.5</v>
      </c>
      <c r="D52" s="2" t="s">
        <v>47</v>
      </c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4" t="s">
        <v>48</v>
      </c>
      <c r="B53" s="14">
        <f>-B23</f>
        <v>1981019333333.3333</v>
      </c>
      <c r="C53" s="19">
        <f t="shared" si="17"/>
        <v>1</v>
      </c>
      <c r="D53" s="2"/>
      <c r="E53" s="2"/>
      <c r="F53" s="2"/>
      <c r="G53" s="2"/>
      <c r="H53" s="2"/>
      <c r="I53" s="1"/>
      <c r="J53" s="1"/>
      <c r="K53" s="1"/>
      <c r="L53" s="1"/>
      <c r="M53" s="1">
        <f>SUM(M30:M50)</f>
        <v>1330500000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20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 t="s">
        <v>49</v>
      </c>
      <c r="B55" s="5"/>
      <c r="C55" s="21"/>
      <c r="D55" s="21" t="s">
        <v>50</v>
      </c>
      <c r="E55" s="21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5" t="s">
        <v>51</v>
      </c>
      <c r="B56" s="56">
        <v>0.06</v>
      </c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 t="s">
        <v>52</v>
      </c>
      <c r="B57" s="56">
        <v>2.1000000000000001E-2</v>
      </c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 t="s">
        <v>53</v>
      </c>
      <c r="B58" s="24">
        <v>0.68</v>
      </c>
      <c r="C58" s="2" t="s">
        <v>134</v>
      </c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5" t="s">
        <v>54</v>
      </c>
      <c r="B59" s="24">
        <f>B58*(1+(1-0.27)*(C51/C52))</f>
        <v>1.1764000000000001</v>
      </c>
      <c r="C59" s="21"/>
      <c r="D59" s="21" t="s">
        <v>55</v>
      </c>
      <c r="E59" s="21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 t="s">
        <v>56</v>
      </c>
      <c r="B60" s="25">
        <f>B56+(B57-B56)*B59</f>
        <v>1.4120399999999998E-2</v>
      </c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3" t="s">
        <v>57</v>
      </c>
      <c r="B62" s="1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5" t="s">
        <v>58</v>
      </c>
      <c r="B63" s="22">
        <v>0.1</v>
      </c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3" t="s">
        <v>59</v>
      </c>
      <c r="B64" s="25">
        <f>(C51*B63*0.73)+(C52*B60)</f>
        <v>4.3560199999999993E-2</v>
      </c>
      <c r="C64" s="57"/>
      <c r="D64" s="21"/>
      <c r="E64" s="21" t="s">
        <v>60</v>
      </c>
      <c r="F64" s="21"/>
      <c r="G64" s="2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3" t="s">
        <v>61</v>
      </c>
      <c r="B66" s="5">
        <f t="array" ref="B66">NPV(B64,C23:H23)+B23</f>
        <v>4689711941515.791</v>
      </c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3" t="s">
        <v>62</v>
      </c>
      <c r="B67" s="22" t="e">
        <f>IRR(B23:H23)</f>
        <v>#NUM!</v>
      </c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3" t="s">
        <v>63</v>
      </c>
      <c r="B69" s="4">
        <f t="shared" ref="B69:G69" si="18">B6</f>
        <v>0</v>
      </c>
      <c r="C69" s="4">
        <f t="shared" si="18"/>
        <v>1</v>
      </c>
      <c r="D69" s="4">
        <f t="shared" si="18"/>
        <v>2</v>
      </c>
      <c r="E69" s="4">
        <f t="shared" si="18"/>
        <v>3</v>
      </c>
      <c r="F69" s="4">
        <f t="shared" si="18"/>
        <v>4</v>
      </c>
      <c r="G69" s="4">
        <f t="shared" si="18"/>
        <v>5</v>
      </c>
      <c r="H69" s="3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5" t="str">
        <f t="shared" ref="A70:G70" si="19">A23</f>
        <v>Flujo Economico</v>
      </c>
      <c r="B70" s="6">
        <f t="shared" si="19"/>
        <v>-1981019333333.3333</v>
      </c>
      <c r="C70" s="6">
        <f t="shared" si="19"/>
        <v>1445448880000</v>
      </c>
      <c r="D70" s="6">
        <f t="shared" si="19"/>
        <v>1445382055000</v>
      </c>
      <c r="E70" s="6">
        <f t="shared" si="19"/>
        <v>1445336387500</v>
      </c>
      <c r="F70" s="6">
        <f t="shared" si="19"/>
        <v>1445382257500</v>
      </c>
      <c r="G70" s="6">
        <f t="shared" si="19"/>
        <v>1816636774375</v>
      </c>
      <c r="H70" s="3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5" t="s">
        <v>64</v>
      </c>
      <c r="B71" s="6">
        <f>B70</f>
        <v>-1981019333333.3333</v>
      </c>
      <c r="C71" s="6">
        <f t="shared" ref="C71:G71" si="20">C70/POWER(1+$B$64,C69)</f>
        <v>1385113077328.9363</v>
      </c>
      <c r="D71" s="6">
        <f t="shared" si="20"/>
        <v>1327234443908.7764</v>
      </c>
      <c r="E71" s="6">
        <f t="shared" si="20"/>
        <v>1271792953905.3</v>
      </c>
      <c r="F71" s="6">
        <f t="shared" si="20"/>
        <v>1218744559474.6765</v>
      </c>
      <c r="G71" s="6">
        <f t="shared" si="20"/>
        <v>1467846240231.4346</v>
      </c>
      <c r="H71" s="3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5" t="s">
        <v>65</v>
      </c>
      <c r="B72" s="6"/>
      <c r="C72" s="6">
        <f>B71+C71</f>
        <v>-595906256004.39697</v>
      </c>
      <c r="D72" s="6">
        <f t="shared" ref="D72:F72" si="21">C72+D71</f>
        <v>731328187904.37939</v>
      </c>
      <c r="E72" s="6">
        <f t="shared" si="21"/>
        <v>2003121141809.6794</v>
      </c>
      <c r="F72" s="6">
        <f t="shared" si="21"/>
        <v>3221865701284.356</v>
      </c>
      <c r="G72" s="26">
        <f>F72/G71</f>
        <v>2.1949613065578082</v>
      </c>
      <c r="H72" s="5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7" t="s">
        <v>63</v>
      </c>
      <c r="B73" s="28">
        <f>F69+G72</f>
        <v>6.1949613065578077</v>
      </c>
      <c r="C73" s="2"/>
      <c r="D73" s="2"/>
      <c r="E73" s="2"/>
      <c r="F73" s="2"/>
      <c r="G73" s="2"/>
      <c r="H73" s="3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2"/>
      <c r="D74" s="2"/>
      <c r="E74" s="2"/>
      <c r="F74" s="2"/>
      <c r="G74" s="2"/>
      <c r="H74" s="3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2"/>
      <c r="D75" s="2"/>
      <c r="E75" s="2"/>
      <c r="F75" s="2"/>
      <c r="G75" s="2"/>
      <c r="H75" s="3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3" t="s">
        <v>63</v>
      </c>
      <c r="B76" s="4">
        <f>B13</f>
        <v>0</v>
      </c>
      <c r="C76" s="4">
        <v>1</v>
      </c>
      <c r="D76" s="4">
        <v>2</v>
      </c>
      <c r="E76" s="4">
        <v>3</v>
      </c>
      <c r="F76" s="4">
        <v>4</v>
      </c>
      <c r="G76" s="4">
        <v>5</v>
      </c>
      <c r="H76" s="3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6">
        <f t="shared" ref="B77:G77" si="22">B71</f>
        <v>-1981019333333.3333</v>
      </c>
      <c r="C77" s="6">
        <f t="shared" si="22"/>
        <v>1385113077328.9363</v>
      </c>
      <c r="D77" s="6">
        <f t="shared" si="22"/>
        <v>1327234443908.7764</v>
      </c>
      <c r="E77" s="6">
        <f t="shared" si="22"/>
        <v>1271792953905.3</v>
      </c>
      <c r="F77" s="6">
        <f t="shared" si="22"/>
        <v>1218744559474.6765</v>
      </c>
      <c r="G77" s="6">
        <f t="shared" si="22"/>
        <v>1467846240231.4346</v>
      </c>
      <c r="H77" s="3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6">
        <f>B77</f>
        <v>-1981019333333.3333</v>
      </c>
      <c r="C78" s="6">
        <f t="shared" ref="C78:G78" si="23">B78+C77</f>
        <v>-595906256004.39697</v>
      </c>
      <c r="D78" s="6">
        <f t="shared" si="23"/>
        <v>731328187904.37939</v>
      </c>
      <c r="E78" s="6">
        <f t="shared" si="23"/>
        <v>2003121141809.6794</v>
      </c>
      <c r="F78" s="6">
        <f t="shared" si="23"/>
        <v>3221865701284.356</v>
      </c>
      <c r="G78" s="6">
        <f t="shared" si="23"/>
        <v>4689711941515.791</v>
      </c>
      <c r="H78" s="3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5" t="s">
        <v>66</v>
      </c>
      <c r="B79" s="29">
        <f>F76</f>
        <v>4</v>
      </c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5" t="s">
        <v>67</v>
      </c>
      <c r="B80" s="5">
        <f>ABS(F78)</f>
        <v>3221865701284.356</v>
      </c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5" t="s">
        <v>68</v>
      </c>
      <c r="B81" s="5">
        <f>G77</f>
        <v>1467846240231.4346</v>
      </c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3" t="s">
        <v>63</v>
      </c>
      <c r="B82" s="30">
        <f>B79+(B80/B81)</f>
        <v>6.1949613065578077</v>
      </c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2"/>
      <c r="D1001" s="2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C27:D27"/>
    <mergeCell ref="J21:K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showGridLines="0" workbookViewId="0"/>
  </sheetViews>
  <sheetFormatPr defaultColWidth="14.390625" defaultRowHeight="15" customHeight="1" x14ac:dyDescent="0.2"/>
  <cols>
    <col min="1" max="1" width="43.71875" customWidth="1"/>
    <col min="2" max="2" width="26.09765625" customWidth="1"/>
    <col min="3" max="4" width="20.84765625" customWidth="1"/>
    <col min="5" max="5" width="36.05078125" customWidth="1"/>
    <col min="6" max="7" width="20.84765625" customWidth="1"/>
    <col min="8" max="8" width="8.203125" customWidth="1"/>
    <col min="9" max="9" width="13.71875" customWidth="1"/>
    <col min="10" max="11" width="11.43359375" customWidth="1"/>
    <col min="12" max="12" width="38.47265625" customWidth="1"/>
    <col min="13" max="13" width="16.27734375" customWidth="1"/>
    <col min="14" max="14" width="11.43359375" customWidth="1"/>
    <col min="15" max="15" width="36.9921875" customWidth="1"/>
    <col min="16" max="16" width="22.05859375" customWidth="1"/>
    <col min="17" max="26" width="11.43359375" customWidth="1"/>
  </cols>
  <sheetData>
    <row r="1" spans="1:26" x14ac:dyDescent="0.2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87</v>
      </c>
      <c r="B3" s="5"/>
      <c r="C3" s="6">
        <v>110000000</v>
      </c>
      <c r="D3" s="6">
        <v>110000000</v>
      </c>
      <c r="E3" s="6">
        <v>110000000</v>
      </c>
      <c r="F3" s="6">
        <v>110000000</v>
      </c>
      <c r="G3" s="6">
        <v>110000000</v>
      </c>
      <c r="H3" s="4">
        <v>22500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5"/>
      <c r="B4" s="5"/>
      <c r="C4" s="6">
        <v>0</v>
      </c>
      <c r="D4" s="6">
        <v>0</v>
      </c>
      <c r="E4" s="6">
        <v>0</v>
      </c>
      <c r="F4" s="6">
        <v>0</v>
      </c>
      <c r="G4" s="59">
        <v>0</v>
      </c>
      <c r="H4" s="4">
        <v>0</v>
      </c>
      <c r="J4" s="1"/>
      <c r="K4" s="1"/>
      <c r="L4" s="1"/>
      <c r="M4" s="1"/>
      <c r="N4" s="1"/>
      <c r="O4" s="1"/>
      <c r="P4" s="1"/>
      <c r="Q4" s="1"/>
      <c r="R4" s="1">
        <v>253000000</v>
      </c>
      <c r="S4" s="1">
        <f>R4/N10</f>
        <v>572398.19004524883</v>
      </c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2"/>
      <c r="D5" s="2"/>
      <c r="E5" s="2"/>
      <c r="F5" s="2"/>
      <c r="G5" s="60"/>
      <c r="H5" s="3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89</v>
      </c>
      <c r="V5" s="1">
        <v>9000000</v>
      </c>
      <c r="W5" s="1"/>
      <c r="X5" s="1"/>
      <c r="Y5" s="1"/>
      <c r="Z5" s="1"/>
    </row>
    <row r="6" spans="1:26" x14ac:dyDescent="0.2">
      <c r="A6" s="3"/>
      <c r="B6" s="3">
        <v>0</v>
      </c>
      <c r="C6" s="4">
        <v>1</v>
      </c>
      <c r="D6" s="4">
        <v>2</v>
      </c>
      <c r="E6" s="4">
        <v>3</v>
      </c>
      <c r="F6" s="4">
        <v>4</v>
      </c>
      <c r="G6" s="61">
        <v>5</v>
      </c>
      <c r="H6" s="3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90</v>
      </c>
      <c r="V6" s="1">
        <v>20000000</v>
      </c>
      <c r="W6" s="1"/>
      <c r="X6" s="1"/>
      <c r="Y6" s="1"/>
      <c r="Z6" s="1"/>
    </row>
    <row r="7" spans="1:26" x14ac:dyDescent="0.2">
      <c r="A7" s="5" t="s">
        <v>10</v>
      </c>
      <c r="B7" s="5"/>
      <c r="C7" s="6">
        <f t="shared" ref="C7:G7" si="0">(C3*$H$3)+(C4*$H$4)</f>
        <v>2475000000000</v>
      </c>
      <c r="D7" s="6">
        <f t="shared" si="0"/>
        <v>2475000000000</v>
      </c>
      <c r="E7" s="6">
        <f t="shared" si="0"/>
        <v>2475000000000</v>
      </c>
      <c r="F7" s="6">
        <f t="shared" si="0"/>
        <v>2475000000000</v>
      </c>
      <c r="G7" s="6">
        <f t="shared" si="0"/>
        <v>2475000000000</v>
      </c>
      <c r="H7" s="3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91</v>
      </c>
      <c r="V7" s="1">
        <f>M11/N11</f>
        <v>28083793.859649122</v>
      </c>
      <c r="W7" s="1"/>
      <c r="X7" s="1"/>
      <c r="Y7" s="1"/>
      <c r="Z7" s="1"/>
    </row>
    <row r="8" spans="1:26" x14ac:dyDescent="0.2">
      <c r="A8" s="5" t="s">
        <v>11</v>
      </c>
      <c r="B8" s="5"/>
      <c r="C8" s="6"/>
      <c r="D8" s="6"/>
      <c r="E8" s="38">
        <f>G40+G43</f>
        <v>5250000</v>
      </c>
      <c r="F8" s="6"/>
      <c r="G8" s="6">
        <f>F50</f>
        <v>6187500.0000000019</v>
      </c>
      <c r="H8" s="36"/>
      <c r="I8" s="1"/>
      <c r="J8" s="1"/>
      <c r="K8" s="1"/>
      <c r="L8" s="1"/>
      <c r="M8" s="1" t="s">
        <v>92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 t="s">
        <v>13</v>
      </c>
      <c r="B9" s="8"/>
      <c r="C9" s="9">
        <f t="shared" ref="C9:G9" si="1">-C7*20%</f>
        <v>-495000000000</v>
      </c>
      <c r="D9" s="9">
        <f t="shared" si="1"/>
        <v>-495000000000</v>
      </c>
      <c r="E9" s="9">
        <f t="shared" si="1"/>
        <v>-495000000000</v>
      </c>
      <c r="F9" s="9">
        <f t="shared" si="1"/>
        <v>-495000000000</v>
      </c>
      <c r="G9" s="9">
        <f t="shared" si="1"/>
        <v>-495000000000</v>
      </c>
      <c r="H9" s="3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 t="s">
        <v>15</v>
      </c>
      <c r="B10" s="8"/>
      <c r="C10" s="9">
        <v>-15000000</v>
      </c>
      <c r="D10" s="9">
        <v>-15000000</v>
      </c>
      <c r="E10" s="9">
        <v>-15000000</v>
      </c>
      <c r="F10" s="9">
        <v>-15000000</v>
      </c>
      <c r="G10" s="9">
        <v>-15000000</v>
      </c>
      <c r="H10" s="39"/>
      <c r="I10" s="1"/>
      <c r="J10" s="1"/>
      <c r="K10" s="1"/>
      <c r="L10" s="1"/>
      <c r="M10" s="40">
        <v>92000000000</v>
      </c>
      <c r="N10" s="1">
        <f>141+301</f>
        <v>442</v>
      </c>
      <c r="O10" s="1" t="s">
        <v>93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16</v>
      </c>
      <c r="B11" s="8"/>
      <c r="C11" s="9">
        <v>-20000000</v>
      </c>
      <c r="D11" s="9">
        <v>-20000000</v>
      </c>
      <c r="E11" s="9">
        <v>-20000000</v>
      </c>
      <c r="F11" s="9">
        <v>-20000000</v>
      </c>
      <c r="G11" s="9">
        <v>-20000000</v>
      </c>
      <c r="H11" s="39"/>
      <c r="I11" s="1"/>
      <c r="J11" s="1"/>
      <c r="K11" s="1"/>
      <c r="L11" s="1"/>
      <c r="M11" s="40">
        <v>19209315000</v>
      </c>
      <c r="N11" s="1">
        <v>684</v>
      </c>
      <c r="O11" s="1" t="s">
        <v>94</v>
      </c>
      <c r="P11" s="1"/>
      <c r="Q11" s="1">
        <f>N10+N11</f>
        <v>1126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 t="s">
        <v>17</v>
      </c>
      <c r="B12" s="8"/>
      <c r="C12" s="9">
        <f>-(E41+E39+E40+E42+E43)</f>
        <v>-28166666.666666668</v>
      </c>
      <c r="D12" s="9">
        <f t="shared" ref="D12:E12" si="2">C12</f>
        <v>-28166666.666666668</v>
      </c>
      <c r="E12" s="9">
        <f t="shared" si="2"/>
        <v>-28166666.666666668</v>
      </c>
      <c r="F12" s="9">
        <f>-(E39+E41+E42+E48+E49)</f>
        <v>-28916666.666666668</v>
      </c>
      <c r="G12" s="9">
        <f>F12</f>
        <v>-28916666.666666668</v>
      </c>
      <c r="H12" s="39"/>
      <c r="I12" s="1"/>
      <c r="J12" s="1"/>
      <c r="K12" s="1"/>
      <c r="L12" s="1" t="s">
        <v>95</v>
      </c>
      <c r="M12" s="1">
        <f>M10+M11</f>
        <v>111209315000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8" t="s">
        <v>18</v>
      </c>
      <c r="B13" s="8"/>
      <c r="C13" s="9">
        <f>B21/1</f>
        <v>-247500000</v>
      </c>
      <c r="D13" s="9"/>
      <c r="E13" s="9"/>
      <c r="F13" s="9"/>
      <c r="G13" s="9"/>
      <c r="H13" s="39"/>
      <c r="I13" s="1"/>
      <c r="J13" s="1"/>
      <c r="K13" s="1"/>
      <c r="L13" s="1"/>
      <c r="M13" s="1"/>
      <c r="N13" s="1"/>
      <c r="O13" s="1">
        <f t="shared" ref="O13:O14" si="3">M10/N10</f>
        <v>208144796.3800905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 t="s">
        <v>19</v>
      </c>
      <c r="B14" s="8"/>
      <c r="C14" s="9"/>
      <c r="D14" s="9"/>
      <c r="E14" s="9"/>
      <c r="F14" s="9"/>
      <c r="G14" s="9"/>
      <c r="H14" s="39"/>
      <c r="I14" s="1"/>
      <c r="J14" s="1"/>
      <c r="K14" s="1"/>
      <c r="L14" s="1" t="s">
        <v>96</v>
      </c>
      <c r="M14" s="1">
        <f>O13+O14</f>
        <v>236228590.23973963</v>
      </c>
      <c r="N14" s="1"/>
      <c r="O14" s="1">
        <f t="shared" si="3"/>
        <v>28083793.859649122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 t="s">
        <v>135</v>
      </c>
      <c r="B15" s="8"/>
      <c r="C15" s="9">
        <f>-D55</f>
        <v>-109101000</v>
      </c>
      <c r="D15" s="9">
        <f>-D56</f>
        <v>-93361658</v>
      </c>
      <c r="E15" s="9">
        <f>-D57</f>
        <v>-75041063</v>
      </c>
      <c r="F15" s="9">
        <f>-D58</f>
        <v>-53715891</v>
      </c>
      <c r="G15" s="9">
        <f>-D59</f>
        <v>-28893390</v>
      </c>
      <c r="H15" s="3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 t="s">
        <v>20</v>
      </c>
      <c r="B16" s="3"/>
      <c r="C16" s="4">
        <f t="shared" ref="C16:G16" si="4">SUM(C7:C15)</f>
        <v>1979580232333.3333</v>
      </c>
      <c r="D16" s="4">
        <f t="shared" si="4"/>
        <v>1979843471675.3333</v>
      </c>
      <c r="E16" s="4">
        <f t="shared" si="4"/>
        <v>1979867042270.3333</v>
      </c>
      <c r="F16" s="4">
        <f t="shared" si="4"/>
        <v>1979882367442.3333</v>
      </c>
      <c r="G16" s="4">
        <f t="shared" si="4"/>
        <v>1979913377443.3333</v>
      </c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8" t="s">
        <v>21</v>
      </c>
      <c r="B17" s="8"/>
      <c r="C17" s="9">
        <f t="shared" ref="C17:G17" si="5">-C16*0.27</f>
        <v>-534486662730</v>
      </c>
      <c r="D17" s="9">
        <f t="shared" si="5"/>
        <v>-534557737352.34003</v>
      </c>
      <c r="E17" s="9">
        <f t="shared" si="5"/>
        <v>-534564101412.98999</v>
      </c>
      <c r="F17" s="9">
        <f t="shared" si="5"/>
        <v>-534568239209.42999</v>
      </c>
      <c r="G17" s="9">
        <f t="shared" si="5"/>
        <v>-534576611909.70001</v>
      </c>
      <c r="H17" s="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22</v>
      </c>
      <c r="B18" s="3"/>
      <c r="C18" s="4">
        <f t="shared" ref="C18:G18" si="6">SUM(C16:C17)</f>
        <v>1445093569603.3333</v>
      </c>
      <c r="D18" s="4">
        <f t="shared" si="6"/>
        <v>1445285734322.9932</v>
      </c>
      <c r="E18" s="4">
        <f t="shared" si="6"/>
        <v>1445302940857.3433</v>
      </c>
      <c r="F18" s="4">
        <f t="shared" si="6"/>
        <v>1445314128232.9033</v>
      </c>
      <c r="G18" s="4">
        <f t="shared" si="6"/>
        <v>1445336765533.6333</v>
      </c>
      <c r="H18" s="3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 t="s">
        <v>23</v>
      </c>
      <c r="B19" s="5"/>
      <c r="C19" s="6">
        <f t="shared" ref="C19:G19" si="7">-(C12+C13+C14)</f>
        <v>275666666.66666669</v>
      </c>
      <c r="D19" s="6">
        <f t="shared" si="7"/>
        <v>28166666.666666668</v>
      </c>
      <c r="E19" s="6">
        <f t="shared" si="7"/>
        <v>28166666.666666668</v>
      </c>
      <c r="F19" s="6">
        <f t="shared" si="7"/>
        <v>28916666.666666668</v>
      </c>
      <c r="G19" s="6">
        <f t="shared" si="7"/>
        <v>28916666.666666668</v>
      </c>
      <c r="H19" s="36"/>
      <c r="I19" s="1"/>
      <c r="J19" s="1"/>
      <c r="K19" s="1"/>
      <c r="L19" s="1"/>
      <c r="M19" s="1"/>
      <c r="N19" s="1"/>
      <c r="O19" s="1"/>
      <c r="P19" s="1" t="s">
        <v>97</v>
      </c>
      <c r="Q19" s="1">
        <v>3100248</v>
      </c>
      <c r="R19" s="1">
        <f>Q19/N10</f>
        <v>7014.1357466063346</v>
      </c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 t="s">
        <v>24</v>
      </c>
      <c r="B20" s="8">
        <f>-C44</f>
        <v>-835000000</v>
      </c>
      <c r="C20" s="6"/>
      <c r="D20" s="6"/>
      <c r="E20" s="9">
        <f>-C50</f>
        <v>-49500000.000000007</v>
      </c>
      <c r="F20" s="6"/>
      <c r="G20" s="6"/>
      <c r="H20" s="36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 t="s">
        <v>25</v>
      </c>
      <c r="B21" s="8">
        <f>-(M34+M35+M37+M38+M40)</f>
        <v>-247500000</v>
      </c>
      <c r="C21" s="6"/>
      <c r="D21" s="6"/>
      <c r="E21" s="6"/>
      <c r="F21" s="6"/>
      <c r="G21" s="6"/>
      <c r="H21" s="36"/>
      <c r="I21" s="1"/>
      <c r="J21" s="1">
        <v>8000</v>
      </c>
      <c r="K21" s="1" t="s">
        <v>98</v>
      </c>
      <c r="L21" s="1"/>
      <c r="M21" s="1"/>
      <c r="N21" s="1"/>
      <c r="O21" s="1"/>
      <c r="P21" s="1" t="s">
        <v>99</v>
      </c>
      <c r="Q21" s="1">
        <v>881334</v>
      </c>
      <c r="R21" s="1">
        <f>Q21/N10</f>
        <v>1993.9683257918552</v>
      </c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26</v>
      </c>
      <c r="B22" s="8">
        <f>-C7-(SUM(C9:C13))</f>
        <v>-1979689333333.3333</v>
      </c>
      <c r="C22" s="9">
        <f t="shared" ref="C22:G22" si="8">-(D7-C7)*15%</f>
        <v>0</v>
      </c>
      <c r="D22" s="9">
        <f t="shared" si="8"/>
        <v>0</v>
      </c>
      <c r="E22" s="9">
        <f t="shared" si="8"/>
        <v>0</v>
      </c>
      <c r="F22" s="9">
        <f t="shared" si="8"/>
        <v>0</v>
      </c>
      <c r="G22" s="9">
        <f t="shared" si="8"/>
        <v>371250000000</v>
      </c>
      <c r="H22" s="36"/>
      <c r="I22" s="1"/>
      <c r="J22" s="1"/>
      <c r="K22" s="1"/>
      <c r="L22" s="1"/>
      <c r="M22" s="1"/>
      <c r="N22" s="1"/>
      <c r="O22" s="1"/>
      <c r="P22" s="1" t="s">
        <v>101</v>
      </c>
      <c r="Q22" s="1">
        <v>10141980</v>
      </c>
      <c r="R22" s="1">
        <f>Q22/Q11</f>
        <v>9007.0870337477791</v>
      </c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 t="s">
        <v>27</v>
      </c>
      <c r="B23" s="5"/>
      <c r="C23" s="6"/>
      <c r="D23" s="6"/>
      <c r="E23" s="6"/>
      <c r="F23" s="6"/>
      <c r="G23" s="6"/>
      <c r="H23" s="36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 t="s">
        <v>75</v>
      </c>
      <c r="B24" s="5">
        <f>F54</f>
        <v>665250000</v>
      </c>
      <c r="C24" s="6"/>
      <c r="D24" s="6"/>
      <c r="E24" s="6"/>
      <c r="F24" s="6"/>
      <c r="G24" s="6"/>
      <c r="H24" s="36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5" t="s">
        <v>136</v>
      </c>
      <c r="B25" s="5"/>
      <c r="C25" s="6">
        <f>-E55</f>
        <v>-95971600</v>
      </c>
      <c r="D25" s="6">
        <f>-E56</f>
        <v>-111710943</v>
      </c>
      <c r="E25" s="6">
        <f>-E57</f>
        <v>-130031537</v>
      </c>
      <c r="F25" s="6">
        <f>-E58</f>
        <v>-151356710</v>
      </c>
      <c r="G25" s="6">
        <f>-E59</f>
        <v>-176179210</v>
      </c>
      <c r="H25" s="36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0" t="s">
        <v>77</v>
      </c>
      <c r="B26" s="10">
        <f t="shared" ref="B26:G26" si="9">SUM(B18:B25)</f>
        <v>-1980106583333.3333</v>
      </c>
      <c r="C26" s="10">
        <f t="shared" si="9"/>
        <v>1445273264670</v>
      </c>
      <c r="D26" s="10">
        <f t="shared" si="9"/>
        <v>1445202190046.6599</v>
      </c>
      <c r="E26" s="10">
        <f t="shared" si="9"/>
        <v>1445151575987.01</v>
      </c>
      <c r="F26" s="10">
        <f t="shared" si="9"/>
        <v>1445191688189.5701</v>
      </c>
      <c r="G26" s="10">
        <f t="shared" si="9"/>
        <v>1816439502990.3</v>
      </c>
      <c r="H26" s="3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2"/>
      <c r="D27" s="2"/>
      <c r="E27" s="2"/>
      <c r="F27" s="2"/>
      <c r="G27" s="2"/>
      <c r="H27" s="2"/>
      <c r="I27" s="1"/>
      <c r="J27" s="1"/>
      <c r="K27" s="1"/>
      <c r="L27" s="1" t="s">
        <v>102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>
        <f>B26</f>
        <v>-1980106583333.3333</v>
      </c>
      <c r="C28" s="2">
        <f t="shared" ref="C28:G28" si="10">C26/(1+$B$74)^C6</f>
        <v>1384944792518.9175</v>
      </c>
      <c r="D28" s="2">
        <f t="shared" si="10"/>
        <v>1327069281375.7983</v>
      </c>
      <c r="E28" s="2">
        <f t="shared" si="10"/>
        <v>1271630332952.7979</v>
      </c>
      <c r="F28" s="2">
        <f t="shared" si="10"/>
        <v>1218583871664.1792</v>
      </c>
      <c r="G28" s="2">
        <f t="shared" si="10"/>
        <v>1467686844547.9268</v>
      </c>
      <c r="H28" s="2"/>
      <c r="I28" s="1"/>
      <c r="J28" s="1" t="s">
        <v>103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">
      <c r="A30" s="1"/>
      <c r="B30" s="1">
        <f>SUM(B28:H28)</f>
        <v>4689808539726.2861</v>
      </c>
      <c r="C30" s="77" t="s">
        <v>29</v>
      </c>
      <c r="D30" s="78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2"/>
      <c r="D32" s="2"/>
      <c r="E32" s="2"/>
      <c r="F32" s="2"/>
      <c r="G32" s="2"/>
      <c r="H32" s="2"/>
      <c r="I32" s="1"/>
      <c r="J32" s="1"/>
      <c r="K32" s="1"/>
      <c r="M32" s="41" t="s">
        <v>104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42" t="s">
        <v>105</v>
      </c>
      <c r="M33" s="43">
        <v>500000000</v>
      </c>
      <c r="N33" s="1"/>
      <c r="O33" s="44"/>
      <c r="P33" s="4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2"/>
      <c r="D34" s="2"/>
      <c r="E34" s="2"/>
      <c r="F34" s="2"/>
      <c r="G34" s="2"/>
      <c r="H34" s="2"/>
      <c r="I34" s="1"/>
      <c r="J34" s="1"/>
      <c r="K34" s="1"/>
      <c r="L34" s="42" t="s">
        <v>106</v>
      </c>
      <c r="M34" s="43">
        <v>7500000</v>
      </c>
      <c r="N34" s="1"/>
      <c r="O34" s="46"/>
      <c r="P34" s="47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2"/>
      <c r="D35" s="2"/>
      <c r="E35" s="2"/>
      <c r="F35" s="2"/>
      <c r="G35" s="2"/>
      <c r="H35" s="2"/>
      <c r="I35" s="1"/>
      <c r="J35" s="1"/>
      <c r="K35" s="1"/>
      <c r="L35" s="42" t="s">
        <v>107</v>
      </c>
      <c r="M35" s="43">
        <v>150000000</v>
      </c>
      <c r="N35" s="1"/>
      <c r="O35" s="46"/>
      <c r="P35" s="47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2" t="s">
        <v>30</v>
      </c>
      <c r="C36" s="13"/>
      <c r="D36" s="13"/>
      <c r="E36" s="2"/>
      <c r="F36" s="2" t="s">
        <v>108</v>
      </c>
      <c r="G36" s="2"/>
      <c r="H36" s="2"/>
      <c r="I36" s="1"/>
      <c r="J36" s="1"/>
      <c r="K36" s="1"/>
      <c r="L36" s="48" t="s">
        <v>109</v>
      </c>
      <c r="M36" s="43">
        <v>150000000</v>
      </c>
      <c r="N36" s="1"/>
      <c r="O36" s="49"/>
      <c r="P36" s="47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 t="s">
        <v>31</v>
      </c>
      <c r="C37" s="4" t="s">
        <v>32</v>
      </c>
      <c r="D37" s="4" t="s">
        <v>33</v>
      </c>
      <c r="E37" s="4" t="s">
        <v>34</v>
      </c>
      <c r="F37" s="4" t="s">
        <v>35</v>
      </c>
      <c r="G37" s="4" t="s">
        <v>36</v>
      </c>
      <c r="H37" s="2"/>
      <c r="I37" s="1"/>
      <c r="J37" s="1"/>
      <c r="K37" s="1"/>
      <c r="L37" s="42" t="s">
        <v>110</v>
      </c>
      <c r="M37" s="43">
        <v>80000000</v>
      </c>
      <c r="N37" s="1"/>
      <c r="O37" s="46"/>
      <c r="P37" s="47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5" t="s">
        <v>111</v>
      </c>
      <c r="C38" s="6">
        <f>M33</f>
        <v>500000000</v>
      </c>
      <c r="D38" s="50"/>
      <c r="E38" s="50"/>
      <c r="F38" s="51">
        <f t="shared" ref="F38:F41" si="11">C38-(E38*5)</f>
        <v>500000000</v>
      </c>
      <c r="G38" s="50"/>
      <c r="H38" s="2"/>
      <c r="I38" s="1"/>
      <c r="J38" s="1"/>
      <c r="K38" s="1"/>
      <c r="L38" s="42" t="s">
        <v>112</v>
      </c>
      <c r="M38" s="43">
        <v>5000000</v>
      </c>
      <c r="N38" s="1"/>
      <c r="O38" s="46"/>
      <c r="P38" s="47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52" t="s">
        <v>113</v>
      </c>
      <c r="C39" s="6">
        <f>M36+M39+M41+M42</f>
        <v>180000000</v>
      </c>
      <c r="D39" s="6">
        <v>20</v>
      </c>
      <c r="E39" s="6">
        <f t="shared" ref="E39:E43" si="12">C39/D39</f>
        <v>9000000</v>
      </c>
      <c r="F39" s="6">
        <f t="shared" si="11"/>
        <v>135000000</v>
      </c>
      <c r="G39" s="53">
        <f>F38*70%</f>
        <v>350000000</v>
      </c>
      <c r="H39" s="2"/>
      <c r="I39" s="1"/>
      <c r="J39" s="1"/>
      <c r="K39" s="1"/>
      <c r="L39" s="54" t="s">
        <v>114</v>
      </c>
      <c r="M39" s="43">
        <v>20000000</v>
      </c>
      <c r="N39" s="1"/>
      <c r="O39" s="49"/>
      <c r="P39" s="47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50" t="s">
        <v>115</v>
      </c>
      <c r="C40" s="6">
        <f>M43</f>
        <v>30000000</v>
      </c>
      <c r="D40" s="6">
        <v>6</v>
      </c>
      <c r="E40" s="6">
        <f t="shared" si="12"/>
        <v>5000000</v>
      </c>
      <c r="F40" s="6">
        <f t="shared" si="11"/>
        <v>5000000</v>
      </c>
      <c r="G40" s="55">
        <f t="shared" ref="G40:G43" si="13">F40*70%</f>
        <v>3500000</v>
      </c>
      <c r="H40" s="2"/>
      <c r="I40" s="1"/>
      <c r="J40" s="1"/>
      <c r="K40" s="1"/>
      <c r="L40" s="42" t="s">
        <v>116</v>
      </c>
      <c r="M40" s="43">
        <v>5000000</v>
      </c>
      <c r="N40" s="1"/>
      <c r="O40" s="46"/>
      <c r="P40" s="47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5" t="s">
        <v>117</v>
      </c>
      <c r="C41" s="6">
        <f>M45</f>
        <v>60000000</v>
      </c>
      <c r="D41" s="6">
        <v>9</v>
      </c>
      <c r="E41" s="6">
        <f t="shared" si="12"/>
        <v>6666666.666666667</v>
      </c>
      <c r="F41" s="6">
        <f t="shared" si="11"/>
        <v>26666666.666666664</v>
      </c>
      <c r="G41" s="6">
        <f t="shared" si="13"/>
        <v>18666666.666666664</v>
      </c>
      <c r="H41" s="2"/>
      <c r="I41" s="1"/>
      <c r="J41" s="1"/>
      <c r="K41" s="1"/>
      <c r="L41" s="54" t="s">
        <v>118</v>
      </c>
      <c r="M41" s="43">
        <v>5000000</v>
      </c>
      <c r="N41" s="1"/>
      <c r="O41" s="49"/>
      <c r="P41" s="47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5" t="s">
        <v>119</v>
      </c>
      <c r="C42" s="6">
        <f>M47</f>
        <v>50000000</v>
      </c>
      <c r="D42" s="6">
        <v>10</v>
      </c>
      <c r="E42" s="6">
        <f t="shared" si="12"/>
        <v>5000000</v>
      </c>
      <c r="F42" s="6">
        <f>C42-(E42*5)</f>
        <v>25000000</v>
      </c>
      <c r="G42" s="6">
        <f t="shared" si="13"/>
        <v>17500000</v>
      </c>
      <c r="H42" s="2"/>
      <c r="I42" s="1"/>
      <c r="J42" s="1"/>
      <c r="K42" s="1"/>
      <c r="L42" s="54" t="s">
        <v>120</v>
      </c>
      <c r="M42" s="43">
        <v>5000000</v>
      </c>
      <c r="N42" s="1"/>
      <c r="O42" s="49"/>
      <c r="P42" s="47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5" t="s">
        <v>121</v>
      </c>
      <c r="C43" s="6">
        <v>15000000</v>
      </c>
      <c r="D43" s="6">
        <v>6</v>
      </c>
      <c r="E43" s="6">
        <f t="shared" si="12"/>
        <v>2500000</v>
      </c>
      <c r="F43" s="6">
        <f>C43-(E43*5)</f>
        <v>2500000</v>
      </c>
      <c r="G43" s="6">
        <f t="shared" si="13"/>
        <v>1750000</v>
      </c>
      <c r="H43" s="2"/>
      <c r="I43" s="1"/>
      <c r="J43" s="1"/>
      <c r="K43" s="1"/>
      <c r="L43" s="42" t="s">
        <v>122</v>
      </c>
      <c r="M43" s="43">
        <v>30000000</v>
      </c>
      <c r="N43" s="1"/>
      <c r="O43" s="46"/>
      <c r="P43" s="47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4" t="s">
        <v>42</v>
      </c>
      <c r="C44" s="15">
        <f>SUM(C38:C43)</f>
        <v>835000000</v>
      </c>
      <c r="D44" s="15"/>
      <c r="E44" s="15">
        <f>SUM(E38:E43)</f>
        <v>28166666.666666668</v>
      </c>
      <c r="F44" s="6"/>
      <c r="G44" s="15">
        <f>SUM(G38:G43)</f>
        <v>391416666.66666669</v>
      </c>
      <c r="H44" s="2"/>
      <c r="I44" s="16"/>
      <c r="J44" s="1"/>
      <c r="K44" s="1"/>
      <c r="L44" s="42" t="s">
        <v>123</v>
      </c>
      <c r="M44" s="43">
        <v>5000000</v>
      </c>
      <c r="N44" s="1"/>
      <c r="O44" s="46"/>
      <c r="P44" s="4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2"/>
      <c r="D45" s="2" t="s">
        <v>124</v>
      </c>
      <c r="E45" s="2"/>
      <c r="F45" s="2"/>
      <c r="G45" s="2"/>
      <c r="H45" s="2"/>
      <c r="I45" s="1"/>
      <c r="J45" s="1"/>
      <c r="K45" s="1"/>
      <c r="L45" s="42" t="s">
        <v>125</v>
      </c>
      <c r="M45" s="43">
        <v>60000000</v>
      </c>
      <c r="N45" s="1"/>
      <c r="O45" s="46"/>
      <c r="P45" s="47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2" t="s">
        <v>126</v>
      </c>
      <c r="C46" s="2"/>
      <c r="D46" s="2"/>
      <c r="E46" s="2"/>
      <c r="F46" s="2"/>
      <c r="G46" s="2"/>
      <c r="H46" s="2"/>
      <c r="I46" s="1"/>
      <c r="J46" s="1"/>
      <c r="K46" s="1"/>
      <c r="L46" s="42"/>
      <c r="M46" s="43"/>
      <c r="N46" s="1"/>
      <c r="O46" s="46"/>
      <c r="P46" s="47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 t="str">
        <f t="shared" ref="B47:F47" si="14">B37</f>
        <v>Activo</v>
      </c>
      <c r="C47" s="4" t="str">
        <f t="shared" si="14"/>
        <v>Valor de Adq.</v>
      </c>
      <c r="D47" s="4" t="str">
        <f t="shared" si="14"/>
        <v>Vida util</v>
      </c>
      <c r="E47" s="4" t="str">
        <f t="shared" si="14"/>
        <v>Depreciacion</v>
      </c>
      <c r="F47" s="4" t="str">
        <f t="shared" si="14"/>
        <v>VL</v>
      </c>
      <c r="G47" s="17"/>
      <c r="H47" s="2"/>
      <c r="I47" s="1"/>
      <c r="J47" s="1"/>
      <c r="K47" s="1"/>
      <c r="L47" s="42" t="s">
        <v>127</v>
      </c>
      <c r="M47" s="43">
        <v>50000000</v>
      </c>
      <c r="N47" s="1"/>
      <c r="O47" s="46"/>
      <c r="P47" s="47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5" t="str">
        <f>B40</f>
        <v xml:space="preserve">Equipo tecnologico </v>
      </c>
      <c r="C48" s="6">
        <f>C40*1.1</f>
        <v>33000000.000000004</v>
      </c>
      <c r="D48" s="6">
        <f>6</f>
        <v>6</v>
      </c>
      <c r="E48" s="6">
        <f>C48/D48</f>
        <v>5500000.0000000009</v>
      </c>
      <c r="F48" s="6">
        <f t="shared" ref="F48:F49" si="15">E48*75%</f>
        <v>4125000.0000000009</v>
      </c>
      <c r="G48" s="17" t="s">
        <v>128</v>
      </c>
      <c r="H48" s="2"/>
      <c r="I48" s="1"/>
      <c r="J48" s="1"/>
      <c r="K48" s="1"/>
      <c r="L48" s="42" t="s">
        <v>121</v>
      </c>
      <c r="M48" s="43">
        <v>15000000</v>
      </c>
      <c r="N48" s="1"/>
      <c r="O48" s="46"/>
      <c r="P48" s="47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5" t="str">
        <f>B43</f>
        <v xml:space="preserve">Mobiliario </v>
      </c>
      <c r="C49" s="6">
        <f>C43*1.1</f>
        <v>16500000.000000002</v>
      </c>
      <c r="D49" s="6">
        <v>6</v>
      </c>
      <c r="E49" s="6">
        <f t="shared" ref="E49:E50" si="16">C49/D48</f>
        <v>2750000.0000000005</v>
      </c>
      <c r="F49" s="6">
        <f t="shared" si="15"/>
        <v>2062500.0000000005</v>
      </c>
      <c r="G49" s="17"/>
      <c r="H49" s="2"/>
      <c r="I49" s="1"/>
      <c r="J49" s="1"/>
      <c r="K49" s="1"/>
      <c r="L49" s="42" t="s">
        <v>129</v>
      </c>
      <c r="M49" s="43">
        <v>90000000</v>
      </c>
      <c r="N49" s="1"/>
      <c r="O49" s="46"/>
      <c r="P49" s="47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4" t="s">
        <v>42</v>
      </c>
      <c r="C50" s="15">
        <f>SUM(C48:C49)</f>
        <v>49500000.000000007</v>
      </c>
      <c r="D50" s="15"/>
      <c r="E50" s="6">
        <f t="shared" si="16"/>
        <v>8250000.0000000009</v>
      </c>
      <c r="F50" s="15">
        <f>SUM(F48:F49)</f>
        <v>6187500.0000000019</v>
      </c>
      <c r="G50" s="17"/>
      <c r="H50" s="2"/>
      <c r="I50" s="1"/>
      <c r="J50" s="1"/>
      <c r="K50" s="1"/>
      <c r="L50" s="42" t="s">
        <v>130</v>
      </c>
      <c r="M50" s="43">
        <v>70000000</v>
      </c>
      <c r="N50" s="1"/>
      <c r="O50" s="46"/>
      <c r="P50" s="47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2"/>
      <c r="D51" s="2"/>
      <c r="E51" s="2"/>
      <c r="F51" s="2"/>
      <c r="G51" s="2"/>
      <c r="H51" s="2"/>
      <c r="I51" s="1"/>
      <c r="J51" s="1"/>
      <c r="K51" s="1"/>
      <c r="L51" s="42" t="s">
        <v>131</v>
      </c>
      <c r="M51" s="43">
        <v>62000000</v>
      </c>
      <c r="N51" s="1"/>
      <c r="O51" s="46"/>
      <c r="P51" s="47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2"/>
      <c r="D52" s="2"/>
      <c r="E52" s="2"/>
      <c r="F52" s="2"/>
      <c r="G52" s="2"/>
      <c r="H52" s="2"/>
      <c r="I52" s="1"/>
      <c r="J52" s="1"/>
      <c r="K52" s="1"/>
      <c r="L52" s="42" t="s">
        <v>132</v>
      </c>
      <c r="M52" s="43">
        <v>15000000</v>
      </c>
      <c r="N52" s="1"/>
      <c r="O52" s="46"/>
      <c r="P52" s="47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62" t="s">
        <v>137</v>
      </c>
      <c r="C53" s="63" t="s">
        <v>80</v>
      </c>
      <c r="D53" s="63" t="s">
        <v>81</v>
      </c>
      <c r="E53" s="63" t="s">
        <v>138</v>
      </c>
      <c r="F53" s="63" t="s">
        <v>83</v>
      </c>
      <c r="G53" s="2"/>
      <c r="H53" s="2"/>
      <c r="I53" s="1"/>
      <c r="J53" s="1"/>
      <c r="K53" s="1"/>
      <c r="L53" s="42"/>
      <c r="M53" s="43"/>
      <c r="N53" s="1"/>
      <c r="O53" s="46"/>
      <c r="P53" s="47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64">
        <v>0</v>
      </c>
      <c r="C54" s="65"/>
      <c r="D54" s="65"/>
      <c r="E54" s="65"/>
      <c r="F54" s="66">
        <v>665250000</v>
      </c>
      <c r="G54" s="2"/>
      <c r="H54" s="2"/>
      <c r="I54" s="1"/>
      <c r="J54" s="1"/>
      <c r="K54" s="1"/>
      <c r="L54" s="42"/>
      <c r="M54" s="43"/>
      <c r="N54" s="1"/>
      <c r="O54" s="46"/>
      <c r="P54" s="47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64">
        <v>1</v>
      </c>
      <c r="C55" s="66">
        <v>205072600</v>
      </c>
      <c r="D55" s="66">
        <v>109101000</v>
      </c>
      <c r="E55" s="66">
        <v>95971600</v>
      </c>
      <c r="F55" s="66">
        <v>569278400</v>
      </c>
      <c r="G55" s="2"/>
      <c r="H55" s="2"/>
      <c r="I55" s="1"/>
      <c r="J55" s="1"/>
      <c r="K55" s="1"/>
      <c r="L55" s="42"/>
      <c r="M55" s="43"/>
      <c r="N55" s="1"/>
      <c r="O55" s="46"/>
      <c r="P55" s="47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64">
        <v>2</v>
      </c>
      <c r="C56" s="66">
        <v>205072600</v>
      </c>
      <c r="D56" s="66">
        <v>93361658</v>
      </c>
      <c r="E56" s="66">
        <v>111710943</v>
      </c>
      <c r="F56" s="66">
        <v>457567457</v>
      </c>
      <c r="G56" s="2"/>
      <c r="H56" s="2"/>
      <c r="I56" s="1"/>
      <c r="J56" s="1"/>
      <c r="K56" s="1"/>
      <c r="L56" s="42"/>
      <c r="M56" s="43"/>
      <c r="N56" s="1"/>
      <c r="O56" s="46"/>
      <c r="P56" s="47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64">
        <v>3</v>
      </c>
      <c r="C57" s="66">
        <v>205072600</v>
      </c>
      <c r="D57" s="66">
        <v>75041063</v>
      </c>
      <c r="E57" s="66">
        <v>130031537</v>
      </c>
      <c r="F57" s="66">
        <v>327535919</v>
      </c>
      <c r="G57" s="2"/>
      <c r="H57" s="2"/>
      <c r="I57" s="1"/>
      <c r="J57" s="1"/>
      <c r="K57" s="1"/>
      <c r="L57" s="42"/>
      <c r="M57" s="43"/>
      <c r="N57" s="1"/>
      <c r="O57" s="46"/>
      <c r="P57" s="47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64">
        <v>4</v>
      </c>
      <c r="C58" s="66">
        <v>205072600</v>
      </c>
      <c r="D58" s="66">
        <v>53715891</v>
      </c>
      <c r="E58" s="66">
        <v>151356710</v>
      </c>
      <c r="F58" s="66">
        <v>176179210</v>
      </c>
      <c r="G58" s="2"/>
      <c r="H58" s="2"/>
      <c r="I58" s="1"/>
      <c r="J58" s="1"/>
      <c r="K58" s="1"/>
      <c r="L58" s="42"/>
      <c r="M58" s="43"/>
      <c r="N58" s="1"/>
      <c r="O58" s="46"/>
      <c r="P58" s="47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64">
        <v>5</v>
      </c>
      <c r="C59" s="66">
        <v>205072600</v>
      </c>
      <c r="D59" s="66">
        <v>28893390</v>
      </c>
      <c r="E59" s="66">
        <v>176179210</v>
      </c>
      <c r="F59" s="67">
        <v>0</v>
      </c>
      <c r="G59" s="2"/>
      <c r="H59" s="2"/>
      <c r="I59" s="1"/>
      <c r="J59" s="1"/>
      <c r="K59" s="1"/>
      <c r="L59" s="42"/>
      <c r="M59" s="43"/>
      <c r="N59" s="1"/>
      <c r="O59" s="46"/>
      <c r="P59" s="47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2"/>
      <c r="D60" s="2"/>
      <c r="E60" s="2"/>
      <c r="F60" s="2"/>
      <c r="G60" s="2"/>
      <c r="H60" s="2"/>
      <c r="I60" s="1"/>
      <c r="J60" s="1"/>
      <c r="K60" s="1"/>
      <c r="L60" s="42" t="s">
        <v>133</v>
      </c>
      <c r="M60" s="43">
        <v>6000000</v>
      </c>
      <c r="N60" s="1"/>
      <c r="O60" s="46"/>
      <c r="P60" s="47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5" t="s">
        <v>44</v>
      </c>
      <c r="B61" s="5">
        <f>E61</f>
        <v>990053291666.66663</v>
      </c>
      <c r="C61" s="18">
        <f t="shared" ref="C61:C63" si="17">B61/$B$63</f>
        <v>0.5</v>
      </c>
      <c r="D61" s="2" t="s">
        <v>45</v>
      </c>
      <c r="E61" s="2">
        <f>B63/2</f>
        <v>990053291666.66663</v>
      </c>
      <c r="F61" s="2"/>
      <c r="G61" s="2"/>
      <c r="H61" s="2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5" t="s">
        <v>46</v>
      </c>
      <c r="B62" s="5">
        <f>B63-B61</f>
        <v>990053291666.66663</v>
      </c>
      <c r="C62" s="18">
        <f t="shared" si="17"/>
        <v>0.5</v>
      </c>
      <c r="D62" s="2" t="s">
        <v>47</v>
      </c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4" t="s">
        <v>48</v>
      </c>
      <c r="B63" s="14">
        <f>-B26</f>
        <v>1980106583333.3333</v>
      </c>
      <c r="C63" s="19">
        <f t="shared" si="17"/>
        <v>1</v>
      </c>
      <c r="D63" s="2"/>
      <c r="E63" s="2"/>
      <c r="F63" s="2"/>
      <c r="G63" s="2"/>
      <c r="H63" s="2"/>
      <c r="I63" s="1"/>
      <c r="J63" s="1"/>
      <c r="K63" s="1"/>
      <c r="L63" s="1"/>
      <c r="M63" s="1">
        <f>SUM(M33:M60)</f>
        <v>1330500000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20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3" t="s">
        <v>49</v>
      </c>
      <c r="B65" s="5"/>
      <c r="C65" s="57"/>
      <c r="D65" s="57" t="s">
        <v>50</v>
      </c>
      <c r="E65" s="57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5" t="s">
        <v>51</v>
      </c>
      <c r="B66" s="56">
        <v>0.06</v>
      </c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5" t="s">
        <v>52</v>
      </c>
      <c r="B67" s="22">
        <v>2.1000000000000001E-2</v>
      </c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5" t="s">
        <v>53</v>
      </c>
      <c r="B68" s="24">
        <v>0.68</v>
      </c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5" t="s">
        <v>54</v>
      </c>
      <c r="B69" s="24">
        <f>B68*(1+(1-0.27)*(C61/C62))</f>
        <v>1.1764000000000001</v>
      </c>
      <c r="C69" s="57"/>
      <c r="D69" s="57" t="s">
        <v>55</v>
      </c>
      <c r="E69" s="57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3" t="s">
        <v>56</v>
      </c>
      <c r="B70" s="25">
        <f>B66+(B67-B66)*B69</f>
        <v>1.4120399999999998E-2</v>
      </c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3" t="s">
        <v>57</v>
      </c>
      <c r="B72" s="1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5" t="s">
        <v>58</v>
      </c>
      <c r="B73" s="22">
        <v>0.1</v>
      </c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3" t="s">
        <v>59</v>
      </c>
      <c r="B74" s="25">
        <f>(C61*B73*0.73)+(C62*B70)</f>
        <v>4.3560199999999993E-2</v>
      </c>
      <c r="C74" s="57"/>
      <c r="D74" s="57"/>
      <c r="E74" s="57" t="s">
        <v>60</v>
      </c>
      <c r="F74" s="57"/>
      <c r="G74" s="57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3" t="s">
        <v>85</v>
      </c>
      <c r="B76" s="5">
        <f t="array" ref="B76">NPV(B74,C26:H26)+B26</f>
        <v>4689808539726.2871</v>
      </c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3" t="s">
        <v>86</v>
      </c>
      <c r="B77" s="22">
        <f>IRR(B26:H26)</f>
        <v>0.68569381115300043</v>
      </c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">
    <mergeCell ref="C30:D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0"/>
  <sheetViews>
    <sheetView workbookViewId="0"/>
  </sheetViews>
  <sheetFormatPr defaultColWidth="14.390625" defaultRowHeight="15" customHeight="1" x14ac:dyDescent="0.2"/>
  <cols>
    <col min="1" max="1" width="41.4296875" customWidth="1"/>
  </cols>
  <sheetData>
    <row r="1" spans="1:13" ht="15" customHeight="1" x14ac:dyDescent="0.2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2">
      <c r="A2" s="69" t="s">
        <v>139</v>
      </c>
      <c r="B2" s="70" t="s">
        <v>140</v>
      </c>
      <c r="C2" s="68"/>
      <c r="D2" s="68"/>
      <c r="E2" s="68"/>
      <c r="F2" s="68"/>
      <c r="G2" s="68"/>
      <c r="H2" s="68" t="s">
        <v>141</v>
      </c>
      <c r="I2" s="71" t="s">
        <v>142</v>
      </c>
      <c r="J2" s="68" t="s">
        <v>143</v>
      </c>
      <c r="K2" s="68" t="s">
        <v>144</v>
      </c>
      <c r="L2" s="68"/>
      <c r="M2" s="68"/>
    </row>
    <row r="3" spans="1:13" x14ac:dyDescent="0.2">
      <c r="A3" s="72" t="s">
        <v>145</v>
      </c>
      <c r="B3" s="73" t="s">
        <v>146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x14ac:dyDescent="0.2">
      <c r="A4" s="72" t="s">
        <v>107</v>
      </c>
      <c r="B4" s="73" t="s">
        <v>147</v>
      </c>
      <c r="C4" s="68"/>
      <c r="D4" s="68"/>
      <c r="E4" s="68"/>
      <c r="F4" s="68"/>
      <c r="G4" s="68"/>
      <c r="H4" s="68"/>
      <c r="I4" s="68"/>
      <c r="J4" s="74">
        <v>0.16400000000000001</v>
      </c>
      <c r="K4" s="68" t="s">
        <v>148</v>
      </c>
      <c r="L4" s="68"/>
      <c r="M4" s="68"/>
    </row>
    <row r="5" spans="1:13" x14ac:dyDescent="0.2">
      <c r="A5" s="72" t="s">
        <v>109</v>
      </c>
      <c r="B5" s="73" t="s">
        <v>147</v>
      </c>
      <c r="C5" s="68"/>
      <c r="D5" s="68"/>
      <c r="E5" s="68"/>
      <c r="F5" s="68"/>
      <c r="G5" s="68"/>
      <c r="H5" s="68"/>
      <c r="I5" s="68"/>
      <c r="J5" s="68" t="s">
        <v>149</v>
      </c>
      <c r="K5" s="68"/>
      <c r="L5" s="68"/>
      <c r="M5" s="68"/>
    </row>
    <row r="6" spans="1:13" x14ac:dyDescent="0.2">
      <c r="A6" s="72" t="s">
        <v>150</v>
      </c>
      <c r="B6" s="73" t="s">
        <v>151</v>
      </c>
      <c r="C6" s="68"/>
      <c r="D6" s="68"/>
      <c r="E6" s="68"/>
      <c r="F6" s="68"/>
      <c r="G6" s="68"/>
      <c r="H6" s="68"/>
      <c r="I6" s="68"/>
      <c r="J6" s="71" t="s">
        <v>152</v>
      </c>
      <c r="K6" s="68"/>
      <c r="L6" s="68"/>
      <c r="M6" s="68"/>
    </row>
    <row r="7" spans="1:13" x14ac:dyDescent="0.2">
      <c r="A7" s="72" t="s">
        <v>112</v>
      </c>
      <c r="B7" s="73" t="s">
        <v>153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</row>
    <row r="8" spans="1:13" x14ac:dyDescent="0.2">
      <c r="A8" s="72" t="s">
        <v>154</v>
      </c>
      <c r="B8" s="73" t="s">
        <v>155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</row>
    <row r="9" spans="1:13" x14ac:dyDescent="0.2">
      <c r="A9" s="72" t="s">
        <v>116</v>
      </c>
      <c r="B9" s="73" t="s">
        <v>153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</row>
    <row r="10" spans="1:13" x14ac:dyDescent="0.2">
      <c r="A10" s="72" t="s">
        <v>156</v>
      </c>
      <c r="B10" s="73" t="s">
        <v>153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</row>
    <row r="11" spans="1:13" x14ac:dyDescent="0.2">
      <c r="A11" s="72" t="s">
        <v>157</v>
      </c>
      <c r="B11" s="73" t="s">
        <v>153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</row>
    <row r="12" spans="1:13" x14ac:dyDescent="0.2">
      <c r="A12" s="72" t="s">
        <v>158</v>
      </c>
      <c r="B12" s="73" t="s">
        <v>159</v>
      </c>
      <c r="C12" s="68"/>
      <c r="D12" s="68"/>
      <c r="E12" s="68"/>
      <c r="F12" s="68"/>
      <c r="G12" s="68"/>
      <c r="H12" s="75" t="s">
        <v>137</v>
      </c>
      <c r="I12" s="76" t="s">
        <v>80</v>
      </c>
      <c r="J12" s="76" t="s">
        <v>81</v>
      </c>
      <c r="K12" s="76" t="s">
        <v>138</v>
      </c>
      <c r="L12" s="76" t="s">
        <v>83</v>
      </c>
      <c r="M12" s="68"/>
    </row>
    <row r="13" spans="1:13" x14ac:dyDescent="0.2">
      <c r="A13" s="72" t="s">
        <v>160</v>
      </c>
      <c r="B13" s="73" t="s">
        <v>153</v>
      </c>
      <c r="C13" s="68"/>
      <c r="D13" s="68"/>
      <c r="E13" s="68"/>
      <c r="F13" s="68"/>
      <c r="G13" s="68"/>
      <c r="H13" s="64">
        <v>0</v>
      </c>
      <c r="I13" s="65"/>
      <c r="J13" s="65"/>
      <c r="K13" s="65"/>
      <c r="L13" s="66">
        <v>665250000</v>
      </c>
      <c r="M13" s="68"/>
    </row>
    <row r="14" spans="1:13" x14ac:dyDescent="0.2">
      <c r="A14" s="72" t="s">
        <v>161</v>
      </c>
      <c r="B14" s="73" t="s">
        <v>162</v>
      </c>
      <c r="C14" s="68"/>
      <c r="D14" s="68"/>
      <c r="E14" s="68"/>
      <c r="F14" s="68"/>
      <c r="G14" s="68"/>
      <c r="H14" s="64">
        <v>1</v>
      </c>
      <c r="I14" s="66">
        <v>205072600</v>
      </c>
      <c r="J14" s="66">
        <v>109101000</v>
      </c>
      <c r="K14" s="66">
        <v>95971600</v>
      </c>
      <c r="L14" s="66">
        <v>569278400</v>
      </c>
      <c r="M14" s="68"/>
    </row>
    <row r="15" spans="1:13" x14ac:dyDescent="0.2">
      <c r="A15" s="72" t="s">
        <v>163</v>
      </c>
      <c r="B15" s="73" t="s">
        <v>164</v>
      </c>
      <c r="C15" s="68"/>
      <c r="D15" s="68"/>
      <c r="E15" s="68"/>
      <c r="F15" s="68"/>
      <c r="G15" s="68"/>
      <c r="H15" s="64">
        <v>2</v>
      </c>
      <c r="I15" s="66">
        <v>205072600</v>
      </c>
      <c r="J15" s="66">
        <v>93361658</v>
      </c>
      <c r="K15" s="66">
        <v>111710943</v>
      </c>
      <c r="L15" s="66">
        <v>457567457</v>
      </c>
      <c r="M15" s="68"/>
    </row>
    <row r="16" spans="1:13" x14ac:dyDescent="0.2">
      <c r="A16" s="72" t="s">
        <v>165</v>
      </c>
      <c r="B16" s="73" t="s">
        <v>166</v>
      </c>
      <c r="C16" s="68"/>
      <c r="D16" s="68"/>
      <c r="E16" s="68"/>
      <c r="F16" s="68"/>
      <c r="G16" s="68"/>
      <c r="H16" s="64">
        <v>3</v>
      </c>
      <c r="I16" s="66">
        <v>205072600</v>
      </c>
      <c r="J16" s="66">
        <v>75041063</v>
      </c>
      <c r="K16" s="66">
        <v>130031537</v>
      </c>
      <c r="L16" s="66">
        <v>327535919</v>
      </c>
      <c r="M16" s="68"/>
    </row>
    <row r="17" spans="1:13" x14ac:dyDescent="0.2">
      <c r="A17" s="72" t="s">
        <v>129</v>
      </c>
      <c r="B17" s="73" t="s">
        <v>167</v>
      </c>
      <c r="C17" s="68"/>
      <c r="D17" s="68"/>
      <c r="E17" s="68"/>
      <c r="F17" s="68"/>
      <c r="G17" s="68"/>
      <c r="H17" s="64">
        <v>4</v>
      </c>
      <c r="I17" s="66">
        <v>205072600</v>
      </c>
      <c r="J17" s="66">
        <v>53715891</v>
      </c>
      <c r="K17" s="66">
        <v>151356710</v>
      </c>
      <c r="L17" s="66">
        <v>176179210</v>
      </c>
      <c r="M17" s="68"/>
    </row>
    <row r="18" spans="1:13" x14ac:dyDescent="0.2">
      <c r="A18" s="72" t="s">
        <v>168</v>
      </c>
      <c r="B18" s="73" t="s">
        <v>169</v>
      </c>
      <c r="C18" s="68"/>
      <c r="D18" s="68"/>
      <c r="E18" s="68"/>
      <c r="F18" s="68"/>
      <c r="G18" s="68"/>
      <c r="H18" s="64">
        <v>5</v>
      </c>
      <c r="I18" s="66">
        <v>205072600</v>
      </c>
      <c r="J18" s="66">
        <v>28893390</v>
      </c>
      <c r="K18" s="66">
        <v>176179210</v>
      </c>
      <c r="L18" s="67">
        <v>0</v>
      </c>
      <c r="M18" s="68"/>
    </row>
    <row r="19" spans="1:13" x14ac:dyDescent="0.2">
      <c r="A19" s="72" t="s">
        <v>131</v>
      </c>
      <c r="B19" s="73" t="s">
        <v>170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x14ac:dyDescent="0.2">
      <c r="A20" s="72" t="s">
        <v>132</v>
      </c>
      <c r="B20" s="73" t="s">
        <v>166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</row>
    <row r="21" spans="1:13" x14ac:dyDescent="0.2">
      <c r="A21" s="72" t="s">
        <v>171</v>
      </c>
      <c r="B21" s="73" t="s">
        <v>172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</row>
    <row r="22" spans="1:13" x14ac:dyDescent="0.2"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</row>
    <row r="23" spans="1:13" x14ac:dyDescent="0.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</row>
    <row r="24" spans="1:13" x14ac:dyDescent="0.2">
      <c r="A24" s="68"/>
      <c r="B24" s="71" t="s">
        <v>142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</row>
    <row r="25" spans="1:13" x14ac:dyDescent="0.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13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</row>
    <row r="27" spans="1:13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</row>
    <row r="28" spans="1:13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</row>
    <row r="29" spans="1:13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</row>
    <row r="30" spans="1:13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AZUL Económico</vt:lpstr>
      <vt:lpstr>AZUL Financiero</vt:lpstr>
      <vt:lpstr>COPEC ECONOMICO  </vt:lpstr>
      <vt:lpstr>COPEC FINANCIERO</vt:lpstr>
      <vt:lpstr>costo y amortización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RToro</dc:creator>
  <cp:lastModifiedBy>Help</cp:lastModifiedBy>
  <dcterms:created xsi:type="dcterms:W3CDTF">2018-09-26T21:22:34Z</dcterms:created>
  <dcterms:modified xsi:type="dcterms:W3CDTF">2023-06-23T06:00:45Z</dcterms:modified>
</cp:coreProperties>
</file>