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650" yWindow="360" windowWidth="28800" windowHeight="12660" tabRatio="586" firstSheet="4" activeTab="9"/>
  </bookViews>
  <sheets>
    <sheet name="November" sheetId="1" state="hidden" r:id="rId1"/>
    <sheet name="December " sheetId="2" state="hidden" r:id="rId2"/>
    <sheet name="Jan_15" sheetId="3" state="hidden" r:id="rId3"/>
    <sheet name="Feb_15" sheetId="4" state="hidden" r:id="rId4"/>
    <sheet name="Mar_15" sheetId="5" r:id="rId5"/>
    <sheet name="Apr_15" sheetId="6" r:id="rId6"/>
    <sheet name="May_15" sheetId="7" r:id="rId7"/>
    <sheet name="June_15" sheetId="8" r:id="rId8"/>
    <sheet name="July_15" sheetId="9" r:id="rId9"/>
    <sheet name="August_15" sheetId="10" r:id="rId10"/>
    <sheet name="Sheet1" sheetId="11" r:id="rId11"/>
  </sheets>
  <definedNames>
    <definedName name="_xlnm._FilterDatabase" localSheetId="5" hidden="1">Apr_15!$A$1:$S$107</definedName>
    <definedName name="_xlnm._FilterDatabase" localSheetId="9" hidden="1">August_15!$B$1:$R$106</definedName>
    <definedName name="_xlnm._FilterDatabase" localSheetId="1" hidden="1">'December '!$A$1:$U$107</definedName>
    <definedName name="_xlnm._FilterDatabase" localSheetId="3" hidden="1">Feb_15!$A$1:$X$107</definedName>
    <definedName name="_xlnm._FilterDatabase" localSheetId="2" hidden="1">Jan_15!$A$1:$AM$105</definedName>
    <definedName name="_xlnm._FilterDatabase" localSheetId="8" hidden="1">July_15!$A$1:$P$103</definedName>
    <definedName name="_xlnm._FilterDatabase" localSheetId="7" hidden="1">June_15!$A$1:$S$105</definedName>
    <definedName name="_xlnm._FilterDatabase" localSheetId="4" hidden="1">Mar_15!$A$1:$U$106</definedName>
    <definedName name="_xlnm._FilterDatabase" localSheetId="6" hidden="1">May_15!$A$1:$R$106</definedName>
    <definedName name="_xlnm._FilterDatabase" localSheetId="0" hidden="1">November!$A$1:$Z$109</definedName>
    <definedName name="Z_02E96BFD_6A87_441B_A43D_DB248205EC7F_.wvu.FilterData" localSheetId="6" hidden="1">May_15!$A$1:$R$106</definedName>
    <definedName name="Z_0448EFDA_B471_443D_9C71_CD12A0A6B3EB_.wvu.FilterData" localSheetId="6" hidden="1">May_15!$A$1:$R$106</definedName>
    <definedName name="Z_1040B262_5A67_46BB_B81A_C7DF1AEAAD53_.wvu.FilterData" localSheetId="6" hidden="1">May_15!$A$1:$R$1</definedName>
    <definedName name="Z_10F3A3FF_5639_49F7_B994_AD7018EA1686_.wvu.FilterData" localSheetId="3" hidden="1">Feb_15!$A$1:$X$107</definedName>
    <definedName name="Z_10F3A3FF_5639_49F7_B994_AD7018EA1686_.wvu.FilterData" localSheetId="4" hidden="1">Mar_15!$A$1:$U$106</definedName>
    <definedName name="Z_14683BB6_2C65_4F03_ACB2_B607A1EFC8DB_.wvu.FilterData" localSheetId="5" hidden="1">Apr_15!$A$1:$S$107</definedName>
    <definedName name="Z_14683BB6_2C65_4F03_ACB2_B607A1EFC8DB_.wvu.FilterData" localSheetId="6" hidden="1">May_15!$A$1:$R$106</definedName>
    <definedName name="Z_18648724_317B_4B4B_A6C6_18FFABB0DE6C_.wvu.FilterData" localSheetId="9" hidden="1">August_15!$B$1:$R$106</definedName>
    <definedName name="Z_1B74B7F4_AA2C_4412_9177_3CE1D51A62D6_.wvu.FilterData" localSheetId="0" hidden="1">November!$A$1:$Z$109</definedName>
    <definedName name="Z_2016DEE0_C3DF_42DE_827B_714D5FF500FE_.wvu.FilterData" localSheetId="0" hidden="1">November!$A$1:$Z$109</definedName>
    <definedName name="Z_263EA24B_6709_4D85_82E8_BFFC1992C0D9_.wvu.FilterData" localSheetId="9" hidden="1">August_15!$B$1:$R$106</definedName>
    <definedName name="Z_29B6AD30_BCA1_47F4_8230_124EB745BDD9_.wvu.FilterData" localSheetId="4" hidden="1">Mar_15!$A$1:$U$106</definedName>
    <definedName name="Z_2CBCCC04_B8E9_47AA_8340_BB047B7A622B_.wvu.FilterData" localSheetId="1" hidden="1">'December '!$A$1:$U$107</definedName>
    <definedName name="Z_3B1ECDC1_1136_4881_8058_744A37B854BE_.wvu.FilterData" localSheetId="1" hidden="1">'December '!$A$1:$U$107</definedName>
    <definedName name="Z_3FA32124_504F_453A_9358_8BD9AA34B5F7_.wvu.FilterData" localSheetId="6" hidden="1">May_15!$A$1:$R$106</definedName>
    <definedName name="Z_40E5190D_9227_458D_9C39_8DAC3F47D908_.wvu.FilterData" localSheetId="7" hidden="1">June_15!$A$1:$S$104</definedName>
    <definedName name="Z_469AD9BF_30A2_4B96_A486_3FA9AB8366A9_.wvu.Cols" localSheetId="0" hidden="1">November!$W:$Y</definedName>
    <definedName name="Z_469AD9BF_30A2_4B96_A486_3FA9AB8366A9_.wvu.FilterData" localSheetId="0" hidden="1">November!$A$1:$Z$109</definedName>
    <definedName name="Z_47FEB234_2F34_4AF9_8C67_611817C3FB64_.wvu.FilterData" localSheetId="9" hidden="1">August_15!$B$1:$R$106</definedName>
    <definedName name="Z_58B17809_FEAC_41CF_B8CF_7E21ECF90368_.wvu.FilterData" localSheetId="7" hidden="1">June_15!$A$1:$S$104</definedName>
    <definedName name="Z_5CAD95A0_6A36_40CB_87DA_370F39FC7259_.wvu.Cols" localSheetId="0" hidden="1">November!$W:$Y</definedName>
    <definedName name="Z_5CAD95A0_6A36_40CB_87DA_370F39FC7259_.wvu.FilterData" localSheetId="0" hidden="1">November!$A$1:$Z$109</definedName>
    <definedName name="Z_5F1CCD53_A6B6_4801_9001_0C0BEBA8D20D_.wvu.FilterData" localSheetId="5" hidden="1">Apr_15!$A$1:$S$107</definedName>
    <definedName name="Z_5F1CCD53_A6B6_4801_9001_0C0BEBA8D20D_.wvu.FilterData" localSheetId="1" hidden="1">'December '!$A$1:$U$107</definedName>
    <definedName name="Z_5F1CCD53_A6B6_4801_9001_0C0BEBA8D20D_.wvu.FilterData" localSheetId="3" hidden="1">Feb_15!$A$1:$X$107</definedName>
    <definedName name="Z_5F1CCD53_A6B6_4801_9001_0C0BEBA8D20D_.wvu.FilterData" localSheetId="2" hidden="1">Jan_15!$A$1:$AM$105</definedName>
    <definedName name="Z_5F1CCD53_A6B6_4801_9001_0C0BEBA8D20D_.wvu.FilterData" localSheetId="8" hidden="1">July_15!$A$1:$P$103</definedName>
    <definedName name="Z_5F1CCD53_A6B6_4801_9001_0C0BEBA8D20D_.wvu.FilterData" localSheetId="7" hidden="1">June_15!$A$1:$S$104</definedName>
    <definedName name="Z_5F1CCD53_A6B6_4801_9001_0C0BEBA8D20D_.wvu.FilterData" localSheetId="4" hidden="1">Mar_15!$A$1:$U$106</definedName>
    <definedName name="Z_5F1CCD53_A6B6_4801_9001_0C0BEBA8D20D_.wvu.FilterData" localSheetId="6" hidden="1">May_15!$A$1:$R$106</definedName>
    <definedName name="Z_5F1CCD53_A6B6_4801_9001_0C0BEBA8D20D_.wvu.FilterData" localSheetId="0" hidden="1">November!$A$1:$Z$109</definedName>
    <definedName name="Z_5F9685FF_FD5F_4ECD_A0D8_E33982A5197C_.wvu.FilterData" localSheetId="0" hidden="1">November!$A$1:$Z$109</definedName>
    <definedName name="Z_603669C3_C9C2_4340_8F13_582FC9466E32_.wvu.FilterData" localSheetId="6" hidden="1">May_15!$A$1:$R$106</definedName>
    <definedName name="Z_67CD0D7C_7514_44CB_A891_3A3BAD30E1CB_.wvu.FilterData" localSheetId="7" hidden="1">June_15!$A$1:$S$104</definedName>
    <definedName name="Z_716DB79B_53FB_4D77_A480_661FC8E294CD_.wvu.FilterData" localSheetId="0" hidden="1">November!$A$1:$Z$109</definedName>
    <definedName name="Z_74708E03_D7E4_4C34_BFF8_829C526D0246_.wvu.FilterData" localSheetId="1" hidden="1">'December '!$A$1:$U$107</definedName>
    <definedName name="Z_75AB3A9C_2753_49A7_B36C_D7B73D6834CB_.wvu.FilterData" localSheetId="9" hidden="1">August_15!$B$1:$R$106</definedName>
    <definedName name="Z_7646AAD2_DDD7_4751_8905_EC507A9E55C6_.wvu.FilterData" localSheetId="1" hidden="1">'December '!$A$1:$U$107</definedName>
    <definedName name="Z_7664909A_1A63_480A_BD39_E0BF928EE87F_.wvu.FilterData" localSheetId="6" hidden="1">May_15!$A$1:$R$106</definedName>
    <definedName name="Z_7A751D0E_E1DB_4CA9_844E_987730CC2DF7_.wvu.FilterData" localSheetId="5" hidden="1">Apr_15!$A$1:$S$107</definedName>
    <definedName name="Z_7A751D0E_E1DB_4CA9_844E_987730CC2DF7_.wvu.FilterData" localSheetId="9" hidden="1">August_15!$B$1:$R$106</definedName>
    <definedName name="Z_7A751D0E_E1DB_4CA9_844E_987730CC2DF7_.wvu.FilterData" localSheetId="1" hidden="1">'December '!$A$1:$U$107</definedName>
    <definedName name="Z_7A751D0E_E1DB_4CA9_844E_987730CC2DF7_.wvu.FilterData" localSheetId="3" hidden="1">Feb_15!$A$1:$X$107</definedName>
    <definedName name="Z_7A751D0E_E1DB_4CA9_844E_987730CC2DF7_.wvu.FilterData" localSheetId="2" hidden="1">Jan_15!$A$1:$AM$105</definedName>
    <definedName name="Z_7A751D0E_E1DB_4CA9_844E_987730CC2DF7_.wvu.FilterData" localSheetId="8" hidden="1">July_15!$A$1:$P$103</definedName>
    <definedName name="Z_7A751D0E_E1DB_4CA9_844E_987730CC2DF7_.wvu.FilterData" localSheetId="7" hidden="1">June_15!$A$1:$S$105</definedName>
    <definedName name="Z_7A751D0E_E1DB_4CA9_844E_987730CC2DF7_.wvu.FilterData" localSheetId="4" hidden="1">Mar_15!$A$1:$U$106</definedName>
    <definedName name="Z_7A751D0E_E1DB_4CA9_844E_987730CC2DF7_.wvu.FilterData" localSheetId="6" hidden="1">May_15!$A$1:$R$106</definedName>
    <definedName name="Z_7A751D0E_E1DB_4CA9_844E_987730CC2DF7_.wvu.FilterData" localSheetId="0" hidden="1">November!$A$1:$Z$109</definedName>
    <definedName name="Z_7BF253D2_6ADE_437A_B984_DF567C06ECAA_.wvu.FilterData" localSheetId="7" hidden="1">June_15!$A$1:$S$104</definedName>
    <definedName name="Z_7C1EC4E7_30DF_48C9_B9E2_10E899C243D4_.wvu.FilterData" localSheetId="1" hidden="1">'December '!$A$1:$U$107</definedName>
    <definedName name="Z_7E86BBD5_6A83_4A33_9390_02B41D68A636_.wvu.FilterData" localSheetId="1" hidden="1">'December '!$A$1:$U$107</definedName>
    <definedName name="Z_86C1E020_9044_4C41_B03C_9B40E5A6F273_.wvu.FilterData" localSheetId="1" hidden="1">'December '!$A$1:$U$107</definedName>
    <definedName name="Z_87D794F2_35A0_48CE_9160_F4F5B1872BBD_.wvu.FilterData" localSheetId="9" hidden="1">August_15!$B$1:$R$106</definedName>
    <definedName name="Z_8BF7B4A4_C7B2_4342_B7D8_CCB74AA82A9A_.wvu.FilterData" localSheetId="1" hidden="1">'December '!$A$1:$U$107</definedName>
    <definedName name="Z_8DFB6A66_CE00_48C9_970C_20E3591320FD_.wvu.FilterData" localSheetId="6" hidden="1">May_15!$A$1:$R$106</definedName>
    <definedName name="Z_93242114_61D6_451B_9898_C053F729BB9F_.wvu.FilterData" localSheetId="1" hidden="1">'December '!$A$1:$U$107</definedName>
    <definedName name="Z_9AE92C02_831D_4C88_A443_C1563CD5179F_.wvu.FilterData" localSheetId="1" hidden="1">'December '!$A$1:$U$107</definedName>
    <definedName name="Z_A073F489_2129_4213_8CA1_DF81CC5672FE_.wvu.FilterData" localSheetId="9" hidden="1">August_15!$B$1:$R$106</definedName>
    <definedName name="Z_A2B615C3_B470_4B19_BA1D_E1847444063A_.wvu.FilterData" localSheetId="6" hidden="1">May_15!$A$1:$R$106</definedName>
    <definedName name="Z_A7966F67_AC24_4466_AC21_01050F12106E_.wvu.FilterData" localSheetId="6" hidden="1">May_15!$A$1:$R$106</definedName>
    <definedName name="Z_A948FC83_4DEE_491D_9940_8FF41FB05175_.wvu.FilterData" localSheetId="3" hidden="1">Feb_15!$A$1:$AI$108</definedName>
    <definedName name="Z_B10A49AE_4BC0_4FA0_B806_40CA7E603ADB_.wvu.FilterData" localSheetId="0" hidden="1">November!$A$1:$Z$109</definedName>
    <definedName name="Z_B2ED608C_4F44_49D5_86F1_11C37E757F00_.wvu.FilterData" localSheetId="1" hidden="1">'December '!$A$1:$U$107</definedName>
    <definedName name="Z_B5FB306E_40A3_4DB0_83E0_D287A2A87297_.wvu.FilterData" localSheetId="6" hidden="1">May_15!$A$1:$R$106</definedName>
    <definedName name="Z_BB459DD7_BDC1_4BB5_803D_97A642781B2A_.wvu.FilterData" localSheetId="4" hidden="1">Mar_15!$A$1:$U$106</definedName>
    <definedName name="Z_BDA34D52_B4BA_426C_853B_2B50F8AB0C76_.wvu.FilterData" localSheetId="5" hidden="1">Apr_15!$A$1:$S$107</definedName>
    <definedName name="Z_BDA34D52_B4BA_426C_853B_2B50F8AB0C76_.wvu.FilterData" localSheetId="9" hidden="1">August_15!$B$1:$R$1</definedName>
    <definedName name="Z_BDA34D52_B4BA_426C_853B_2B50F8AB0C76_.wvu.FilterData" localSheetId="1" hidden="1">'December '!$A$1:$U$107</definedName>
    <definedName name="Z_BDA34D52_B4BA_426C_853B_2B50F8AB0C76_.wvu.FilterData" localSheetId="3" hidden="1">Feb_15!$A$1:$X$107</definedName>
    <definedName name="Z_BDA34D52_B4BA_426C_853B_2B50F8AB0C76_.wvu.FilterData" localSheetId="2" hidden="1">Jan_15!$A$1:$AM$105</definedName>
    <definedName name="Z_BDA34D52_B4BA_426C_853B_2B50F8AB0C76_.wvu.FilterData" localSheetId="8" hidden="1">July_15!$A$1:$P$103</definedName>
    <definedName name="Z_BDA34D52_B4BA_426C_853B_2B50F8AB0C76_.wvu.FilterData" localSheetId="7" hidden="1">June_15!$A$1:$S$105</definedName>
    <definedName name="Z_BDA34D52_B4BA_426C_853B_2B50F8AB0C76_.wvu.FilterData" localSheetId="4" hidden="1">Mar_15!$A$1:$U$106</definedName>
    <definedName name="Z_BDA34D52_B4BA_426C_853B_2B50F8AB0C76_.wvu.FilterData" localSheetId="6" hidden="1">May_15!$A$1:$R$106</definedName>
    <definedName name="Z_BDA34D52_B4BA_426C_853B_2B50F8AB0C76_.wvu.FilterData" localSheetId="0" hidden="1">November!$A$1:$Z$109</definedName>
    <definedName name="Z_C66BF055_7613_4DC3_BA99_25F44C751266_.wvu.Cols" localSheetId="0" hidden="1">November!$W:$Y</definedName>
    <definedName name="Z_C66BF055_7613_4DC3_BA99_25F44C751266_.wvu.FilterData" localSheetId="5" hidden="1">Apr_15!$A$1:$S$107</definedName>
    <definedName name="Z_C66BF055_7613_4DC3_BA99_25F44C751266_.wvu.FilterData" localSheetId="9" hidden="1">August_15!$B$1:$R$106</definedName>
    <definedName name="Z_C66BF055_7613_4DC3_BA99_25F44C751266_.wvu.FilterData" localSheetId="1" hidden="1">'December '!$A$1:$U$107</definedName>
    <definedName name="Z_C66BF055_7613_4DC3_BA99_25F44C751266_.wvu.FilterData" localSheetId="3" hidden="1">Feb_15!$A$1:$AI$109</definedName>
    <definedName name="Z_C66BF055_7613_4DC3_BA99_25F44C751266_.wvu.FilterData" localSheetId="2" hidden="1">Jan_15!$A$1:$AM$105</definedName>
    <definedName name="Z_C66BF055_7613_4DC3_BA99_25F44C751266_.wvu.FilterData" localSheetId="8" hidden="1">July_15!$A$1:$P$103</definedName>
    <definedName name="Z_C66BF055_7613_4DC3_BA99_25F44C751266_.wvu.FilterData" localSheetId="7" hidden="1">June_15!$A$1:$S$105</definedName>
    <definedName name="Z_C66BF055_7613_4DC3_BA99_25F44C751266_.wvu.FilterData" localSheetId="4" hidden="1">Mar_15!$A$1:$U$106</definedName>
    <definedName name="Z_C66BF055_7613_4DC3_BA99_25F44C751266_.wvu.FilterData" localSheetId="6" hidden="1">May_15!$A$1:$R$106</definedName>
    <definedName name="Z_C66BF055_7613_4DC3_BA99_25F44C751266_.wvu.FilterData" localSheetId="0" hidden="1">November!$A$1:$Z$109</definedName>
    <definedName name="Z_C7686348_E6DE_4B04_BECD_A5AEE5DCF1F4_.wvu.FilterData" localSheetId="0" hidden="1">November!$A$1:$Z$109</definedName>
    <definedName name="Z_C7A92DB4_F2A0_4393_AAAE_496AD420BA43_.wvu.FilterData" localSheetId="9" hidden="1">August_15!$B$1:$R$106</definedName>
    <definedName name="Z_CA45EECD_288A_45F7_9EDA_4F7A6F0FC3F6_.wvu.FilterData" localSheetId="7" hidden="1">June_15!$A$1:$S$104</definedName>
    <definedName name="Z_CAC33B51_D4AE_4BD3_AE9C_E677B65295EE_.wvu.FilterData" localSheetId="1" hidden="1">'December '!$A$1:$U$107</definedName>
    <definedName name="Z_CAFFBB34_0C57_4822_83BD_65BFC0C3DCDC_.wvu.FilterData" localSheetId="1" hidden="1">'December '!$A$1:$U$107</definedName>
    <definedName name="Z_D1D8DB89_8B15_46D7_BD65_8126044F3FDD_.wvu.Cols" localSheetId="0" hidden="1">November!$W:$Y</definedName>
    <definedName name="Z_D1D8DB89_8B15_46D7_BD65_8126044F3FDD_.wvu.FilterData" localSheetId="0" hidden="1">November!$A$1:$Z$109</definedName>
    <definedName name="Z_D2A82AAC_6365_4982_8D2E_B6C94E73628C_.wvu.FilterData" localSheetId="0" hidden="1">November!$A$1:$Z$109</definedName>
    <definedName name="Z_D364304B_E18C_453B_A624_DE6197120D49_.wvu.FilterData" localSheetId="5" hidden="1">Apr_15!$A$1:$S$107</definedName>
    <definedName name="Z_D364304B_E18C_453B_A624_DE6197120D49_.wvu.FilterData" localSheetId="1" hidden="1">'December '!$A$1:$U$107</definedName>
    <definedName name="Z_D364304B_E18C_453B_A624_DE6197120D49_.wvu.FilterData" localSheetId="3" hidden="1">Feb_15!$A$1:$X$107</definedName>
    <definedName name="Z_D364304B_E18C_453B_A624_DE6197120D49_.wvu.FilterData" localSheetId="2" hidden="1">Jan_15!$A$1:$AM$105</definedName>
    <definedName name="Z_D364304B_E18C_453B_A624_DE6197120D49_.wvu.FilterData" localSheetId="8" hidden="1">July_15!$A$1:$P$103</definedName>
    <definedName name="Z_D364304B_E18C_453B_A624_DE6197120D49_.wvu.FilterData" localSheetId="7" hidden="1">June_15!$A$1:$S$105</definedName>
    <definedName name="Z_D364304B_E18C_453B_A624_DE6197120D49_.wvu.FilterData" localSheetId="4" hidden="1">Mar_15!$A$1:$U$106</definedName>
    <definedName name="Z_D364304B_E18C_453B_A624_DE6197120D49_.wvu.FilterData" localSheetId="6" hidden="1">May_15!$A$1:$R$106</definedName>
    <definedName name="Z_D364304B_E18C_453B_A624_DE6197120D49_.wvu.FilterData" localSheetId="0" hidden="1">November!$A$1:$Z$109</definedName>
    <definedName name="Z_DA8006FA_F549_4B7E_8C3D_B376CE1F2F36_.wvu.FilterData" localSheetId="5" hidden="1">Apr_15!$A$1:$S$107</definedName>
    <definedName name="Z_DA8006FA_F549_4B7E_8C3D_B376CE1F2F36_.wvu.FilterData" localSheetId="9" hidden="1">August_15!$B$1:$R$106</definedName>
    <definedName name="Z_DA8006FA_F549_4B7E_8C3D_B376CE1F2F36_.wvu.FilterData" localSheetId="1" hidden="1">'December '!$A$1:$U$107</definedName>
    <definedName name="Z_DA8006FA_F549_4B7E_8C3D_B376CE1F2F36_.wvu.FilterData" localSheetId="3" hidden="1">Feb_15!$A$1:$X$107</definedName>
    <definedName name="Z_DA8006FA_F549_4B7E_8C3D_B376CE1F2F36_.wvu.FilterData" localSheetId="2" hidden="1">Jan_15!$A$1:$AM$105</definedName>
    <definedName name="Z_DA8006FA_F549_4B7E_8C3D_B376CE1F2F36_.wvu.FilterData" localSheetId="8" hidden="1">July_15!$A$1:$P$103</definedName>
    <definedName name="Z_DA8006FA_F549_4B7E_8C3D_B376CE1F2F36_.wvu.FilterData" localSheetId="7" hidden="1">June_15!$A$1:$S$105</definedName>
    <definedName name="Z_DA8006FA_F549_4B7E_8C3D_B376CE1F2F36_.wvu.FilterData" localSheetId="4" hidden="1">Mar_15!$A$1:$U$106</definedName>
    <definedName name="Z_DA8006FA_F549_4B7E_8C3D_B376CE1F2F36_.wvu.FilterData" localSheetId="6" hidden="1">May_15!$A$1:$R$106</definedName>
    <definedName name="Z_DA8006FA_F549_4B7E_8C3D_B376CE1F2F36_.wvu.FilterData" localSheetId="0" hidden="1">November!$A$1:$Z$109</definedName>
    <definedName name="Z_E482B075_5CC2_4467_9DA9_211D79BF0018_.wvu.FilterData" localSheetId="9" hidden="1">August_15!$B$1:$R$106</definedName>
    <definedName name="Z_E5FAA62F_9EB9_4AD3_BCCD_8CA36A323B86_.wvu.FilterData" localSheetId="7" hidden="1">June_15!$A$1:$S$104</definedName>
    <definedName name="Z_EA5452F7_20F0_49BB_8983_BE07863612EE_.wvu.FilterData" localSheetId="7" hidden="1">June_15!$A$1:$S$104</definedName>
    <definedName name="Z_EAB55D4E_5AA4_4B6B_B63C_0209C245A1AA_.wvu.FilterData" localSheetId="6" hidden="1">May_15!$A$1:$R$106</definedName>
    <definedName name="Z_ED359480_01A4_48B7_A82F_B5C0F9A4632D_.wvu.FilterData" localSheetId="4" hidden="1">Mar_15!$A$1:$AD$1</definedName>
    <definedName name="Z_ED756E06_55DE_48DF_9350_4145D076D9E6_.wvu.FilterData" localSheetId="0" hidden="1">November!$A$1:$Z$109</definedName>
    <definedName name="Z_F0DA5CBD_521B_45E5_999C_010E89D9B2D8_.wvu.FilterData" localSheetId="5" hidden="1">Apr_15!$A$1:$S$107</definedName>
    <definedName name="Z_F0DA5CBD_521B_45E5_999C_010E89D9B2D8_.wvu.FilterData" localSheetId="1" hidden="1">'December '!$A$1:$U$107</definedName>
    <definedName name="Z_F0DA5CBD_521B_45E5_999C_010E89D9B2D8_.wvu.FilterData" localSheetId="3" hidden="1">Feb_15!$A$1:$X$107</definedName>
    <definedName name="Z_F0DA5CBD_521B_45E5_999C_010E89D9B2D8_.wvu.FilterData" localSheetId="2" hidden="1">Jan_15!$A$1:$AM$105</definedName>
    <definedName name="Z_F0DA5CBD_521B_45E5_999C_010E89D9B2D8_.wvu.FilterData" localSheetId="7" hidden="1">June_15!$A$1:$S$104</definedName>
    <definedName name="Z_F0DA5CBD_521B_45E5_999C_010E89D9B2D8_.wvu.FilterData" localSheetId="4" hidden="1">Mar_15!$A$1:$U$106</definedName>
    <definedName name="Z_F0DA5CBD_521B_45E5_999C_010E89D9B2D8_.wvu.FilterData" localSheetId="6" hidden="1">May_15!$A$1:$R$106</definedName>
    <definedName name="Z_F0DA5CBD_521B_45E5_999C_010E89D9B2D8_.wvu.FilterData" localSheetId="0" hidden="1">November!$A$1:$Z$109</definedName>
    <definedName name="Z_F3F5D55A_D50A_4AED_AB89_A670EA403EE1_.wvu.Cols" localSheetId="0" hidden="1">November!$W:$Y</definedName>
    <definedName name="Z_F3F5D55A_D50A_4AED_AB89_A670EA403EE1_.wvu.FilterData" localSheetId="0" hidden="1">November!$A$1:$Z$109</definedName>
    <definedName name="Z_F55E8E19_4B61_451F_8571_19A09CD0A8B0_.wvu.FilterData" localSheetId="9" hidden="1">August_15!$B$1:$R$106</definedName>
    <definedName name="Z_F9DB5290_8058_4177_BF66_F72F960FE7C3_.wvu.FilterData" localSheetId="7" hidden="1">June_15!$A$1:$S$104</definedName>
    <definedName name="Z_FB295F38_D6C8_4E7B_9C6E_73A320050BC1_.wvu.FilterData" localSheetId="0" hidden="1">November!$A$1:$Z$109</definedName>
  </definedNames>
  <calcPr calcId="145621"/>
  <customWorkbookViews>
    <customWorkbookView name="Natalia Chernonog - Personal View" guid="{DA8006FA-F549-4B7E-8C3D-B376CE1F2F36}" mergeInterval="0" personalView="1" maximized="1" windowWidth="1916" windowHeight="855" tabRatio="586" activeSheetId="10"/>
    <customWorkbookView name="Ievgenii Matveichuk - Personal View" guid="{F0DA5CBD-521B-45E5-999C-010E89D9B2D8}" mergeInterval="0" personalView="1" maximized="1" xWindow="-8" yWindow="-8" windowWidth="1936" windowHeight="1066" activeSheetId="9"/>
    <customWorkbookView name="Anastasiia Zadneprovska - Personal View" guid="{469AD9BF-30A2-4B96-A486-3FA9AB8366A9}" mergeInterval="0" personalView="1" maximized="1" windowWidth="1920" windowHeight="894" activeSheetId="5"/>
    <customWorkbookView name="asymonch - Personal View" guid="{975956BC-85AE-4FB5-B6A8-F6A7D586E8A8}" mergeInterval="0" personalView="1" maximized="1" xWindow="1" yWindow="1" windowWidth="1280" windowHeight="783" activeSheetId="8"/>
    <customWorkbookView name="okomisar - Personal View" guid="{DFD46CC0-E2F5-43AF-A465-8872BA38AA52}" mergeInterval="0" personalView="1" maximized="1" xWindow="1" yWindow="1" windowWidth="1920" windowHeight="889" activeSheetId="8"/>
    <customWorkbookView name="azadnepr - Personal View" guid="{2EE33792-2D10-4FA0-ACDB-3554BE003ABB}" mergeInterval="0" personalView="1" maximized="1" xWindow="1" yWindow="1" windowWidth="1280" windowHeight="794" activeSheetId="3"/>
    <customWorkbookView name="Nadiia Gorash - Personal View" guid="{25C04481-436B-4D6F-B77D-AFDF566AB5A3}" mergeInterval="0" personalView="1" maximized="1" xWindow="1" yWindow="1" windowWidth="1906" windowHeight="647" activeSheetId="5"/>
    <customWorkbookView name="stretiak - Personal View" guid="{1D7BA98F-72F3-46D3-8877-4CBCC7BEB725}" mergeInterval="0" personalView="1" maximized="1" xWindow="1" yWindow="1" windowWidth="1148" windowHeight="832" activeSheetId="2"/>
    <customWorkbookView name="Pavel Yalovol - Personal View" guid="{3E9A8499-A4DD-4262-8F80-E5E60EBB67FF}" mergeInterval="0" personalView="1" maximized="1" xWindow="1" yWindow="1" windowWidth="1280" windowHeight="833" activeSheetId="5"/>
    <customWorkbookView name="iLuchnykova - Personal View" guid="{D1D8DB89-8B15-46D7-BD65-8126044F3FDD}" mergeInterval="0" personalView="1" maximized="1" xWindow="1" yWindow="1" windowWidth="1280" windowHeight="769" activeSheetId="1"/>
    <customWorkbookView name="Olga Komisaruk - Personal View" guid="{F3F5D55A-D50A-4AED-AB89-A670EA403EE1}" mergeInterval="0" personalView="1" maximized="1" windowWidth="1920" windowHeight="894" activeSheetId="10"/>
    <customWorkbookView name="ishubin - Personal View" guid="{5CAD95A0-6A36-40CB-87DA-370F39FC7259}" mergeInterval="0" personalView="1" maximized="1" xWindow="1" yWindow="1" windowWidth="1920" windowHeight="862" activeSheetId="10"/>
    <customWorkbookView name="Svitlana Tretiakova - Personal View" guid="{2016DEE0-C3DF-42DE-827B-714D5FF500FE}" mergeInterval="0" personalView="1" maximized="1" xWindow="54" yWindow="-8" windowWidth="1874" windowHeight="1096" activeSheetId="1" showComments="commIndAndComment"/>
    <customWorkbookView name="Anna Symonchuk - Personal View" guid="{5F1CCD53-A6B6-4801-9001-0C0BEBA8D20D}" mergeInterval="0" personalView="1" maximized="1" windowWidth="1920" windowHeight="855" tabRatio="423" activeSheetId="9"/>
    <customWorkbookView name="Dmytro Lomakin - Personal View" guid="{D364304B-E18C-453B-A624-DE6197120D49}" mergeInterval="0" personalView="1" maximized="1" windowWidth="1920" windowHeight="833" activeSheetId="10"/>
    <customWorkbookView name="Iurii Shubin - Personal View" guid="{BDA34D52-B4BA-426C-853B-2B50F8AB0C76}" mergeInterval="0" personalView="1" maximized="1" windowWidth="1920" windowHeight="894" tabRatio="586" activeSheetId="10"/>
    <customWorkbookView name="Ievgeniia Luchnykova - Personal View" guid="{C66BF055-7613-4DC3-BA99-25F44C751266}" mergeInterval="0" personalView="1" maximized="1" xWindow="-8" yWindow="-8" windowWidth="1936" windowHeight="1056" activeSheetId="10"/>
    <customWorkbookView name="Oleg Seliverstov - Personal View" guid="{7A751D0E-E1DB-4CA9-844E-987730CC2DF7}" mergeInterval="0" personalView="1" maximized="1" windowWidth="1920" windowHeight="806" tabRatio="613" activeSheetId="10"/>
  </customWorkbookViews>
</workbook>
</file>

<file path=xl/calcChain.xml><?xml version="1.0" encoding="utf-8"?>
<calcChain xmlns="http://schemas.openxmlformats.org/spreadsheetml/2006/main">
  <c r="P77" i="9" l="1"/>
  <c r="J102" i="9"/>
  <c r="I27" i="9" l="1"/>
  <c r="O101" i="9" l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2" i="9"/>
  <c r="C101" i="9" l="1"/>
  <c r="C103" i="9" s="1"/>
  <c r="D101" i="9"/>
  <c r="E101" i="9"/>
  <c r="F101" i="9"/>
  <c r="G101" i="9"/>
  <c r="H101" i="9"/>
  <c r="H103" i="9" s="1"/>
  <c r="I101" i="9"/>
  <c r="J101" i="9"/>
  <c r="K101" i="9"/>
  <c r="L101" i="9"/>
  <c r="L103" i="9" s="1"/>
  <c r="M101" i="9"/>
  <c r="N101" i="9"/>
  <c r="P101" i="9"/>
  <c r="B101" i="9"/>
  <c r="B103" i="9" s="1"/>
  <c r="P103" i="9" l="1"/>
  <c r="J100" i="8"/>
  <c r="K100" i="8"/>
  <c r="H46" i="8"/>
  <c r="H103" i="8" s="1"/>
  <c r="K99" i="8"/>
  <c r="D103" i="8"/>
  <c r="I91" i="8"/>
  <c r="I89" i="8"/>
  <c r="I17" i="8"/>
  <c r="I4" i="8"/>
  <c r="S31" i="8"/>
  <c r="M18" i="8"/>
  <c r="M103" i="8" s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2" i="8"/>
  <c r="C103" i="8"/>
  <c r="E103" i="8"/>
  <c r="F103" i="8"/>
  <c r="G103" i="8"/>
  <c r="I103" i="8"/>
  <c r="J103" i="8"/>
  <c r="J104" i="8" s="1"/>
  <c r="S104" i="8" s="1"/>
  <c r="K103" i="8"/>
  <c r="L103" i="8"/>
  <c r="O103" i="8"/>
  <c r="P103" i="8"/>
  <c r="Q103" i="8"/>
  <c r="R103" i="8"/>
  <c r="B103" i="8"/>
  <c r="N16" i="8"/>
  <c r="N103" i="8" s="1"/>
  <c r="S16" i="8" l="1"/>
  <c r="S103" i="8" s="1"/>
  <c r="G106" i="7" l="1"/>
  <c r="I93" i="7" l="1"/>
  <c r="I28" i="7"/>
  <c r="Q28" i="7"/>
  <c r="B106" i="7"/>
  <c r="I95" i="7" l="1"/>
  <c r="R106" i="7"/>
  <c r="E78" i="7"/>
  <c r="E21" i="7"/>
  <c r="D80" i="7"/>
  <c r="N57" i="7"/>
  <c r="N65" i="7"/>
  <c r="L105" i="7"/>
  <c r="A118" i="7" l="1"/>
  <c r="F44" i="7"/>
  <c r="B13" i="7"/>
  <c r="B27" i="7"/>
  <c r="B40" i="7"/>
  <c r="B54" i="7"/>
  <c r="B60" i="7"/>
  <c r="G83" i="7" l="1"/>
  <c r="G85" i="7"/>
  <c r="R85" i="7" s="1"/>
  <c r="G4" i="7"/>
  <c r="R4" i="7" s="1"/>
  <c r="Q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3" i="7"/>
  <c r="R2" i="7"/>
  <c r="R105" i="7" l="1"/>
  <c r="C105" i="7"/>
  <c r="D105" i="7"/>
  <c r="E105" i="7"/>
  <c r="F105" i="7"/>
  <c r="G105" i="7"/>
  <c r="H105" i="7"/>
  <c r="I105" i="7"/>
  <c r="J105" i="7"/>
  <c r="K105" i="7"/>
  <c r="M105" i="7"/>
  <c r="N105" i="7"/>
  <c r="O105" i="7"/>
  <c r="P105" i="7"/>
  <c r="B105" i="7"/>
  <c r="R70" i="6" l="1"/>
  <c r="R32" i="6"/>
  <c r="R22" i="6"/>
  <c r="R19" i="6"/>
  <c r="R8" i="6"/>
  <c r="R51" i="6"/>
  <c r="R37" i="6"/>
  <c r="R14" i="6"/>
  <c r="R6" i="6"/>
  <c r="R25" i="6" l="1"/>
  <c r="R106" i="6" s="1"/>
  <c r="O66" i="6" l="1"/>
  <c r="O82" i="6"/>
  <c r="E81" i="6"/>
  <c r="F79" i="6"/>
  <c r="F21" i="6"/>
  <c r="F53" i="6"/>
  <c r="J96" i="6"/>
  <c r="J94" i="6"/>
  <c r="I47" i="6"/>
  <c r="I106" i="6" s="1"/>
  <c r="H86" i="6"/>
  <c r="H84" i="6"/>
  <c r="C18" i="6" l="1"/>
  <c r="C55" i="6"/>
  <c r="S2" i="6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Q106" i="6"/>
  <c r="P106" i="6"/>
  <c r="O106" i="6"/>
  <c r="O107" i="6" s="1"/>
  <c r="S107" i="6" s="1"/>
  <c r="N106" i="6"/>
  <c r="M106" i="6"/>
  <c r="L106" i="6"/>
  <c r="K106" i="6"/>
  <c r="J106" i="6"/>
  <c r="H106" i="6"/>
  <c r="G106" i="6"/>
  <c r="F106" i="6"/>
  <c r="E106" i="6"/>
  <c r="D106" i="6"/>
  <c r="C106" i="6"/>
  <c r="B106" i="6"/>
  <c r="S106" i="6" l="1"/>
  <c r="U63" i="5"/>
  <c r="N30" i="5" l="1"/>
  <c r="N105" i="5" s="1"/>
  <c r="J92" i="5"/>
  <c r="I71" i="5"/>
  <c r="G46" i="5"/>
  <c r="G105" i="5"/>
  <c r="Q34" i="5"/>
  <c r="Q73" i="5"/>
  <c r="H84" i="5" l="1"/>
  <c r="H82" i="5"/>
  <c r="H4" i="5"/>
  <c r="K75" i="5"/>
  <c r="K36" i="5"/>
  <c r="C18" i="5" l="1"/>
  <c r="C54" i="5"/>
  <c r="U94" i="5"/>
  <c r="U95" i="5"/>
  <c r="C105" i="5" l="1"/>
  <c r="D105" i="5"/>
  <c r="E105" i="5"/>
  <c r="F105" i="5"/>
  <c r="H105" i="5"/>
  <c r="I105" i="5"/>
  <c r="J105" i="5"/>
  <c r="K105" i="5"/>
  <c r="K106" i="5" s="1"/>
  <c r="U106" i="5" s="1"/>
  <c r="L105" i="5"/>
  <c r="M105" i="5"/>
  <c r="O105" i="5"/>
  <c r="P105" i="5"/>
  <c r="Q105" i="5"/>
  <c r="R105" i="5"/>
  <c r="S105" i="5"/>
  <c r="T105" i="5"/>
  <c r="B10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6" i="5"/>
  <c r="U97" i="5"/>
  <c r="U98" i="5"/>
  <c r="U99" i="5"/>
  <c r="U100" i="5"/>
  <c r="U101" i="5"/>
  <c r="U102" i="5"/>
  <c r="U103" i="5"/>
  <c r="U104" i="5"/>
  <c r="U2" i="5"/>
  <c r="U105" i="5" l="1"/>
  <c r="K85" i="4"/>
  <c r="K83" i="4"/>
  <c r="M96" i="4"/>
  <c r="L96" i="4"/>
  <c r="M29" i="4"/>
  <c r="L72" i="4"/>
  <c r="X72" i="4" s="1"/>
  <c r="J96" i="4"/>
  <c r="J48" i="4"/>
  <c r="J66" i="4"/>
  <c r="X105" i="4" l="1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S31" i="4"/>
  <c r="X31" i="4" s="1"/>
  <c r="M106" i="4"/>
  <c r="W106" i="4"/>
  <c r="V106" i="4"/>
  <c r="U106" i="4"/>
  <c r="T106" i="4"/>
  <c r="R106" i="4"/>
  <c r="Q106" i="4"/>
  <c r="P106" i="4"/>
  <c r="O106" i="4"/>
  <c r="N106" i="4"/>
  <c r="L106" i="4"/>
  <c r="L107" i="4" s="1"/>
  <c r="K106" i="4"/>
  <c r="K107" i="4" s="1"/>
  <c r="J106" i="4"/>
  <c r="J107" i="4" s="1"/>
  <c r="I106" i="4"/>
  <c r="B106" i="4"/>
  <c r="S106" i="4" l="1"/>
  <c r="X106" i="4"/>
  <c r="E106" i="4"/>
  <c r="E107" i="4" s="1"/>
  <c r="F106" i="4"/>
  <c r="F107" i="4" s="1"/>
  <c r="G106" i="4"/>
  <c r="H106" i="4"/>
  <c r="D106" i="4"/>
  <c r="D107" i="4" s="1"/>
  <c r="D84" i="3" l="1"/>
  <c r="D82" i="3"/>
  <c r="D3" i="3"/>
  <c r="E75" i="3"/>
  <c r="E36" i="3"/>
  <c r="E23" i="3"/>
  <c r="J104" i="3" l="1"/>
  <c r="L35" i="3" l="1"/>
  <c r="C29" i="3"/>
  <c r="C17" i="3"/>
  <c r="AC97" i="3" l="1"/>
  <c r="AC98" i="3"/>
  <c r="AC99" i="3"/>
  <c r="AC100" i="3"/>
  <c r="AC101" i="3"/>
  <c r="AC102" i="3"/>
  <c r="AC103" i="3"/>
  <c r="C104" i="3"/>
  <c r="D104" i="3"/>
  <c r="E104" i="3"/>
  <c r="F104" i="3"/>
  <c r="G104" i="3"/>
  <c r="H104" i="3"/>
  <c r="I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N107" i="4" s="1"/>
  <c r="X107" i="4" s="1"/>
  <c r="W104" i="3"/>
  <c r="X104" i="3"/>
  <c r="Y104" i="3"/>
  <c r="Z104" i="3"/>
  <c r="AA104" i="3"/>
  <c r="AB104" i="3"/>
  <c r="B104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2" i="3"/>
  <c r="AC104" i="3" l="1"/>
  <c r="L96" i="2"/>
  <c r="U96" i="2" s="1"/>
  <c r="U95" i="2"/>
  <c r="U9" i="2"/>
  <c r="U10" i="2"/>
  <c r="H106" i="2"/>
  <c r="J106" i="2"/>
  <c r="C18" i="2"/>
  <c r="C30" i="2"/>
  <c r="B45" i="2"/>
  <c r="B67" i="2"/>
  <c r="M71" i="2" l="1"/>
  <c r="U71" i="2" s="1"/>
  <c r="M36" i="2"/>
  <c r="U3" i="2"/>
  <c r="U4" i="2"/>
  <c r="U5" i="2"/>
  <c r="U6" i="2"/>
  <c r="U7" i="2"/>
  <c r="U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U38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60" i="2"/>
  <c r="U61" i="2"/>
  <c r="U62" i="2"/>
  <c r="U63" i="2"/>
  <c r="U64" i="2"/>
  <c r="U65" i="2"/>
  <c r="U66" i="2"/>
  <c r="U67" i="2"/>
  <c r="U68" i="2"/>
  <c r="U69" i="2"/>
  <c r="U70" i="2"/>
  <c r="U72" i="2"/>
  <c r="U73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7" i="2"/>
  <c r="U98" i="2"/>
  <c r="U99" i="2"/>
  <c r="U100" i="2"/>
  <c r="U101" i="2"/>
  <c r="U102" i="2"/>
  <c r="U103" i="2"/>
  <c r="U104" i="2"/>
  <c r="U105" i="2"/>
  <c r="U2" i="2"/>
  <c r="T106" i="2"/>
  <c r="P39" i="2"/>
  <c r="U39" i="2" s="1"/>
  <c r="P59" i="2"/>
  <c r="U59" i="2" s="1"/>
  <c r="P36" i="2"/>
  <c r="N74" i="2"/>
  <c r="U74" i="2" s="1"/>
  <c r="C106" i="2"/>
  <c r="C107" i="2" s="1"/>
  <c r="D106" i="2"/>
  <c r="E106" i="2"/>
  <c r="F106" i="2"/>
  <c r="G106" i="2"/>
  <c r="I106" i="2"/>
  <c r="K106" i="2"/>
  <c r="L106" i="2"/>
  <c r="O106" i="2"/>
  <c r="Q106" i="2"/>
  <c r="R106" i="2"/>
  <c r="S106" i="2"/>
  <c r="B106" i="2"/>
  <c r="B107" i="2" s="1"/>
  <c r="N106" i="2" l="1"/>
  <c r="P106" i="2"/>
  <c r="P107" i="2" s="1"/>
  <c r="U36" i="2"/>
  <c r="M106" i="2"/>
  <c r="M107" i="2" s="1"/>
  <c r="U107" i="2" l="1"/>
  <c r="U106" i="2" l="1"/>
  <c r="K105" i="1" l="1"/>
  <c r="R95" i="1" l="1"/>
  <c r="B45" i="1"/>
  <c r="R45" i="1" s="1"/>
  <c r="B61" i="1"/>
  <c r="R61" i="1" s="1"/>
  <c r="R3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20" i="1"/>
  <c r="R21" i="1"/>
  <c r="R22" i="1"/>
  <c r="R23" i="1"/>
  <c r="R24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2" i="1"/>
  <c r="O105" i="1" l="1"/>
  <c r="P105" i="1"/>
  <c r="J85" i="1" l="1"/>
  <c r="R85" i="1" s="1"/>
  <c r="L70" i="1"/>
  <c r="L105" i="1" l="1"/>
  <c r="R70" i="1"/>
  <c r="I19" i="1"/>
  <c r="R19" i="1" s="1"/>
  <c r="I14" i="1"/>
  <c r="R14" i="1" s="1"/>
  <c r="I4" i="1"/>
  <c r="R4" i="1" s="1"/>
  <c r="H25" i="1" l="1"/>
  <c r="R25" i="1" s="1"/>
  <c r="H32" i="1"/>
  <c r="R32" i="1" s="1"/>
  <c r="Q105" i="1" l="1"/>
  <c r="N105" i="1"/>
  <c r="N106" i="1" s="1"/>
  <c r="M105" i="1"/>
  <c r="M106" i="1" s="1"/>
  <c r="J105" i="1"/>
  <c r="I105" i="1"/>
  <c r="H105" i="1"/>
  <c r="G105" i="1"/>
  <c r="F105" i="1"/>
  <c r="E105" i="1"/>
  <c r="D105" i="1"/>
  <c r="C105" i="1"/>
  <c r="B105" i="1"/>
  <c r="R106" i="1" l="1"/>
  <c r="R105" i="1"/>
</calcChain>
</file>

<file path=xl/comments1.xml><?xml version="1.0" encoding="utf-8"?>
<comments xmlns="http://schemas.openxmlformats.org/spreadsheetml/2006/main">
  <authors>
    <author>Ievgenii Matveichuk</author>
    <author>Dmytro Lomakin</author>
    <author>Oleg Seliverstov</author>
    <author>Svitlana Tretiakova</author>
    <author>Anna Symonchuk</author>
    <author>Ievgeniia Luchnykova</author>
    <author>Iurii Shubin</author>
  </authors>
  <commentList>
    <comment ref="C3" authorId="0" guid="{FA13B753-ECB0-4324-9613-C551F8D8EDA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4" authorId="1" guid="{EE9DE4A7-FAC3-4079-A7E5-F4A39105585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+17.5$ - SME, analyzes</t>
        </r>
      </text>
    </comment>
    <comment ref="K4" authorId="2" guid="{8A18BF4D-BEF4-4A65-997A-58B92F06BF82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C7" authorId="0" guid="{EE1246C2-00A8-4060-A89E-2AC8CF8C3E0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K11" authorId="2" guid="{46E38D40-DC5C-4102-BF4E-1D405EF0699B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Video2Drive - Analysis
</t>
        </r>
      </text>
    </comment>
    <comment ref="E12" authorId="3" guid="{4EF43E64-3A27-4911-BD8F-A0CB13BDF6A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K12" authorId="2" guid="{2B480547-5109-4D4A-A20B-F8852875CD94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I14" authorId="1" guid="{185B9411-5B51-4603-ABAB-46BF9DE2E20F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+3$ - SME</t>
        </r>
      </text>
    </comment>
    <comment ref="F17" authorId="3" guid="{42CEAA8C-8D36-4F77-86F3-A635C10D04B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I19" authorId="1" guid="{9FEC736E-B244-4BE7-9AB8-7102EAE16EA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+2$ - SME</t>
        </r>
      </text>
    </comment>
    <comment ref="D21" authorId="0" guid="{20F7CB53-84B7-4E67-83E0-5D7B152AF45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
</t>
        </r>
      </text>
    </comment>
    <comment ref="H22" authorId="1" guid="{D283AE3D-27FE-4A85-896B-211206643E70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for XTDL findings
</t>
        </r>
      </text>
    </comment>
    <comment ref="O23" authorId="4" guid="{E59D9500-2DB6-4028-A0A2-E34E33397A5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H25" authorId="1" guid="{D40E7237-4757-4CB7-97FD-AA3C2A5DE08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+72.8 - DME, DL, Mentoring
+50 - премия
</t>
        </r>
      </text>
    </comment>
    <comment ref="O26" authorId="4" guid="{EDEF9D01-3C59-4D28-B3BE-91A302831E8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премия за СЕС
</t>
        </r>
      </text>
    </comment>
    <comment ref="E27" authorId="3" guid="{472EB66A-AF07-442B-A93F-217D19A56AA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DL, SME
</t>
        </r>
      </text>
    </comment>
    <comment ref="O28" authorId="4" guid="{0E7F6CA5-91FD-479F-9817-203F597F10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+80 - премия за СМЕ
</t>
        </r>
      </text>
    </comment>
    <comment ref="K30" authorId="2" guid="{7F7250BF-04EB-4B29-B94E-BFC24F79E8AF}">
      <text>
        <r>
          <rPr>
            <b/>
            <sz val="8"/>
            <color indexed="81"/>
            <rFont val="Tahoma"/>
            <family val="2"/>
          </rPr>
          <t>Oleg Seliverstov:</t>
        </r>
        <r>
          <rPr>
            <sz val="8"/>
            <color indexed="81"/>
            <rFont val="Tahoma"/>
            <family val="2"/>
          </rPr>
          <t xml:space="preserve">
SME, Analysis
</t>
        </r>
      </text>
    </comment>
    <comment ref="H32" authorId="1" guid="{02B02C1F-8BC3-4752-BE83-CAA228FB2C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+5.5 - task assignment
</t>
        </r>
      </text>
    </comment>
    <comment ref="M35" authorId="4" guid="{FED909FB-99C0-429F-89C1-34B6B24B113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за СМЕ
</t>
        </r>
      </text>
    </comment>
    <comment ref="N37" authorId="4" guid="{F2DA2BBB-D520-49A9-9AB8-26993B10BFE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E40" authorId="3" guid="{9165F4E5-E00F-4094-A020-DC4C7DB2C13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CME, DL
</t>
        </r>
      </text>
    </comment>
    <comment ref="B45" authorId="5" guid="{823F8393-FF5E-497E-A3F8-A58602AAB93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+50 $ SME
</t>
        </r>
      </text>
    </comment>
    <comment ref="E49" authorId="3" guid="{A64E04E9-7776-4965-BC91-F2B61AAF5B5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mentoring
</t>
        </r>
      </text>
    </comment>
    <comment ref="P53" authorId="4" guid="{DF72CCDD-4AF9-4059-945F-C33539B8A62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+40 премия за СЕС и СМЕ
</t>
        </r>
      </text>
    </comment>
    <comment ref="I54" authorId="1" guid="{2DDC5F3D-440B-43DD-A0C2-255E85967C8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+9$ project help</t>
        </r>
      </text>
    </comment>
    <comment ref="B61" authorId="5" guid="{D04E8B0A-A975-40E8-ABD2-EDC0D8AA130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63" authorId="3" guid="{5E0FF2EA-4CAC-498F-85B4-67CEB819279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+25 CME
</t>
        </r>
      </text>
    </comment>
    <comment ref="N65" authorId="4" guid="{6600DD63-9611-4024-8339-E4A0A1FA15D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+30 - премия за СМЕ
+20 - премия за ДЛ
</t>
        </r>
      </text>
    </comment>
    <comment ref="L70" authorId="6" guid="{8AAC7FDB-95EE-4245-BEE7-B98BBBA0903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87- премия (СМЕ, изучение программирования)
</t>
        </r>
      </text>
    </comment>
    <comment ref="F72" authorId="3" guid="{0F1A8CAA-DEA0-448C-97F8-8D43270EACA1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E79" authorId="3" guid="{152A2892-5640-44A0-88CE-04DF235F8A7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J85" authorId="6" guid="{D898CD1B-3185-42D0-9E9C-FF60FCC12B7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+17 - менторство
+30 - работа над веб сервисом
</t>
        </r>
      </text>
    </comment>
    <comment ref="C86" authorId="0" guid="{7003E01D-3757-4670-99F8-792A8A2484E6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+50 СМЕ
</t>
        </r>
      </text>
    </comment>
    <comment ref="P87" authorId="4" guid="{EA5AF719-EDF1-44D1-821D-B23BE0AF952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зя СМЕ
+20 премия за ДЛ
</t>
        </r>
      </text>
    </comment>
    <comment ref="F102" authorId="3" guid="{F6098126-2FAD-48C8-9427-AFC2FAEF8505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D104" authorId="0" guid="{C0A4B8DA-8A5B-475C-9813-EE08B72ACA3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task assigment, source analysis, delivery preporation
</t>
        </r>
      </text>
    </comment>
    <comment ref="M106" authorId="4" guid="{5110CC85-0779-4A11-A497-2C221563E2D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-75 for Turkey Synergy
</t>
        </r>
      </text>
    </comment>
    <comment ref="N106" authorId="4" guid="{A022406D-0B04-460D-BFEC-DE619125DC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-100 for Turkey Synergy
</t>
        </r>
      </text>
    </comment>
  </commentList>
</comments>
</file>

<file path=xl/comments10.xml><?xml version="1.0" encoding="utf-8"?>
<comments xmlns="http://schemas.openxmlformats.org/spreadsheetml/2006/main">
  <authors>
    <author>Ievgenii Matveichuk</author>
  </authors>
  <commentList>
    <comment ref="S72" authorId="0" guid="{A77563DF-EAB1-4B83-A91E-B08FFFE97E4A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GIS Blog
</t>
        </r>
      </text>
    </comment>
    <comment ref="S101" authorId="0" guid="{1F2EFD12-E047-4476-A153-AC7BB1EF0EDF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Svitlana Tretiakova</author>
    <author>Ievgeniia Luchnykova</author>
    <author>Iurii Shubin</author>
  </authors>
  <commentList>
    <comment ref="G11" authorId="0" guid="{CE72290F-A097-4E24-9703-7CDD672E726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help
</t>
        </r>
      </text>
    </comment>
    <comment ref="Q21" authorId="0" guid="{7E311D96-00EE-46F7-86CA-7216692006C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  <comment ref="T28" authorId="1" guid="{E1D38C08-076D-4DDE-8CFD-A1D47E4BCB39}">
      <text>
        <r>
          <rPr>
            <b/>
            <sz val="9"/>
            <color indexed="81"/>
            <rFont val="Tahoma"/>
            <family val="2"/>
          </rPr>
          <t>Ievgeniia Luchnykova:</t>
        </r>
        <r>
          <rPr>
            <sz val="9"/>
            <color indexed="81"/>
            <rFont val="Tahoma"/>
            <family val="2"/>
          </rPr>
          <t xml:space="preserve">
30 из 80 за проведение тренинга
</t>
        </r>
      </text>
    </comment>
    <comment ref="M36" authorId="2" guid="{3088B28E-5CB3-4918-B5CE-32E1271965C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M71" authorId="2" guid="{17AC6B4A-88AC-43D2-B934-25CFF53E253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SME, RCA
</t>
        </r>
      </text>
    </comment>
    <comment ref="S73" authorId="0" guid="{B61D600C-7946-4C56-B3B1-A83E36CCB9DC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CME
</t>
        </r>
      </text>
    </comment>
    <comment ref="N74" authorId="2" guid="{CF95E219-42ED-4426-99EA-322D0E60D32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G89" authorId="0" guid="{208BA99D-AEA7-42E5-8CD2-98E162B99CB9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CME, NBS, DL
</t>
        </r>
      </text>
    </comment>
    <comment ref="G91" authorId="0" guid="{73201C16-42FC-46EC-A539-6B44BE8AF2A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</commentList>
</comments>
</file>

<file path=xl/comments3.xml><?xml version="1.0" encoding="utf-8"?>
<comments xmlns="http://schemas.openxmlformats.org/spreadsheetml/2006/main">
  <authors>
    <author>Dmytro Lomakin</author>
    <author>Svitlana Tretiakova</author>
    <author>Ievgenii Matveichuk</author>
    <author>Anna Symonchuk</author>
    <author>Iurii Shubin</author>
    <author>Jane</author>
  </authors>
  <commentList>
    <comment ref="D3" authorId="0" guid="{B19D9E3A-727A-420F-B2D9-54B7DCE31E4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+3 - CEC
</t>
        </r>
      </text>
    </comment>
    <comment ref="F10" authorId="1" guid="{211AAB0C-BE53-4178-BBEB-7CF91808504B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SQL optim
</t>
        </r>
      </text>
    </comment>
    <comment ref="M11" authorId="2" guid="{5A23EB47-40AB-4BF8-A1B7-4CFAFFD666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+$45 SME
</t>
        </r>
      </text>
    </comment>
    <comment ref="G12" authorId="3" guid="{31D91D88-EE94-4FF3-9D96-332B8C7D419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H13" authorId="3" guid="{0D5DFAA3-F49B-4825-93BD-2452859A908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
</t>
        </r>
      </text>
    </comment>
    <comment ref="G14" authorId="3" guid="{56FAB927-DB9C-4A19-81FC-A2B649902B5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F16" authorId="1" guid="{A53B2C81-35CC-4685-8083-3A3DF0EF1EB2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C17" authorId="4" guid="{0F3B0731-BAF3-4DDB-9D06-0DBF979022D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I19" authorId="3" guid="{6A168251-DB53-4E11-88A1-4F712E5F2F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O20" authorId="1" guid="{24AFBA29-00A2-42CA-9D5E-31F57FF82BE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E23" authorId="0" guid="{1341D796-DFD2-47A3-937A-800DBD54E9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+2h - SME
-40h - penalty
</t>
        </r>
      </text>
    </comment>
    <comment ref="H26" authorId="3" guid="{F2BFBBBC-0580-40FF-9414-65DF985954B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C29" authorId="4" guid="{DE5B3E7E-DBC7-4778-8F86-B13B128B733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L35" authorId="4" guid="{11BAAFBA-641D-4381-9E4B-8F67BC5351BD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E36" authorId="0" guid="{2AC42B40-6117-4685-B7FA-2E1B52DF9A5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GIS tasks
</t>
        </r>
      </text>
    </comment>
    <comment ref="M41" authorId="2" guid="{B4446E2A-7A14-4CA4-8A0B-52345F7543C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I54" authorId="3" guid="{4509A430-68B7-404F-81C9-CBF2CDD862E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for SME
</t>
        </r>
      </text>
    </comment>
    <comment ref="M56" authorId="2" guid="{4C3CB87D-512D-4CCF-9498-11D76DF1D2E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59" authorId="3" guid="{88DB9CFC-4EC9-4B3A-A933-470D41A4990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+10 for CEC
</t>
        </r>
      </text>
    </comment>
    <comment ref="AB72" authorId="2" guid="{6F1AF184-A733-4A3C-AA46-4BCB9D6A784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+$15 c Exp_HR проекта. 
</t>
        </r>
      </text>
    </comment>
    <comment ref="E75" authorId="0" guid="{25A00CD2-453E-4E1D-927B-4354C7D6BD4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+11 different GIS tasks
</t>
        </r>
      </text>
    </comment>
    <comment ref="I76" authorId="3" guid="{0C8C7AA1-19FF-4050-99E0-AED7172D2BE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for SME
</t>
        </r>
      </text>
    </comment>
    <comment ref="O77" authorId="1" guid="{7EBD79D9-4FFA-4319-99CF-7590F949DC3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CEC
</t>
        </r>
      </text>
    </comment>
    <comment ref="D82" authorId="0" guid="{33EF8E69-8628-4674-9587-835BCA53EB72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+45.5 - WA preparation, DL, SME
</t>
        </r>
      </text>
    </comment>
    <comment ref="D84" authorId="0" guid="{761E36B9-FC3F-4E89-A2DB-9EC3379353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+20.5 - DME, WA preparation
</t>
        </r>
      </text>
    </comment>
    <comment ref="G89" authorId="3" guid="{735C4D38-874E-4693-A5C8-C97A432B118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for CEC
</t>
        </r>
      </text>
    </comment>
    <comment ref="F90" authorId="1" guid="{1932A41C-D3F9-43B8-98CA-79DDCA0F0A0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F91" authorId="1" guid="{2623B8F3-6066-4C21-ADC9-5A62D81E43A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K98" authorId="5" guid="{D9D0131C-25CE-4E89-843A-BDE750599311}">
      <text>
        <r>
          <rPr>
            <sz val="9"/>
            <color indexed="81"/>
            <rFont val="Tahoma"/>
            <family val="2"/>
          </rPr>
          <t xml:space="preserve">перенесла 44.5 h из Ru_Carto
</t>
        </r>
      </text>
    </comment>
  </commentList>
</comments>
</file>

<file path=xl/comments4.xml><?xml version="1.0" encoding="utf-8"?>
<comments xmlns="http://schemas.openxmlformats.org/spreadsheetml/2006/main">
  <authors>
    <author>Anna Symonchuk</author>
    <author>Ievgeniia Luchnykova</author>
    <author>Ievgenii Matveichuk</author>
    <author>Dmytro Lomakin</author>
  </authors>
  <commentList>
    <comment ref="E13" authorId="0" guid="{58AB5BAC-634F-4934-9359-A77EC71983D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E14" authorId="0" guid="{C0D00798-7D6E-4F95-8466-9ADBCC5E73B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20 - DL
</t>
        </r>
      </text>
    </comment>
    <comment ref="E15" authorId="0" guid="{ABE50CA0-D561-4354-9001-E0E330AE907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conf
</t>
        </r>
      </text>
    </comment>
    <comment ref="D21" authorId="0" guid="{A3CC0A8C-3DC0-4B46-82E1-1E2E05C8A9D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+25 project prep
</t>
        </r>
      </text>
    </comment>
    <comment ref="F28" authorId="0" guid="{47AA8A49-C271-4FBE-8934-4C67C90DE16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+20 project prep
</t>
        </r>
      </text>
    </comment>
    <comment ref="M29" authorId="1" guid="{B91F80FD-77CD-41DC-A3B5-F4A3C6B1D9C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+39h source preparation
</t>
        </r>
      </text>
    </comment>
    <comment ref="O57" authorId="2" guid="{76A9CDD3-4F58-4CE2-921D-F7D67818EB1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tasks
</t>
        </r>
      </text>
    </comment>
    <comment ref="D61" authorId="0" guid="{66A97665-3C57-45D0-BAC6-14EB31C26D9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conf
</t>
        </r>
      </text>
    </comment>
    <comment ref="L72" authorId="1" guid="{F6F44D59-809B-4063-B128-5684B4D67654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+25 for SME
</t>
        </r>
      </text>
    </comment>
    <comment ref="D77" authorId="0" guid="{4F199F83-AE8A-43E5-8729-257191FDA79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H80" authorId="2" guid="{25E8E810-AB3B-4E23-9C5A-B0B9129A5DAB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K83" authorId="3" guid="{76D742AF-F32F-4E87-A989-51485B9966B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SME+12
Training + 25 (from FC34_Syn_TR)
</t>
        </r>
      </text>
    </comment>
    <comment ref="K85" authorId="3" guid="{4A3000DE-E67A-4D5E-88F9-24CDEAAF16D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SME+5
Training + 25 (from FC34_Syn_TR)
</t>
        </r>
      </text>
    </comment>
    <comment ref="E90" authorId="0" guid="{9065BA6B-065F-4798-B3F5-5F5D76DAD6C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J96" authorId="1" guid="{C9475F92-F4AB-4B4D-B074-08574C3F229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Delivery - за декабрь и январь
</t>
        </r>
      </text>
    </comment>
    <comment ref="M96" authorId="1" guid="{9E23E79C-B6D1-40B6-BE71-225843846AB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Source preparation 27h
Jan +55h Dec+14.5h from RU_Sign
</t>
        </r>
      </text>
    </comment>
    <comment ref="D107" authorId="0" guid="{661E2F11-5F22-4092-8C1E-578F89AF924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considering -50 to XTDL
</t>
        </r>
      </text>
    </comment>
    <comment ref="K107" authorId="3" guid="{46819098-15D2-44D2-B2AA-27AB5637DB2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considering +50$ from Synergy Turkey
</t>
        </r>
      </text>
    </comment>
  </commentList>
</comments>
</file>

<file path=xl/comments5.xml><?xml version="1.0" encoding="utf-8"?>
<comments xmlns="http://schemas.openxmlformats.org/spreadsheetml/2006/main">
  <authors>
    <author>Anna Symonchuk</author>
    <author>Svitlana Tretiakova</author>
    <author>Iurii Shubin</author>
    <author>Ievgenii Matveichuk</author>
  </authors>
  <commentList>
    <comment ref="R5" authorId="0" guid="{F8A5C15C-6053-4107-87CD-458146A6777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O11" authorId="1" guid="{74C8623D-AC27-4122-9B20-AF36EFB6147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+10
</t>
        </r>
      </text>
    </comment>
    <comment ref="B14" authorId="0" guid="{D2A98FD5-645A-4628-96D9-3D408D9622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P17" authorId="1" guid="{B5E5A3C6-C173-41DD-A95C-0B1975418B2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C18" authorId="2" guid="{0B4C3FB6-422B-42E3-A826-6A464681A9C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CEC +10
</t>
        </r>
      </text>
    </comment>
    <comment ref="B20" authorId="0" guid="{E7958DEC-BFCC-4C21-B5F9-3BEA93B1C4C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F21" authorId="3" guid="{E7774965-6E89-4F18-B9E1-E0F10EEF96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 UA Carto
</t>
        </r>
      </text>
    </comment>
    <comment ref="D25" authorId="0" guid="{1C13EB6C-AA36-47F4-95A3-A7C855853A4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D27" authorId="0" guid="{10B37AB5-A7BB-486B-9AB6-257B542D220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T28" authorId="2" guid="{F466AB65-9B32-420E-8002-A477F47FD26B}">
      <text>
        <r>
          <rPr>
            <sz val="8"/>
            <color indexed="81"/>
            <rFont val="Tahoma"/>
            <family val="2"/>
          </rPr>
          <t xml:space="preserve">Освоение Erdas Apollo
</t>
        </r>
      </text>
    </comment>
    <comment ref="Q34" authorId="2" guid="{B52D90C0-156E-4D6A-BBF1-727E32A10C8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high speed
</t>
        </r>
      </text>
    </comment>
    <comment ref="D44" authorId="0" guid="{5146B05B-4917-4005-939A-186ED211AD3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C54" authorId="2" guid="{07E2A34D-EFC9-422A-A1A6-5E679CD29B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SME +10
</t>
        </r>
      </text>
    </comment>
    <comment ref="P55" authorId="1" guid="{0951F352-1458-4277-AD01-695A53F5625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T57" authorId="3" guid="{356B9B92-4DB6-4FA1-9F88-D7E4C1A0D2D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Курирование процесса VCP fallout Cleaning. From UA Carto
</t>
        </r>
      </text>
    </comment>
    <comment ref="B59" authorId="0" guid="{A94D7DD0-B37E-4A05-BE29-3017A959D8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 and conf
</t>
        </r>
      </text>
    </comment>
    <comment ref="T63" authorId="2" guid="{2FE17B38-E4DA-42FB-B41E-82BCF0BCD041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QGIS2Atlas
</t>
        </r>
      </text>
    </comment>
    <comment ref="D69" authorId="0" guid="{5C27FFCB-1742-4DE1-B2EC-AEA198C33C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Q73" authorId="2" guid="{F116AEE7-044B-408A-B829-B95906E40C35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B76" authorId="0" guid="{7B19CAC4-898A-4FB8-B543-6EC09ACFDD5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7" authorId="3" guid="{89DAE1C3-FB4E-4EFD-9F65-9629C6B1DA3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 UA Carto
</t>
        </r>
      </text>
    </comment>
    <comment ref="E79" authorId="3" guid="{C848F833-927E-4101-B9AD-3BDD9C20467A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СМЕ и поставки
</t>
        </r>
      </text>
    </comment>
    <comment ref="O88" authorId="1" guid="{132A799D-ABF9-469D-8B78-3BCBBCC0F80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+30
</t>
        </r>
      </text>
    </comment>
    <comment ref="P90" authorId="1" guid="{CE1CCAEE-59D1-475A-9977-A31322ED7CC4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P91" authorId="1" guid="{3293ACF5-BAD2-457E-B19C-8BADDD8487EA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T94" authorId="2" guid="{02E1323B-EEA2-4C04-ABA4-728373DF756A}">
      <text>
        <r>
          <rPr>
            <b/>
            <sz val="8"/>
            <color indexed="81"/>
            <rFont val="Tahoma"/>
            <family val="2"/>
          </rPr>
          <t xml:space="preserve">Освоение Erdas Apollo
</t>
        </r>
      </text>
    </comment>
    <comment ref="B106" authorId="0" guid="{9299BA4F-8186-455B-BC22-F5BA6E093AF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189 bonuses -&gt;GIS Dev
</t>
        </r>
      </text>
    </comment>
  </commentList>
</comments>
</file>

<file path=xl/comments6.xml><?xml version="1.0" encoding="utf-8"?>
<comments xmlns="http://schemas.openxmlformats.org/spreadsheetml/2006/main">
  <authors>
    <author>Ievgenii Matveichuk</author>
    <author>Anna Symonchuk</author>
    <author>Iurii Shubin</author>
    <author>Dmytro Lomakin</author>
    <author>Jane</author>
  </authors>
  <commentList>
    <comment ref="O4" authorId="0" guid="{86B80E60-852D-4659-B626-EEA1577E07F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P5" authorId="1" guid="{623914BB-EE88-4CE7-B69E-A74925D2BA35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R9" authorId="2" guid="{2180EAD7-FE2D-4E68-BBD2-163213EAE5E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translating assistance
</t>
        </r>
      </text>
    </comment>
    <comment ref="D13" authorId="1" guid="{A07EEF98-7C84-44B6-9D4B-387A1BD2559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B14" authorId="1" guid="{6E99332A-9B48-4694-B96B-3EE03348F99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C18" authorId="2" guid="{D183FEED-AAD4-4B37-978F-E7448EC2F99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Mentoring
</t>
        </r>
      </text>
    </comment>
    <comment ref="B20" authorId="1" guid="{C12FBAE2-47C3-4505-848F-687E8786670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DL
</t>
        </r>
      </text>
    </comment>
    <comment ref="F21" authorId="0" guid="{3E5D54A3-18E1-41BB-A239-0501FC6DA2DF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27" authorId="1" guid="{70E76C7B-C278-40A8-85E7-D5869B45F97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</t>
        </r>
      </text>
    </comment>
    <comment ref="C55" authorId="2" guid="{CE1B6FDE-75FE-4983-8410-B1B69266928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
</t>
        </r>
      </text>
    </comment>
    <comment ref="R58" authorId="0" guid="{50FF57CD-9C27-478F-B92C-4AD75D28B9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B61" authorId="1" guid="{1F4B8522-7520-430E-83C3-F51E86B1914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task assignment
</t>
        </r>
      </text>
    </comment>
    <comment ref="O66" authorId="0" guid="{B9349B3B-4175-467E-9136-AC278FB5D24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71" authorId="1" guid="{516A25D5-8CDF-41DD-873B-BD696AB4426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</t>
        </r>
      </text>
    </comment>
    <comment ref="O72" authorId="0" guid="{4A35C3CF-677D-4F32-955D-680708588F6C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SOP
</t>
        </r>
      </text>
    </comment>
    <comment ref="B78" authorId="1" guid="{3C0624E8-6912-4C48-95D3-F4CBC1D3981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9" authorId="0" guid="{71D5898F-332F-42D6-8F9B-C553FCA42AA3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R79" authorId="0" guid="{A4E15E9F-2F10-4858-86B4-57CDB6389E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E81" authorId="0" guid="{467D9BE9-2BC6-458A-8C11-392757160B8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+$25 sme, delivery
</t>
        </r>
      </text>
    </comment>
    <comment ref="O82" authorId="0" guid="{3BB6AD68-F7DA-4E1B-B160-B95C70C4529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+$6
</t>
        </r>
      </text>
    </comment>
    <comment ref="H84" authorId="3" guid="{E94B62B0-4CF3-4312-A335-61EF948BBCCA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H86" authorId="3" guid="{6F38AB9B-F14C-43AD-91F7-E03EACA9F62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D91" authorId="1" guid="{9C004CC7-DF40-4219-8747-D4D2FCC9E70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R96" authorId="2" guid="{01D85E4C-9736-4EC6-85C5-DEA451EB96F9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Erdas Apollo
</t>
        </r>
      </text>
    </comment>
    <comment ref="I106" authorId="4" guid="{F9991180-1577-4613-844E-C58E6606B6F6}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8$ перенемено из RU_carto
</t>
        </r>
      </text>
    </comment>
  </commentList>
</comments>
</file>

<file path=xl/comments7.xml><?xml version="1.0" encoding="utf-8"?>
<comments xmlns="http://schemas.openxmlformats.org/spreadsheetml/2006/main">
  <authors>
    <author>Iurii Shubin</author>
    <author>Dmytro Lomakin</author>
    <author>Svitlana Tretiakova</author>
    <author>Anna Symonchuk</author>
    <author>Ievgenii Matveichuk</author>
    <author>Ievgeniia Luchnykova</author>
  </authors>
  <commentList>
    <comment ref="Q2" authorId="0" guid="{002534AE-B46A-406A-91F6-D1CA71C51A39}">
      <text>
        <r>
          <rPr>
            <b/>
            <sz val="8"/>
            <color indexed="81"/>
            <rFont val="Tahoma"/>
            <family val="2"/>
          </rPr>
          <t xml:space="preserve">Iurii Shubin:3D modelling
</t>
        </r>
      </text>
    </comment>
    <comment ref="G4" authorId="1" guid="{042FCD58-7C52-4976-864F-15AA6B8121A7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+60$</t>
        </r>
      </text>
    </comment>
    <comment ref="L5" authorId="2" guid="{9094DF4E-006C-4FF7-9C10-0FAFAED13F5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case study Urban4M
</t>
        </r>
      </text>
    </comment>
    <comment ref="P5" authorId="3" guid="{F5BAF897-1816-4A81-913E-B8FE50AD45F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L11" authorId="2" guid="{203DE2D4-2B78-4766-9184-6A237C07D99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CEC
</t>
        </r>
      </text>
    </comment>
    <comment ref="B13" authorId="0" guid="{4DDFB3B8-35A6-4E96-A091-BA53BB2A244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ДЛ
</t>
        </r>
      </text>
    </comment>
    <comment ref="E21" authorId="4" guid="{67672395-246A-45F2-992B-3CB89AB6CFD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B27" authorId="0" guid="{2F46103C-00C8-4970-8716-02654961D3E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конфлюенс
</t>
        </r>
      </text>
    </comment>
    <comment ref="I28" authorId="5" guid="{80298F0A-338C-4134-B687-3C1B308EEA96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for training prep from RU_RNC
</t>
        </r>
      </text>
    </comment>
    <comment ref="Q28" authorId="0" guid="{CD3A62B3-C02D-4B31-9F8B-D19B2B11EFF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Apollo
</t>
        </r>
        <r>
          <rPr>
            <b/>
            <sz val="8"/>
            <color indexed="81"/>
            <rFont val="Tahoma"/>
            <family val="2"/>
          </rPr>
          <t>Ievgeniia Luchnykova:</t>
        </r>
        <r>
          <rPr>
            <sz val="8"/>
            <color indexed="81"/>
            <rFont val="Tahoma"/>
            <family val="2"/>
          </rPr>
          <t xml:space="preserve">
+Training
</t>
        </r>
      </text>
    </comment>
    <comment ref="C30" authorId="3" guid="{FE0B852E-F2A3-4F6B-AFBA-A01D071EC79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project prep
</t>
        </r>
      </text>
    </comment>
    <comment ref="B40" authorId="0" guid="{9BB34FFB-E1A4-4FC6-A975-3155107C04D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СЕС
</t>
        </r>
      </text>
    </comment>
    <comment ref="B54" authorId="0" guid="{5DADF297-3B37-4BBB-BF91-E97781DC6E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+80 за СМЕ
</t>
        </r>
      </text>
    </comment>
    <comment ref="B60" authorId="0" guid="{3664A734-54AA-49A6-B746-812365CDB17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+30 за выдачу тасков
</t>
        </r>
      </text>
    </comment>
    <comment ref="L63" authorId="2" guid="{70ED8E94-7394-4201-A70C-40CA4374A70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AET
</t>
        </r>
      </text>
    </comment>
    <comment ref="K71" authorId="2" guid="{247616DB-C98D-4E2B-A942-8D03EF896AE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news, SOP
</t>
        </r>
      </text>
    </comment>
    <comment ref="K73" authorId="2" guid="{7D7E0C2E-BD5D-4A0B-94A1-629C405A2A7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+35 SME
</t>
        </r>
      </text>
    </comment>
    <comment ref="L74" authorId="2" guid="{60655730-2EE3-4EE4-95D2-C40A8E5409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DL
</t>
        </r>
      </text>
    </comment>
    <comment ref="E78" authorId="4" guid="{B45E8BA8-4E40-477A-A550-87F773C1306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D80" authorId="4" guid="{0C57FFB4-DF19-4968-A2AE-7547C88457F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K81" authorId="2" guid="{B39C49B7-B48D-4AA1-AA4B-3D3049DB830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K82" authorId="2" guid="{BF6EDF86-4E4D-4B8A-A6FF-A55A70CF3CE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tasks
</t>
        </r>
      </text>
    </comment>
    <comment ref="G83" authorId="1" guid="{53360D0E-6EC8-41CD-956F-C18AC417063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G85" authorId="1" guid="{F2D27E9C-B73F-47E9-A4BF-E7EDDC20634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L89" authorId="2" guid="{E5DABE70-066B-44A9-85FD-667D1696BA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AET
</t>
        </r>
      </text>
    </comment>
    <comment ref="L91" authorId="2" guid="{1E802121-029D-4AB5-9060-6E146B21A6D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tasks
</t>
        </r>
      </text>
    </comment>
    <comment ref="I93" authorId="5" guid="{7762CC60-85A8-477A-AEAF-DBBA310B397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+18$ SME 
</t>
        </r>
      </text>
    </comment>
    <comment ref="I95" authorId="5" guid="{A4DC8E74-5F75-43A8-93FA-C70F981F39DF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source prep, dev tasks from RU_RNC
</t>
        </r>
      </text>
    </comment>
    <comment ref="G99" authorId="1" guid="{9FB7BD19-AACA-4BA7-85BE-F61744D2C91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bonus for back up.
Taken from Bulgaria Syn
</t>
        </r>
      </text>
    </comment>
    <comment ref="L105" authorId="2" guid="{0AF28E35-A822-4D6D-8388-D58561E522D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+80 на 2D
</t>
        </r>
      </text>
    </comment>
  </commentList>
</comments>
</file>

<file path=xl/comments8.xml><?xml version="1.0" encoding="utf-8"?>
<comments xmlns="http://schemas.openxmlformats.org/spreadsheetml/2006/main">
  <authors>
    <author>Dmytro Lomakin</author>
    <author>Anna Symonchuk</author>
    <author>Iurii Shubin</author>
    <author>Ievgeniia Luchnykova</author>
  </authors>
  <commentList>
    <comment ref="I4" authorId="0" guid="{03F29EA6-8C01-4186-9311-35CAC84B228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- 37.3
Bonus - 35
</t>
        </r>
      </text>
    </comment>
    <comment ref="D14" authorId="1" guid="{4E1A5B2C-F7DB-48CA-80A8-9ACD08F7FD3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17" authorId="0" guid="{87CB1460-1578-47FF-BA95-0856F4459D2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- 30
</t>
        </r>
      </text>
    </comment>
    <comment ref="C20" authorId="1" guid="{BB5ED483-1524-44B8-879E-82D7702E55C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SME+DL+conf
+50 source prep
</t>
        </r>
      </text>
    </comment>
    <comment ref="C41" authorId="1" guid="{F4D24571-D104-4B4B-B719-37878A57B1C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C64" authorId="1" guid="{9523FFBE-0F71-471F-8542-BA51CFE734A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task assignment
</t>
        </r>
      </text>
    </comment>
    <comment ref="D75" authorId="1" guid="{37364370-4971-4A37-85DB-4FE39570842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D80" authorId="1" guid="{22512B46-D416-4519-8DD3-740CB6BB481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DL, SME
</t>
        </r>
      </text>
    </comment>
    <comment ref="C82" authorId="1" guid="{C5539CAA-05F0-46EC-91DA-88FF9577E3A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I89" authorId="0" guid="{DA3A45B8-64A3-44E2-979E-A8ACA0FF76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- 48.77
Bonus - 35
</t>
        </r>
      </text>
    </comment>
    <comment ref="I91" authorId="0" guid="{9B17CC04-C434-418C-8C74-D530E8E8EA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- 52.6
Bonus - 35
</t>
        </r>
      </text>
    </comment>
    <comment ref="C103" authorId="1" guid="{BBD90E6D-4431-4F6E-89A3-CF2564FCA91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170 - bonus from June deliveries
</t>
        </r>
      </text>
    </comment>
    <comment ref="D103" authorId="1" guid="{D7691DD9-A90C-4056-A2C1-26BB1B5EAF5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132.5 - bonus from June deliveries
</t>
        </r>
      </text>
    </comment>
    <comment ref="Q103" authorId="2" guid="{AF8F89C3-7A9A-4029-A24A-AAA121B76C1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92hrs from June deliveies included
</t>
        </r>
      </text>
    </comment>
    <comment ref="H104" authorId="3" guid="{518E8443-20FF-46D3-8A5F-8A6B3BDF3FEC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QA Feedback fro last Delivery had been sent after bounes time, rest of the bobus budget will be paid off in July
</t>
        </r>
      </text>
    </comment>
    <comment ref="I104" authorId="0" guid="{EC189A97-0E88-4F9B-A597-A7893EDF1A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Сэкономленные в Мае 60$ распределены как отдельные премии СМЕ
</t>
        </r>
      </text>
    </comment>
    <comment ref="K104" authorId="3" guid="{87A92010-A33B-461C-8874-884B840FE827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Ievgeniia Luchnykova:
QA Feedback fro last Delivery had been sent after bounes time, rest of the bobus budget will be paid off in July
Ievgeniia Luchnykova:
</t>
        </r>
      </text>
    </comment>
  </commentList>
</comments>
</file>

<file path=xl/comments9.xml><?xml version="1.0" encoding="utf-8"?>
<comments xmlns="http://schemas.openxmlformats.org/spreadsheetml/2006/main">
  <authors>
    <author>Ievgenii Matveichuk</author>
    <author>Ievgeniia Luchnykova</author>
  </authors>
  <commentList>
    <comment ref="O60" authorId="0" guid="{B9C61DAE-0480-4231-A38F-92B43D7AB9E7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
</t>
        </r>
      </text>
    </comment>
    <comment ref="O80" authorId="0" guid="{EA8F01CA-F4FF-403A-8ABE-7007563D7C22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 
</t>
        </r>
      </text>
    </comment>
    <comment ref="G102" authorId="1" guid="{05152404-A4C4-4D17-810E-C1B46D974C1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5.8 перенесено в 2д
</t>
        </r>
      </text>
    </comment>
    <comment ref="I102" authorId="1" guid="{A55F8679-5A9B-4407-BE46-274EBD9ABAB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3.5 перенесено в 2д
</t>
        </r>
      </text>
    </comment>
  </commentList>
</comments>
</file>

<file path=xl/sharedStrings.xml><?xml version="1.0" encoding="utf-8"?>
<sst xmlns="http://schemas.openxmlformats.org/spreadsheetml/2006/main" count="1473" uniqueCount="341">
  <si>
    <t>Name</t>
  </si>
  <si>
    <t>Total</t>
  </si>
  <si>
    <t>Achkasova Olena</t>
  </si>
  <si>
    <t>Bonuses ready</t>
  </si>
  <si>
    <t>Andrushchenko Ekaterina</t>
  </si>
  <si>
    <t>IL</t>
  </si>
  <si>
    <t>YSh</t>
  </si>
  <si>
    <t>AS</t>
  </si>
  <si>
    <t>OS</t>
  </si>
  <si>
    <t>Anvar Al-Manasra Rami</t>
  </si>
  <si>
    <t>Astapova Alena</t>
  </si>
  <si>
    <t>Baibenkova Olga</t>
  </si>
  <si>
    <t>Beletsky Aleksey</t>
  </si>
  <si>
    <t>Belich Valeriy</t>
  </si>
  <si>
    <t>Belotserkovskaya Elena</t>
  </si>
  <si>
    <t>Bessarabov Denys</t>
  </si>
  <si>
    <t>Bokovenko Zakhar</t>
  </si>
  <si>
    <t>Borodulin Aleksey</t>
  </si>
  <si>
    <t>Buryk Andrii</t>
  </si>
  <si>
    <t>Elina Tatyana</t>
  </si>
  <si>
    <t>Gorlachev Konstantin</t>
  </si>
  <si>
    <t>Gorodilov Sergey</t>
  </si>
  <si>
    <t>Griсenko Anastasiya</t>
  </si>
  <si>
    <t>Grygorieva Iryna</t>
  </si>
  <si>
    <t>Gura Yuri</t>
  </si>
  <si>
    <t>Kharchevnykova Iryna</t>
  </si>
  <si>
    <t>Khoprianinova Lidiia</t>
  </si>
  <si>
    <t>Khurdei Aliona</t>
  </si>
  <si>
    <t>Kleshnin Alexander</t>
  </si>
  <si>
    <t>Koliadenko Anna</t>
  </si>
  <si>
    <t>Komisaruk Olga</t>
  </si>
  <si>
    <t>Konovalova Ekaterina</t>
  </si>
  <si>
    <t>Kotel'nykova Valeriia</t>
  </si>
  <si>
    <t>Legkaya Yuliya</t>
  </si>
  <si>
    <t>Lomakin Dmytro</t>
  </si>
  <si>
    <t>Luchnykova Ievgeniia</t>
  </si>
  <si>
    <t>Lunev Denis</t>
  </si>
  <si>
    <t>Malahova Elena</t>
  </si>
  <si>
    <t>Markov Sergii</t>
  </si>
  <si>
    <t>Martynuk Kseniya</t>
  </si>
  <si>
    <t>Matveichuk Ievgenii</t>
  </si>
  <si>
    <t>Medvedev Viacheslav</t>
  </si>
  <si>
    <t>Mezinenko Anna</t>
  </si>
  <si>
    <t>Nartov Maksym</t>
  </si>
  <si>
    <t>Novgorodova Anna</t>
  </si>
  <si>
    <t>Perskii Oleksandr</t>
  </si>
  <si>
    <t>Pivovar Elena</t>
  </si>
  <si>
    <t>Pogrebat'ko Olena</t>
  </si>
  <si>
    <t>Pozdorovkin Eugene</t>
  </si>
  <si>
    <t>Pronyk Anatolii</t>
  </si>
  <si>
    <t>Puzik Andrey</t>
  </si>
  <si>
    <t>Selezniova Olga</t>
  </si>
  <si>
    <t>Seliverstov Oleg</t>
  </si>
  <si>
    <t>Semernin Mikhailo</t>
  </si>
  <si>
    <t>Shkedova Olga</t>
  </si>
  <si>
    <t>Shubin Iurii</t>
  </si>
  <si>
    <t>Shulika Andrii</t>
  </si>
  <si>
    <t>Sinkova Valeriia</t>
  </si>
  <si>
    <t>Skorobogatov Dmitriy</t>
  </si>
  <si>
    <t>Slichenko Anna</t>
  </si>
  <si>
    <t>Sobol Alina</t>
  </si>
  <si>
    <t>Sokolenko Roman</t>
  </si>
  <si>
    <t>Symonchuk Anna</t>
  </si>
  <si>
    <t>Tarasenko Dmitriy</t>
  </si>
  <si>
    <t>Tskhovrebov Ievgen</t>
  </si>
  <si>
    <t>Udachin Denis</t>
  </si>
  <si>
    <t>Umnov Igor</t>
  </si>
  <si>
    <t>Vavilova Anastasia</t>
  </si>
  <si>
    <t>Verkhovod Anastasia</t>
  </si>
  <si>
    <t>Vysochin Maksym</t>
  </si>
  <si>
    <t>Chumak Darina</t>
  </si>
  <si>
    <t>+</t>
  </si>
  <si>
    <t xml:space="preserve">Kutsenko  Eleonora </t>
  </si>
  <si>
    <t>Tsarenko Tatyana</t>
  </si>
  <si>
    <t>DL</t>
  </si>
  <si>
    <t>Balaguta Vera</t>
  </si>
  <si>
    <t xml:space="preserve">Vdovareize Mikhail </t>
  </si>
  <si>
    <t>Inozemtseva Tatyana</t>
  </si>
  <si>
    <t>Borovaya Marina</t>
  </si>
  <si>
    <t>Evsyukov Maksim</t>
  </si>
  <si>
    <t>Miroshnichenko Rostislav</t>
  </si>
  <si>
    <t xml:space="preserve">Djachkov Sergey </t>
  </si>
  <si>
    <t>Plakhotnik Andrey</t>
  </si>
  <si>
    <t>Training</t>
  </si>
  <si>
    <t>Fedotov Aleksey</t>
  </si>
  <si>
    <t>Prusikhina Ekaterina</t>
  </si>
  <si>
    <t>Bondarenko Konstantin</t>
  </si>
  <si>
    <t>Avdeeva Anna</t>
  </si>
  <si>
    <t>Milova Tatiana</t>
  </si>
  <si>
    <t>Kutsenko Andrey</t>
  </si>
  <si>
    <t>Kurishenko Artem</t>
  </si>
  <si>
    <t>Shoshin Vadym</t>
  </si>
  <si>
    <t>Oleksuk Konstantin</t>
  </si>
  <si>
    <t>Yurchenko Anna</t>
  </si>
  <si>
    <t>Saved</t>
  </si>
  <si>
    <t>Pogorelov Aleksandr</t>
  </si>
  <si>
    <t>Misostov Timofey</t>
  </si>
  <si>
    <t xml:space="preserve">Sukhotin Ievgen </t>
  </si>
  <si>
    <t xml:space="preserve">Smagliy Lesya </t>
  </si>
  <si>
    <t xml:space="preserve">Babeshko Pavel </t>
  </si>
  <si>
    <t>Valinov Anton</t>
  </si>
  <si>
    <t>Tretiakova Svitlana</t>
  </si>
  <si>
    <t>RU_2D</t>
  </si>
  <si>
    <t>ST</t>
  </si>
  <si>
    <t>Ponomarenko Anna</t>
  </si>
  <si>
    <t>Troskovets Alexey</t>
  </si>
  <si>
    <t>Khaustova Anastasiia</t>
  </si>
  <si>
    <t xml:space="preserve">Lotnik Alexandr </t>
  </si>
  <si>
    <t>Isaev Anton</t>
  </si>
  <si>
    <t>Malinovskiy Valeriy</t>
  </si>
  <si>
    <t>Slichenko Andrey</t>
  </si>
  <si>
    <t>Tsyganash Irina</t>
  </si>
  <si>
    <t>Usov Roman</t>
  </si>
  <si>
    <t>UA Dig Impl Q115</t>
  </si>
  <si>
    <t>Andrey Sklyarov</t>
  </si>
  <si>
    <t>Baydullin Alexandr</t>
  </si>
  <si>
    <t>Koval Yana</t>
  </si>
  <si>
    <t>Sklyarov Andrey</t>
  </si>
  <si>
    <t>RU_PA_115</t>
  </si>
  <si>
    <t>IM</t>
  </si>
  <si>
    <t>Olena Achkasova</t>
  </si>
  <si>
    <t>Ekaterina Andrushchenko</t>
  </si>
  <si>
    <t>Alena Astapova</t>
  </si>
  <si>
    <t>Anna Avdeeva</t>
  </si>
  <si>
    <t>Olga Baibenkova</t>
  </si>
  <si>
    <t>Alexandr Baydullin</t>
  </si>
  <si>
    <t>Pavel Babeshko</t>
  </si>
  <si>
    <t>Vera Balaguta</t>
  </si>
  <si>
    <t>Aleksey Beletsky</t>
  </si>
  <si>
    <t>Valeriy Belich</t>
  </si>
  <si>
    <t>Elena Belotserkovskaya</t>
  </si>
  <si>
    <t>Marina Borovaya</t>
  </si>
  <si>
    <t>Zakhar Bokovenko</t>
  </si>
  <si>
    <t>Konstantin Bondarenko</t>
  </si>
  <si>
    <t>Aleksey Borodulin</t>
  </si>
  <si>
    <t>Andrii Buryk</t>
  </si>
  <si>
    <t>Darina Chumak</t>
  </si>
  <si>
    <t>Sergey Djachkov</t>
  </si>
  <si>
    <t>Tatyana Elina</t>
  </si>
  <si>
    <t>Aleksey Fedotov</t>
  </si>
  <si>
    <t>Konstantin Gorlachev</t>
  </si>
  <si>
    <t>Sergey Gorodilov</t>
  </si>
  <si>
    <t>Anastasiya Griсenko</t>
  </si>
  <si>
    <t>Iryna Grygorieva</t>
  </si>
  <si>
    <t>Yuri Gura</t>
  </si>
  <si>
    <t>Anton Isaev</t>
  </si>
  <si>
    <t>Iryna Kharchevnykova</t>
  </si>
  <si>
    <t>Anastasiia Khaustova</t>
  </si>
  <si>
    <t>Lidiia Khoprianinova</t>
  </si>
  <si>
    <t>Aliona Khurdei</t>
  </si>
  <si>
    <t>Alexander Kleshnin</t>
  </si>
  <si>
    <t>Anna Koliadenko</t>
  </si>
  <si>
    <t>Ekaterina Konovalova</t>
  </si>
  <si>
    <t>Yana Koval</t>
  </si>
  <si>
    <t>Artem Kurishenko</t>
  </si>
  <si>
    <t>Eleonora Kutsenko</t>
  </si>
  <si>
    <t>Andrey Kutsenko</t>
  </si>
  <si>
    <t>Yuliya Legkaya</t>
  </si>
  <si>
    <t>Alexandr Lotnik</t>
  </si>
  <si>
    <t>Denis Lunev</t>
  </si>
  <si>
    <t>Elena Malahova</t>
  </si>
  <si>
    <t>Valeriy Malinovskiy</t>
  </si>
  <si>
    <t>Kseniya Martynuk</t>
  </si>
  <si>
    <t>Viacheslav Medvedev</t>
  </si>
  <si>
    <t>Tatiana Milova</t>
  </si>
  <si>
    <t>Rostislav Miroshnichenko</t>
  </si>
  <si>
    <t>Timofey Misostov</t>
  </si>
  <si>
    <t>Maksym Nartov</t>
  </si>
  <si>
    <t>Anna Novgorodova</t>
  </si>
  <si>
    <t>Oleksandr Perskii</t>
  </si>
  <si>
    <t>Elena Pivovar</t>
  </si>
  <si>
    <t>Andrey Plakhotnik</t>
  </si>
  <si>
    <t>Aleksandr Pogorelov</t>
  </si>
  <si>
    <t>Anna Ponomarenko</t>
  </si>
  <si>
    <t>Eugene Pozdorovkin</t>
  </si>
  <si>
    <t>Ekaterina Prusikhina</t>
  </si>
  <si>
    <t>Andrey Puzik</t>
  </si>
  <si>
    <t>Olga Selezniova</t>
  </si>
  <si>
    <t>Olga Shkedova</t>
  </si>
  <si>
    <t>Vadym Shoshin</t>
  </si>
  <si>
    <t>Andrii Shulika</t>
  </si>
  <si>
    <t>Valeriia Sinkova</t>
  </si>
  <si>
    <t>Anna Slichenko</t>
  </si>
  <si>
    <t>Andrey Slichenko</t>
  </si>
  <si>
    <t>Lesya Smagliy</t>
  </si>
  <si>
    <t>Alina Sobol</t>
  </si>
  <si>
    <t>Roman Sokolenko</t>
  </si>
  <si>
    <t>Ievgen Sukhotin</t>
  </si>
  <si>
    <t>Dmitriy Tarasenko</t>
  </si>
  <si>
    <t>Alexey Troskovets</t>
  </si>
  <si>
    <t>Tatyana Tsarenko</t>
  </si>
  <si>
    <t>Ievgen Tskhovrebov</t>
  </si>
  <si>
    <t>Irina Tsyganash</t>
  </si>
  <si>
    <t>Denis Udachin</t>
  </si>
  <si>
    <t>Igor Umnov</t>
  </si>
  <si>
    <t>Roman Usov</t>
  </si>
  <si>
    <t>Anton Valinov</t>
  </si>
  <si>
    <t>Anastasia Vavilova</t>
  </si>
  <si>
    <t>Anastasia Verkhovod</t>
  </si>
  <si>
    <t>Mikhail Vdovareize</t>
  </si>
  <si>
    <t>Maksym Vysochin</t>
  </si>
  <si>
    <t>Anna Yurchenko</t>
  </si>
  <si>
    <t>Tatiana Inozemtseva</t>
  </si>
  <si>
    <t>Sergey Markov</t>
  </si>
  <si>
    <t>Upd_RU</t>
  </si>
  <si>
    <t>CorePOI</t>
  </si>
  <si>
    <t>RU IT Deliveries 13-20</t>
  </si>
  <si>
    <t>UA Syn_14-22</t>
  </si>
  <si>
    <t>UA IT_12-16, Carto_06-10</t>
  </si>
  <si>
    <t>Exp_PL_115 (Delivery 16-23)</t>
  </si>
  <si>
    <t>KZ_115 (Delivery 16-26)</t>
  </si>
  <si>
    <t>FC1_RU_Syn_Q115 (Deliveries 16-23)</t>
  </si>
  <si>
    <t>FC2_RU_Syn_Q115 (Deliveries 16-23)</t>
  </si>
  <si>
    <t>FC3-4_RU_Syn_Q115 (Deliveries 16-24)</t>
  </si>
  <si>
    <t>FC3-4_TR_Syn_Q115 (Deliveries 15-17)</t>
  </si>
  <si>
    <t>Dev_Dig Q115</t>
  </si>
  <si>
    <t>Grand Total</t>
  </si>
  <si>
    <t>Alena Steganceva</t>
  </si>
  <si>
    <t>Anatoliy Pronyk</t>
  </si>
  <si>
    <t>Anton Petrenko</t>
  </si>
  <si>
    <t>Denis Bessarabov</t>
  </si>
  <si>
    <t>Elizaveta Krupa</t>
  </si>
  <si>
    <t>Konstantin Oleksyuk</t>
  </si>
  <si>
    <t>Leonid Bajdullin</t>
  </si>
  <si>
    <t>Maksim Evsukov</t>
  </si>
  <si>
    <t>Mykhailo Semernin</t>
  </si>
  <si>
    <t>Nikolay Moskvin</t>
  </si>
  <si>
    <t>Rami Anvar</t>
  </si>
  <si>
    <t>Valeriia Kotelnykova</t>
  </si>
  <si>
    <t>Tretyakova Svetlana</t>
  </si>
  <si>
    <t>Intetics Development, Trainings</t>
  </si>
  <si>
    <t>RU_Dig_Impl_Q215</t>
  </si>
  <si>
    <t>KZ_IT_Q215</t>
  </si>
  <si>
    <t>XTDL_Q215</t>
  </si>
  <si>
    <t>RU_PA_Q215</t>
  </si>
  <si>
    <t>UA_SynFC34_Q215</t>
  </si>
  <si>
    <t>RU_RNC_Q215</t>
  </si>
  <si>
    <r>
      <rPr>
        <b/>
        <sz val="11"/>
        <color theme="1"/>
        <rFont val="Calibri"/>
        <family val="2"/>
      </rPr>
      <t>FC1_Syn_RU_Q215</t>
    </r>
    <r>
      <rPr>
        <sz val="11"/>
        <color theme="1"/>
        <rFont val="Calibri"/>
        <family val="2"/>
      </rPr>
      <t xml:space="preserve"> Delivery 1-7</t>
    </r>
  </si>
  <si>
    <r>
      <rPr>
        <b/>
        <sz val="11"/>
        <color theme="1"/>
        <rFont val="Calibri"/>
        <family val="2"/>
      </rPr>
      <t>FC2_Syn_RU_Q215</t>
    </r>
    <r>
      <rPr>
        <sz val="11"/>
        <color theme="1"/>
        <rFont val="Calibri"/>
        <family val="2"/>
      </rPr>
      <t xml:space="preserve"> Delivery 1-5</t>
    </r>
  </si>
  <si>
    <r>
      <rPr>
        <b/>
        <sz val="11"/>
        <color theme="1"/>
        <rFont val="Calibri"/>
        <family val="2"/>
      </rPr>
      <t>FC3-4_Syn_TR_Q215</t>
    </r>
    <r>
      <rPr>
        <sz val="11"/>
        <color theme="1"/>
        <rFont val="Calibri"/>
        <family val="2"/>
      </rPr>
      <t xml:space="preserve"> Delivery 1-9</t>
    </r>
  </si>
  <si>
    <t>RU_Carto_Q215</t>
  </si>
  <si>
    <t>Ru_2D_Q215</t>
  </si>
  <si>
    <t>RU_Debug_Q215</t>
  </si>
  <si>
    <t>UA_Dig_Impl_Q215</t>
  </si>
  <si>
    <t>POI_Q215</t>
  </si>
  <si>
    <t>UA_Dig_Q115</t>
  </si>
  <si>
    <t>UA_Carto_Q215</t>
  </si>
  <si>
    <t>UA_Prime_Q215</t>
  </si>
  <si>
    <t>Exp_HR_Q215</t>
  </si>
  <si>
    <t>JIRA</t>
  </si>
  <si>
    <t>File</t>
  </si>
  <si>
    <t>Dmitriy Skorobogatov</t>
  </si>
  <si>
    <t xml:space="preserve">FC1_Syn_RU_Q215 FC1 </t>
  </si>
  <si>
    <t>FC2_Syn_RU_Q215 FC2</t>
  </si>
  <si>
    <t>FC3-4_Syn_TR_Q215 FC3-4</t>
  </si>
  <si>
    <t xml:space="preserve">Ru_2D_Q215 </t>
  </si>
  <si>
    <t xml:space="preserve">RU_Debug_Q215 </t>
  </si>
  <si>
    <t>Upd_RU_Q215</t>
  </si>
  <si>
    <t>FC3-4_TR_Syn_15</t>
  </si>
  <si>
    <t>FC1_RU_Syn_15</t>
  </si>
  <si>
    <t>POI_15</t>
  </si>
  <si>
    <t>XTDL_15</t>
  </si>
  <si>
    <t>RU_PA_15</t>
  </si>
  <si>
    <t>RU_Upd_15</t>
  </si>
  <si>
    <t>RU_Dig_Impl_15</t>
  </si>
  <si>
    <t>HR_Prime_15</t>
  </si>
  <si>
    <t>RU_Debug_15</t>
  </si>
  <si>
    <t>KZ_Prime_15</t>
  </si>
  <si>
    <t>UA_Prime_Del-05</t>
  </si>
  <si>
    <t>RU_RNC Del_08-12</t>
  </si>
  <si>
    <t>UA_Carto_Del_05-07</t>
  </si>
  <si>
    <t>UA_Carto_Del_08</t>
  </si>
  <si>
    <t>VCP_Fallout Coding</t>
  </si>
  <si>
    <t>Anastasiya Haustova</t>
  </si>
  <si>
    <t>FC2_RU_Syn_15</t>
  </si>
  <si>
    <t>FC2_BG_Syn_15</t>
  </si>
  <si>
    <t>UA_Carto_15</t>
  </si>
  <si>
    <t>RU_Carto_15</t>
  </si>
  <si>
    <t>RU_Signs_15</t>
  </si>
  <si>
    <t>RU_2D_15</t>
  </si>
  <si>
    <t>UA_Prime_15</t>
  </si>
  <si>
    <t>RU_RNC_15</t>
  </si>
  <si>
    <t>UA_Dig_Impl_15</t>
  </si>
  <si>
    <t>Dev_Dig_15</t>
  </si>
  <si>
    <t xml:space="preserve">FC34_TR_Syn_15 </t>
  </si>
  <si>
    <t>-</t>
  </si>
  <si>
    <t>NA</t>
  </si>
  <si>
    <t>Row Labels</t>
  </si>
  <si>
    <t>FC3-4_RU_Syn_15</t>
  </si>
  <si>
    <t>RU_Prime_15</t>
  </si>
  <si>
    <t>FPM_Pilot_15</t>
  </si>
  <si>
    <t>VCP_Fallouts</t>
  </si>
  <si>
    <t>GIS Dev</t>
  </si>
  <si>
    <t>RU_PA_Feb_15</t>
  </si>
  <si>
    <t>XTDL_Feb_15</t>
  </si>
  <si>
    <t>RU_Upd__15</t>
  </si>
  <si>
    <t>Maksym Evsyukov</t>
  </si>
  <si>
    <t>Elena Semchenko</t>
  </si>
  <si>
    <t>Evgeniya Gladisheva</t>
  </si>
  <si>
    <t>Iuliia Brizhyk</t>
  </si>
  <si>
    <t>Development</t>
  </si>
  <si>
    <t>VCP</t>
  </si>
  <si>
    <t>UA_ Debug _15</t>
  </si>
  <si>
    <t>Including VCP + Dev</t>
  </si>
  <si>
    <t>FC3-4_KZ_Syn_15</t>
  </si>
  <si>
    <t>BG_Prime_15</t>
  </si>
  <si>
    <t>GIS_DEV</t>
  </si>
  <si>
    <t>feb</t>
  </si>
  <si>
    <t>mar</t>
  </si>
  <si>
    <t>apr</t>
  </si>
  <si>
    <t>Dmytro Lomakin</t>
  </si>
  <si>
    <t>Ievgenii Matveichuk</t>
  </si>
  <si>
    <t>Iurii Shubin</t>
  </si>
  <si>
    <t>Svitlana Tretiakova</t>
  </si>
  <si>
    <t>TR_Syn_15</t>
  </si>
  <si>
    <t>KZ_Complete_15</t>
  </si>
  <si>
    <t>Anna Symonchuk</t>
  </si>
  <si>
    <t>UA_Syn_15</t>
  </si>
  <si>
    <t>were saved in May</t>
  </si>
  <si>
    <t>Empty Assignee</t>
  </si>
  <si>
    <t>Ievgeniia Luchnykova</t>
  </si>
  <si>
    <t>ME_Syn_15</t>
  </si>
  <si>
    <t>Excel</t>
  </si>
  <si>
    <t>PO</t>
  </si>
  <si>
    <t>Oleg Seliverstov</t>
  </si>
  <si>
    <t>PL_Prime_15</t>
  </si>
  <si>
    <t>Email</t>
  </si>
  <si>
    <t>n.chernonog@intetics.com</t>
  </si>
  <si>
    <t>natalia.chernonog1@gmail.com</t>
  </si>
  <si>
    <t>FC1-2_RU_Syn_15</t>
  </si>
  <si>
    <t>FC1-4_KZ_Syn_15</t>
  </si>
  <si>
    <t>FC1-2_KZ_Syn_15</t>
  </si>
  <si>
    <t>RU_Probe</t>
  </si>
  <si>
    <t>XTDL</t>
  </si>
  <si>
    <t>Elena Belokoneva</t>
  </si>
  <si>
    <t>Eugeniy Velichko</t>
  </si>
  <si>
    <t>Irina Semernina</t>
  </si>
  <si>
    <t>Vadim Cherevichkin</t>
  </si>
  <si>
    <t>Vadym Gerasimov</t>
  </si>
  <si>
    <t>Vitaliy Chulkov</t>
  </si>
  <si>
    <t>Yulia Hladkova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</si>
</sst>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3F3F7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  <charset val="204"/>
    </font>
    <font>
      <sz val="12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20"/>
      <name val="Arial"/>
      <family val="2"/>
      <charset val="204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u/>
      <sz val="11"/>
      <color theme="10"/>
      <name val="Calibri"/>
      <family val="2"/>
    </font>
    <font>
      <sz val="10"/>
      <color indexed="10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63"/>
      <name val="Calibri"/>
      <family val="2"/>
      <charset val="204"/>
    </font>
    <font>
      <b/>
      <sz val="18"/>
      <color indexed="62"/>
      <name val="Cambria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7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  <bgColor indexed="41"/>
      </patternFill>
    </fill>
    <fill>
      <patternFill patternType="solid">
        <f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2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0"/>
      </patternFill>
    </fill>
    <fill>
      <patternFill patternType="solid">
        <fgColor indexed="22"/>
        <bgColor indexed="4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20">
    <xf numFmtId="0" fontId="0" fillId="0" borderId="0"/>
    <xf numFmtId="0" fontId="2" fillId="10" borderId="0" applyNumberFormat="0" applyBorder="0" applyAlignment="0" applyProtection="0"/>
    <xf numFmtId="0" fontId="20" fillId="10" borderId="0" applyNumberFormat="0" applyBorder="0" applyAlignment="0" applyProtection="0"/>
    <xf numFmtId="0" fontId="2" fillId="14" borderId="0" applyNumberFormat="0" applyBorder="0" applyAlignment="0" applyProtection="0"/>
    <xf numFmtId="0" fontId="20" fillId="14" borderId="0" applyNumberFormat="0" applyBorder="0" applyAlignment="0" applyProtection="0"/>
    <xf numFmtId="0" fontId="2" fillId="18" borderId="0" applyNumberFormat="0" applyBorder="0" applyAlignment="0" applyProtection="0"/>
    <xf numFmtId="0" fontId="20" fillId="18" borderId="0" applyNumberFormat="0" applyBorder="0" applyAlignment="0" applyProtection="0"/>
    <xf numFmtId="0" fontId="2" fillId="22" borderId="0" applyNumberFormat="0" applyBorder="0" applyAlignment="0" applyProtection="0"/>
    <xf numFmtId="0" fontId="20" fillId="22" borderId="0" applyNumberFormat="0" applyBorder="0" applyAlignment="0" applyProtection="0"/>
    <xf numFmtId="0" fontId="2" fillId="26" borderId="0" applyNumberFormat="0" applyBorder="0" applyAlignment="0" applyProtection="0"/>
    <xf numFmtId="0" fontId="20" fillId="26" borderId="0" applyNumberFormat="0" applyBorder="0" applyAlignment="0" applyProtection="0"/>
    <xf numFmtId="0" fontId="2" fillId="30" borderId="0" applyNumberFormat="0" applyBorder="0" applyAlignment="0" applyProtection="0"/>
    <xf numFmtId="0" fontId="20" fillId="30" borderId="0" applyNumberFormat="0" applyBorder="0" applyAlignment="0" applyProtection="0"/>
    <xf numFmtId="0" fontId="2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5" borderId="0" applyNumberFormat="0" applyBorder="0" applyAlignment="0" applyProtection="0"/>
    <xf numFmtId="0" fontId="20" fillId="15" borderId="0" applyNumberFormat="0" applyBorder="0" applyAlignment="0" applyProtection="0"/>
    <xf numFmtId="0" fontId="2" fillId="19" borderId="0" applyNumberFormat="0" applyBorder="0" applyAlignment="0" applyProtection="0"/>
    <xf numFmtId="0" fontId="20" fillId="19" borderId="0" applyNumberFormat="0" applyBorder="0" applyAlignment="0" applyProtection="0"/>
    <xf numFmtId="0" fontId="2" fillId="23" borderId="0" applyNumberFormat="0" applyBorder="0" applyAlignment="0" applyProtection="0"/>
    <xf numFmtId="0" fontId="20" fillId="23" borderId="0" applyNumberFormat="0" applyBorder="0" applyAlignment="0" applyProtection="0"/>
    <xf numFmtId="0" fontId="2" fillId="27" borderId="0" applyNumberFormat="0" applyBorder="0" applyAlignment="0" applyProtection="0"/>
    <xf numFmtId="0" fontId="20" fillId="27" borderId="0" applyNumberFormat="0" applyBorder="0" applyAlignment="0" applyProtection="0"/>
    <xf numFmtId="0" fontId="2" fillId="31" borderId="0" applyNumberFormat="0" applyBorder="0" applyAlignment="0" applyProtection="0"/>
    <xf numFmtId="0" fontId="20" fillId="31" borderId="0" applyNumberFormat="0" applyBorder="0" applyAlignment="0" applyProtection="0"/>
    <xf numFmtId="0" fontId="18" fillId="12" borderId="0" applyNumberFormat="0" applyBorder="0" applyAlignment="0" applyProtection="0"/>
    <xf numFmtId="0" fontId="22" fillId="12" borderId="0" applyNumberFormat="0" applyBorder="0" applyAlignment="0" applyProtection="0"/>
    <xf numFmtId="0" fontId="18" fillId="16" borderId="0" applyNumberFormat="0" applyBorder="0" applyAlignment="0" applyProtection="0"/>
    <xf numFmtId="0" fontId="22" fillId="16" borderId="0" applyNumberFormat="0" applyBorder="0" applyAlignment="0" applyProtection="0"/>
    <xf numFmtId="0" fontId="18" fillId="20" borderId="0" applyNumberFormat="0" applyBorder="0" applyAlignment="0" applyProtection="0"/>
    <xf numFmtId="0" fontId="22" fillId="20" borderId="0" applyNumberFormat="0" applyBorder="0" applyAlignment="0" applyProtection="0"/>
    <xf numFmtId="0" fontId="18" fillId="24" borderId="0" applyNumberFormat="0" applyBorder="0" applyAlignment="0" applyProtection="0"/>
    <xf numFmtId="0" fontId="22" fillId="24" borderId="0" applyNumberFormat="0" applyBorder="0" applyAlignment="0" applyProtection="0"/>
    <xf numFmtId="0" fontId="18" fillId="28" borderId="0" applyNumberFormat="0" applyBorder="0" applyAlignment="0" applyProtection="0"/>
    <xf numFmtId="0" fontId="22" fillId="28" borderId="0" applyNumberFormat="0" applyBorder="0" applyAlignment="0" applyProtection="0"/>
    <xf numFmtId="0" fontId="18" fillId="32" borderId="0" applyNumberFormat="0" applyBorder="0" applyAlignment="0" applyProtection="0"/>
    <xf numFmtId="0" fontId="22" fillId="32" borderId="0" applyNumberFormat="0" applyBorder="0" applyAlignment="0" applyProtection="0"/>
    <xf numFmtId="0" fontId="18" fillId="9" borderId="0" applyNumberFormat="0" applyBorder="0" applyAlignment="0" applyProtection="0"/>
    <xf numFmtId="0" fontId="22" fillId="9" borderId="0" applyNumberFormat="0" applyBorder="0" applyAlignment="0" applyProtection="0"/>
    <xf numFmtId="0" fontId="18" fillId="13" borderId="0" applyNumberFormat="0" applyBorder="0" applyAlignment="0" applyProtection="0"/>
    <xf numFmtId="0" fontId="22" fillId="13" borderId="0" applyNumberFormat="0" applyBorder="0" applyAlignment="0" applyProtection="0"/>
    <xf numFmtId="0" fontId="18" fillId="17" borderId="0" applyNumberFormat="0" applyBorder="0" applyAlignment="0" applyProtection="0"/>
    <xf numFmtId="0" fontId="22" fillId="17" borderId="0" applyNumberFormat="0" applyBorder="0" applyAlignment="0" applyProtection="0"/>
    <xf numFmtId="0" fontId="18" fillId="21" borderId="0" applyNumberFormat="0" applyBorder="0" applyAlignment="0" applyProtection="0"/>
    <xf numFmtId="0" fontId="22" fillId="21" borderId="0" applyNumberFormat="0" applyBorder="0" applyAlignment="0" applyProtection="0"/>
    <xf numFmtId="0" fontId="18" fillId="25" borderId="0" applyNumberFormat="0" applyBorder="0" applyAlignment="0" applyProtection="0"/>
    <xf numFmtId="0" fontId="22" fillId="25" borderId="0" applyNumberFormat="0" applyBorder="0" applyAlignment="0" applyProtection="0"/>
    <xf numFmtId="0" fontId="18" fillId="29" borderId="0" applyNumberFormat="0" applyBorder="0" applyAlignment="0" applyProtection="0"/>
    <xf numFmtId="0" fontId="22" fillId="29" borderId="0" applyNumberFormat="0" applyBorder="0" applyAlignment="0" applyProtection="0"/>
    <xf numFmtId="0" fontId="8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6" borderId="4" applyNumberFormat="0" applyAlignment="0" applyProtection="0"/>
    <xf numFmtId="0" fontId="24" fillId="6" borderId="4" applyNumberFormat="0" applyAlignment="0" applyProtection="0"/>
    <xf numFmtId="0" fontId="14" fillId="7" borderId="7" applyNumberFormat="0" applyAlignment="0" applyProtection="0"/>
    <xf numFmtId="0" fontId="25" fillId="7" borderId="7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7" fillId="2" borderId="0" applyNumberFormat="0" applyBorder="0" applyAlignment="0" applyProtection="0"/>
    <xf numFmtId="0" fontId="4" fillId="0" borderId="1" applyNumberFormat="0" applyFill="0" applyAlignment="0" applyProtection="0"/>
    <xf numFmtId="0" fontId="28" fillId="0" borderId="1" applyNumberFormat="0" applyFill="0" applyAlignment="0" applyProtection="0"/>
    <xf numFmtId="0" fontId="5" fillId="0" borderId="2" applyNumberFormat="0" applyFill="0" applyAlignment="0" applyProtection="0"/>
    <xf numFmtId="0" fontId="29" fillId="0" borderId="2" applyNumberFormat="0" applyFill="0" applyAlignment="0" applyProtection="0"/>
    <xf numFmtId="0" fontId="6" fillId="0" borderId="3" applyNumberFormat="0" applyFill="0" applyAlignment="0" applyProtection="0"/>
    <xf numFmtId="0" fontId="30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5" borderId="4" applyNumberFormat="0" applyAlignment="0" applyProtection="0"/>
    <xf numFmtId="0" fontId="32" fillId="5" borderId="4" applyNumberFormat="0" applyAlignment="0" applyProtection="0"/>
    <xf numFmtId="0" fontId="13" fillId="0" borderId="6" applyNumberFormat="0" applyFill="0" applyAlignment="0" applyProtection="0"/>
    <xf numFmtId="0" fontId="33" fillId="0" borderId="6" applyNumberFormat="0" applyFill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0" fillId="8" borderId="8" applyNumberFormat="0" applyFont="0" applyAlignment="0" applyProtection="0"/>
    <xf numFmtId="0" fontId="11" fillId="6" borderId="5" applyNumberFormat="0" applyAlignment="0" applyProtection="0"/>
    <xf numFmtId="0" fontId="35" fillId="6" borderId="5" applyNumberFormat="0" applyAlignment="0" applyProtection="0"/>
    <xf numFmtId="0" fontId="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9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0" fillId="0" borderId="0"/>
    <xf numFmtId="0" fontId="42" fillId="0" borderId="0" applyNumberFormat="0" applyFont="0" applyFill="0" applyBorder="0" applyAlignment="0" applyProtection="0">
      <alignment horizontal="left"/>
    </xf>
    <xf numFmtId="0" fontId="41" fillId="0" borderId="23">
      <alignment horizontal="center"/>
    </xf>
    <xf numFmtId="0" fontId="40" fillId="0" borderId="0"/>
    <xf numFmtId="0" fontId="2" fillId="0" borderId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7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14" borderId="0" applyNumberFormat="0" applyBorder="0" applyAlignment="0" applyProtection="0"/>
    <xf numFmtId="0" fontId="2" fillId="10" borderId="0" applyNumberFormat="0" applyBorder="0" applyAlignment="0" applyProtection="0"/>
    <xf numFmtId="0" fontId="5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52" fillId="3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1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1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1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1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1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1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1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1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1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1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2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22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22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22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22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22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22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22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22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22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22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22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23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24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25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2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29" borderId="0" applyNumberFormat="0" applyBorder="0" applyAlignment="0" applyProtection="0"/>
    <xf numFmtId="0" fontId="24" fillId="6" borderId="4" applyNumberFormat="0" applyAlignment="0" applyProtection="0"/>
    <xf numFmtId="0" fontId="24" fillId="6" borderId="4" applyNumberFormat="0" applyAlignment="0" applyProtection="0"/>
    <xf numFmtId="0" fontId="22" fillId="29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27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5" fillId="6" borderId="5" applyNumberFormat="0" applyAlignment="0" applyProtection="0"/>
    <xf numFmtId="0" fontId="11" fillId="6" borderId="5" applyNumberFormat="0" applyAlignment="0" applyProtection="0"/>
    <xf numFmtId="0" fontId="1" fillId="8" borderId="8" applyNumberFormat="0" applyFont="0" applyAlignment="0" applyProtection="0"/>
    <xf numFmtId="0" fontId="2" fillId="0" borderId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3" fillId="0" borderId="6" applyNumberFormat="0" applyFill="0" applyAlignment="0" applyProtection="0"/>
    <xf numFmtId="0" fontId="13" fillId="0" borderId="6" applyNumberFormat="0" applyFill="0" applyAlignment="0" applyProtection="0"/>
    <xf numFmtId="0" fontId="32" fillId="5" borderId="4" applyNumberFormat="0" applyAlignment="0" applyProtection="0"/>
    <xf numFmtId="0" fontId="10" fillId="5" borderId="4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6" fillId="0" borderId="3" applyNumberFormat="0" applyFill="0" applyAlignment="0" applyProtection="0"/>
    <xf numFmtId="0" fontId="29" fillId="0" borderId="2" applyNumberFormat="0" applyFill="0" applyAlignment="0" applyProtection="0"/>
    <xf numFmtId="0" fontId="5" fillId="0" borderId="2" applyNumberFormat="0" applyFill="0" applyAlignment="0" applyProtection="0"/>
    <xf numFmtId="0" fontId="28" fillId="0" borderId="1" applyNumberFormat="0" applyFill="0" applyAlignment="0" applyProtection="0"/>
    <xf numFmtId="0" fontId="4" fillId="0" borderId="1" applyNumberFormat="0" applyFill="0" applyAlignment="0" applyProtection="0"/>
    <xf numFmtId="0" fontId="7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7" applyNumberFormat="0" applyAlignment="0" applyProtection="0"/>
    <xf numFmtId="0" fontId="24" fillId="6" borderId="4" applyNumberFormat="0" applyAlignment="0" applyProtection="0"/>
    <xf numFmtId="0" fontId="22" fillId="25" borderId="0" applyNumberFormat="0" applyBorder="0" applyAlignment="0" applyProtection="0"/>
    <xf numFmtId="0" fontId="23" fillId="3" borderId="0" applyNumberFormat="0" applyBorder="0" applyAlignment="0" applyProtection="0"/>
    <xf numFmtId="0" fontId="22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17" borderId="0" applyNumberFormat="0" applyBorder="0" applyAlignment="0" applyProtection="0"/>
    <xf numFmtId="0" fontId="22" fillId="13" borderId="0" applyNumberFormat="0" applyBorder="0" applyAlignment="0" applyProtection="0"/>
    <xf numFmtId="0" fontId="22" fillId="9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80" fillId="2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69" fillId="0" borderId="29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4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40" fillId="0" borderId="0"/>
    <xf numFmtId="0" fontId="80" fillId="2" borderId="0" applyNumberFormat="0" applyBorder="0" applyAlignment="0" applyProtection="0"/>
    <xf numFmtId="0" fontId="69" fillId="0" borderId="29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3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36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34" fillId="4" borderId="0" applyNumberFormat="0" applyBorder="0" applyAlignment="0" applyProtection="0"/>
    <xf numFmtId="0" fontId="32" fillId="5" borderId="4" applyNumberFormat="0" applyAlignment="0" applyProtection="0"/>
    <xf numFmtId="0" fontId="35" fillId="6" borderId="5" applyNumberFormat="0" applyAlignment="0" applyProtection="0"/>
    <xf numFmtId="0" fontId="33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9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22" fillId="29" borderId="0" applyNumberFormat="0" applyBorder="0" applyAlignment="0" applyProtection="0"/>
    <xf numFmtId="0" fontId="1" fillId="26" borderId="0" applyNumberFormat="0" applyBorder="0" applyAlignment="0" applyProtection="0"/>
    <xf numFmtId="0" fontId="24" fillId="6" borderId="4" applyNumberFormat="0" applyAlignment="0" applyProtection="0"/>
    <xf numFmtId="0" fontId="40" fillId="0" borderId="0"/>
    <xf numFmtId="0" fontId="40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40" fillId="0" borderId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22">
    <xf numFmtId="0" fontId="0" fillId="0" borderId="0" xfId="0"/>
    <xf numFmtId="0" fontId="0" fillId="0" borderId="16" xfId="0" applyFill="1" applyBorder="1" applyAlignment="1">
      <alignment horizontal="center"/>
    </xf>
    <xf numFmtId="0" fontId="0" fillId="0" borderId="10" xfId="0" applyFill="1" applyBorder="1"/>
    <xf numFmtId="0" fontId="19" fillId="0" borderId="21" xfId="0" applyFont="1" applyFill="1" applyBorder="1" applyAlignment="1">
      <alignment horizontal="center"/>
    </xf>
    <xf numFmtId="0" fontId="0" fillId="0" borderId="0" xfId="0" applyFill="1"/>
    <xf numFmtId="0" fontId="15" fillId="0" borderId="10" xfId="0" applyFont="1" applyFill="1" applyBorder="1"/>
    <xf numFmtId="0" fontId="0" fillId="0" borderId="0" xfId="0" applyNumberFormat="1" applyFill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right"/>
    </xf>
    <xf numFmtId="0" fontId="64" fillId="0" borderId="10" xfId="0" applyFont="1" applyFill="1" applyBorder="1"/>
    <xf numFmtId="0" fontId="20" fillId="0" borderId="10" xfId="0" applyFont="1" applyFill="1" applyBorder="1"/>
    <xf numFmtId="164" fontId="0" fillId="0" borderId="0" xfId="0" applyNumberFormat="1"/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11" xfId="0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0" fontId="19" fillId="0" borderId="10" xfId="0" applyFont="1" applyFill="1" applyBorder="1"/>
    <xf numFmtId="0" fontId="17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49" fontId="0" fillId="0" borderId="36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0" xfId="0" applyFill="1" applyBorder="1"/>
    <xf numFmtId="0" fontId="9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21" xfId="0" applyFont="1" applyFill="1" applyBorder="1"/>
    <xf numFmtId="0" fontId="17" fillId="0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/>
    <xf numFmtId="0" fontId="0" fillId="71" borderId="10" xfId="0" applyFill="1" applyBorder="1"/>
    <xf numFmtId="0" fontId="17" fillId="71" borderId="10" xfId="0" applyFont="1" applyFill="1" applyBorder="1" applyAlignment="1">
      <alignment wrapText="1"/>
    </xf>
    <xf numFmtId="164" fontId="0" fillId="71" borderId="10" xfId="0" applyNumberFormat="1" applyFill="1" applyBorder="1"/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26" xfId="0" applyFont="1" applyBorder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17" fillId="0" borderId="27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9" xfId="0" applyNumberFormat="1" applyBorder="1" applyAlignment="1">
      <alignment horizontal="center" vertical="top"/>
    </xf>
    <xf numFmtId="49" fontId="0" fillId="0" borderId="36" xfId="0" applyNumberFormat="1" applyBorder="1" applyAlignment="1">
      <alignment horizontal="center" vertical="top"/>
    </xf>
    <xf numFmtId="49" fontId="0" fillId="0" borderId="40" xfId="0" applyNumberFormat="1" applyBorder="1" applyAlignment="1">
      <alignment horizontal="center" vertical="top"/>
    </xf>
    <xf numFmtId="0" fontId="98" fillId="71" borderId="10" xfId="0" applyFont="1" applyFill="1" applyBorder="1" applyAlignment="1">
      <alignment wrapText="1"/>
    </xf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49" fontId="0" fillId="0" borderId="10" xfId="0" applyNumberFormat="1" applyBorder="1" applyAlignment="1">
      <alignment horizontal="center" vertical="top"/>
    </xf>
    <xf numFmtId="0" fontId="0" fillId="0" borderId="37" xfId="0" applyBorder="1"/>
    <xf numFmtId="0" fontId="17" fillId="0" borderId="38" xfId="0" applyFont="1" applyBorder="1" applyAlignment="1">
      <alignment horizontal="center" vertical="top"/>
    </xf>
    <xf numFmtId="0" fontId="17" fillId="0" borderId="39" xfId="0" applyFont="1" applyBorder="1" applyAlignment="1">
      <alignment horizontal="center" vertical="top"/>
    </xf>
    <xf numFmtId="0" fontId="0" fillId="0" borderId="15" xfId="0" applyBorder="1"/>
    <xf numFmtId="49" fontId="0" fillId="0" borderId="16" xfId="0" applyNumberFormat="1" applyBorder="1" applyAlignment="1">
      <alignment horizontal="center" vertical="top"/>
    </xf>
    <xf numFmtId="0" fontId="0" fillId="0" borderId="17" xfId="0" applyBorder="1"/>
    <xf numFmtId="0" fontId="17" fillId="71" borderId="1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17" fillId="0" borderId="10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top"/>
    </xf>
    <xf numFmtId="0" fontId="19" fillId="71" borderId="10" xfId="0" applyFont="1" applyFill="1" applyBorder="1"/>
    <xf numFmtId="0" fontId="0" fillId="72" borderId="10" xfId="0" applyFill="1" applyBorder="1"/>
    <xf numFmtId="0" fontId="17" fillId="73" borderId="10" xfId="0" applyFont="1" applyFill="1" applyBorder="1"/>
    <xf numFmtId="0" fontId="17" fillId="73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7" fillId="73" borderId="10" xfId="0" applyFont="1" applyFill="1" applyBorder="1" applyAlignment="1">
      <alignment horizontal="left"/>
    </xf>
    <xf numFmtId="0" fontId="17" fillId="73" borderId="10" xfId="0" applyNumberFormat="1" applyFont="1" applyFill="1" applyBorder="1"/>
    <xf numFmtId="0" fontId="17" fillId="0" borderId="10" xfId="0" applyFont="1" applyFill="1" applyBorder="1" applyAlignment="1">
      <alignment horizontal="left"/>
    </xf>
    <xf numFmtId="0" fontId="17" fillId="0" borderId="10" xfId="0" applyFont="1" applyBorder="1"/>
    <xf numFmtId="0" fontId="17" fillId="73" borderId="10" xfId="0" applyFont="1" applyFill="1" applyBorder="1" applyAlignment="1">
      <alignment vertical="top" wrapText="1"/>
    </xf>
    <xf numFmtId="0" fontId="0" fillId="72" borderId="10" xfId="0" applyNumberFormat="1" applyFill="1" applyBorder="1"/>
    <xf numFmtId="0" fontId="17" fillId="0" borderId="10" xfId="0" applyFont="1" applyFill="1" applyBorder="1"/>
    <xf numFmtId="0" fontId="17" fillId="0" borderId="10" xfId="0" applyFont="1" applyBorder="1" applyAlignment="1">
      <alignment horizontal="center"/>
    </xf>
    <xf numFmtId="164" fontId="17" fillId="73" borderId="10" xfId="0" applyNumberFormat="1" applyFont="1" applyFill="1" applyBorder="1"/>
    <xf numFmtId="0" fontId="99" fillId="73" borderId="10" xfId="0" applyFont="1" applyFill="1" applyBorder="1" applyAlignment="1">
      <alignment wrapText="1"/>
    </xf>
    <xf numFmtId="0" fontId="0" fillId="0" borderId="10" xfId="0" applyFont="1" applyFill="1" applyBorder="1"/>
    <xf numFmtId="0" fontId="15" fillId="0" borderId="0" xfId="0" applyFont="1"/>
    <xf numFmtId="164" fontId="0" fillId="0" borderId="10" xfId="0" applyNumberFormat="1" applyFill="1" applyBorder="1"/>
    <xf numFmtId="164" fontId="17" fillId="0" borderId="10" xfId="0" applyNumberFormat="1" applyFont="1" applyBorder="1"/>
    <xf numFmtId="0" fontId="0" fillId="0" borderId="41" xfId="0" applyNumberFormat="1" applyFill="1" applyBorder="1"/>
    <xf numFmtId="1" fontId="0" fillId="0" borderId="0" xfId="0" applyNumberFormat="1" applyAlignment="1">
      <alignment horizontal="left"/>
    </xf>
    <xf numFmtId="0" fontId="18" fillId="0" borderId="0" xfId="0" applyFont="1"/>
    <xf numFmtId="0" fontId="0" fillId="0" borderId="10" xfId="0" applyFill="1" applyBorder="1" applyAlignment="1">
      <alignment horizontal="left"/>
    </xf>
    <xf numFmtId="0" fontId="17" fillId="74" borderId="10" xfId="0" applyFont="1" applyFill="1" applyBorder="1"/>
    <xf numFmtId="0" fontId="17" fillId="74" borderId="10" xfId="0" applyFont="1" applyFill="1" applyBorder="1" applyAlignment="1">
      <alignment wrapText="1"/>
    </xf>
    <xf numFmtId="0" fontId="17" fillId="74" borderId="10" xfId="0" applyFont="1" applyFill="1" applyBorder="1" applyAlignment="1">
      <alignment horizontal="left"/>
    </xf>
    <xf numFmtId="164" fontId="0" fillId="74" borderId="10" xfId="0" applyNumberFormat="1" applyFill="1" applyBorder="1"/>
    <xf numFmtId="164" fontId="17" fillId="74" borderId="10" xfId="0" applyNumberFormat="1" applyFont="1" applyFill="1" applyBorder="1"/>
    <xf numFmtId="2" fontId="0" fillId="0" borderId="10" xfId="0" applyNumberFormat="1" applyBorder="1"/>
    <xf numFmtId="0" fontId="0" fillId="0" borderId="0" xfId="0" applyFont="1"/>
    <xf numFmtId="0" fontId="0" fillId="74" borderId="10" xfId="0" applyFont="1" applyFill="1" applyBorder="1" applyAlignment="1">
      <alignment horizontal="right"/>
    </xf>
    <xf numFmtId="0" fontId="17" fillId="75" borderId="10" xfId="0" applyFont="1" applyFill="1" applyBorder="1"/>
    <xf numFmtId="0" fontId="17" fillId="75" borderId="10" xfId="0" applyFont="1" applyFill="1" applyBorder="1" applyAlignment="1">
      <alignment wrapText="1"/>
    </xf>
    <xf numFmtId="164" fontId="17" fillId="75" borderId="10" xfId="0" applyNumberFormat="1" applyFont="1" applyFill="1" applyBorder="1"/>
    <xf numFmtId="0" fontId="17" fillId="76" borderId="10" xfId="0" applyFont="1" applyFill="1" applyBorder="1" applyAlignment="1">
      <alignment horizontal="left"/>
    </xf>
    <xf numFmtId="0" fontId="0" fillId="76" borderId="10" xfId="0" applyFill="1" applyBorder="1"/>
    <xf numFmtId="0" fontId="64" fillId="76" borderId="10" xfId="0" applyFont="1" applyFill="1" applyBorder="1"/>
    <xf numFmtId="0" fontId="17" fillId="77" borderId="10" xfId="0" applyFont="1" applyFill="1" applyBorder="1" applyAlignment="1">
      <alignment horizontal="left"/>
    </xf>
    <xf numFmtId="0" fontId="0" fillId="77" borderId="10" xfId="0" applyFill="1" applyBorder="1"/>
    <xf numFmtId="0" fontId="0" fillId="33" borderId="10" xfId="0" applyFill="1" applyBorder="1"/>
    <xf numFmtId="0" fontId="17" fillId="73" borderId="10" xfId="0" applyFont="1" applyFill="1" applyBorder="1" applyAlignment="1">
      <alignment horizontal="left" wrapText="1"/>
    </xf>
    <xf numFmtId="0" fontId="100" fillId="0" borderId="10" xfId="0" applyFont="1" applyBorder="1"/>
    <xf numFmtId="164" fontId="0" fillId="73" borderId="10" xfId="0" applyNumberFormat="1" applyFont="1" applyFill="1" applyBorder="1" applyAlignment="1">
      <alignment horizontal="right" wrapText="1"/>
    </xf>
  </cellXfs>
  <cellStyles count="13220">
    <cellStyle name="=C:\WINNT\SYSTEM32\COMMAND.COM" xfId="408"/>
    <cellStyle name="=C:\WINNT\SYSTEM32\COMMAND.COM?AVD=3?CDSRV=Embla?COMPUTERNAME=W5013" xfId="287"/>
    <cellStyle name="=C:\WINNT\SYSTEM32\COMMAND.COM?AVD=3?CDSRV=Embla?COMPUTERNAME=W5013 1" xfId="271"/>
    <cellStyle name="=C:\WINNT\SYSTEM32\COMMAND.COM?AVD=3?CDSRV=Embla?COMPUTERNAME=W5013 2" xfId="437"/>
    <cellStyle name="=C:\WINNT\SYSTEM32\COMMAND.COM?AVD=3?CDSRV=Embla?COMPUTERNAME=W5013 3" xfId="398"/>
    <cellStyle name="=C:\WINNT\SYSTEM32\COMMAND.COM?AVD=3?CDSRV=Embla?COMPUTERNAME=W5013 4" xfId="313"/>
    <cellStyle name="=C:\WINNT\SYSTEM32\COMMAND.COM?AVD=3?CDSRV=Embla?COMPUTERNAME=W5013 5" xfId="314"/>
    <cellStyle name="=C:\WINNT\SYSTEM32\COMMAND.COM?AVD=3?CDSRV=Embla?COMPUTERNAME=W5013 6" xfId="315"/>
    <cellStyle name="=C:\WINNT\SYSTEM32\COMMAND.COM?AVD=3?CDSRV=Embla?COMPUTERNAME=W5013 7" xfId="316"/>
    <cellStyle name="=C:\WINNT\SYSTEM32\COMMAND.COM?AVD=3?CDSRV=Embla?COMPUTERNAME=W5013 8" xfId="317"/>
    <cellStyle name="20% - Accent1" xfId="104" builtinId="30" customBuiltin="1"/>
    <cellStyle name="20% - Accent1 10" xfId="319"/>
    <cellStyle name="20% - Accent1 10 2" xfId="320"/>
    <cellStyle name="20% - Accent1 10 2 2" xfId="12320"/>
    <cellStyle name="20% - Accent1 11" xfId="321"/>
    <cellStyle name="20% - Accent1 11 2" xfId="322"/>
    <cellStyle name="20% - Accent1 11 2 2" xfId="12332"/>
    <cellStyle name="20% - Accent1 12" xfId="323"/>
    <cellStyle name="20% - Accent1 12 2" xfId="268"/>
    <cellStyle name="20% - Accent1 12 2 2" xfId="12344"/>
    <cellStyle name="20% - Accent1 13" xfId="324"/>
    <cellStyle name="20% - Accent1 13 2" xfId="394"/>
    <cellStyle name="20% - Accent1 13 2 2" xfId="12356"/>
    <cellStyle name="20% - Accent1 14" xfId="393"/>
    <cellStyle name="20% - Accent1 14 2" xfId="392"/>
    <cellStyle name="20% - Accent1 14 2 2" xfId="12368"/>
    <cellStyle name="20% - Accent1 15" xfId="391"/>
    <cellStyle name="20% - Accent1 15 2" xfId="440"/>
    <cellStyle name="20% - Accent1 15 2 2" xfId="12380"/>
    <cellStyle name="20% - Accent1 16" xfId="325"/>
    <cellStyle name="20% - Accent1 16 2" xfId="303"/>
    <cellStyle name="20% - Accent1 16 2 2" xfId="12392"/>
    <cellStyle name="20% - Accent1 17" xfId="291"/>
    <cellStyle name="20% - Accent1 17 2" xfId="326"/>
    <cellStyle name="20% - Accent1 17 2 2" xfId="12404"/>
    <cellStyle name="20% - Accent1 18" xfId="327"/>
    <cellStyle name="20% - Accent1 18 2" xfId="383"/>
    <cellStyle name="20% - Accent1 18 2 2" xfId="12416"/>
    <cellStyle name="20% - Accent1 19" xfId="382"/>
    <cellStyle name="20% - Accent1 19 2" xfId="390"/>
    <cellStyle name="20% - Accent1 19 2 2" xfId="12428"/>
    <cellStyle name="20% - Accent1 2" xfId="1"/>
    <cellStyle name="20% - Accent1 2 10" xfId="439"/>
    <cellStyle name="20% - Accent1 2 11" xfId="270"/>
    <cellStyle name="20% - Accent1 2 12" xfId="328"/>
    <cellStyle name="20% - Accent1 2 13" xfId="436"/>
    <cellStyle name="20% - Accent1 2 2" xfId="378"/>
    <cellStyle name="20% - Accent1 2 2 2" xfId="377"/>
    <cellStyle name="20% - Accent1 2 2 2 2" xfId="12224"/>
    <cellStyle name="20% - Accent1 2 3" xfId="376"/>
    <cellStyle name="20% - Accent1 2 4" xfId="375"/>
    <cellStyle name="20% - Accent1 2 5" xfId="402"/>
    <cellStyle name="20% - Accent1 2 6" xfId="384"/>
    <cellStyle name="20% - Accent1 2 7" xfId="286"/>
    <cellStyle name="20% - Accent1 2 8" xfId="296"/>
    <cellStyle name="20% - Accent1 2 9" xfId="299"/>
    <cellStyle name="20% - Accent1 2_Q410 Novosibirsk" xfId="288"/>
    <cellStyle name="20% - Accent1 20" xfId="367"/>
    <cellStyle name="20% - Accent1 20 2" xfId="366"/>
    <cellStyle name="20% - Accent1 20 2 2" xfId="12440"/>
    <cellStyle name="20% - Accent1 21" xfId="374"/>
    <cellStyle name="20% - Accent1 21 2" xfId="422"/>
    <cellStyle name="20% - Accent1 21 2 2" xfId="12452"/>
    <cellStyle name="20% - Accent1 22" xfId="420"/>
    <cellStyle name="20% - Accent1 22 2" xfId="387"/>
    <cellStyle name="20% - Accent1 22 2 2" xfId="12464"/>
    <cellStyle name="20% - Accent1 23" xfId="368"/>
    <cellStyle name="20% - Accent1 23 2" xfId="304"/>
    <cellStyle name="20% - Accent1 23 2 2" xfId="12476"/>
    <cellStyle name="20% - Accent1 24" xfId="292"/>
    <cellStyle name="20% - Accent1 24 2" xfId="371"/>
    <cellStyle name="20% - Accent1 24 2 2" xfId="12488"/>
    <cellStyle name="20% - Accent1 25" xfId="329"/>
    <cellStyle name="20% - Accent1 25 2" xfId="330"/>
    <cellStyle name="20% - Accent1 25 2 2" xfId="12500"/>
    <cellStyle name="20% - Accent1 26" xfId="331"/>
    <cellStyle name="20% - Accent1 26 2" xfId="332"/>
    <cellStyle name="20% - Accent1 26 2 2" xfId="12512"/>
    <cellStyle name="20% - Accent1 27" xfId="333"/>
    <cellStyle name="20% - Accent1 27 2" xfId="334"/>
    <cellStyle name="20% - Accent1 27 2 2" xfId="12524"/>
    <cellStyle name="20% - Accent1 28" xfId="335"/>
    <cellStyle name="20% - Accent1 28 2" xfId="336"/>
    <cellStyle name="20% - Accent1 28 2 2" xfId="12536"/>
    <cellStyle name="20% - Accent1 29" xfId="300"/>
    <cellStyle name="20% - Accent1 29 2" xfId="289"/>
    <cellStyle name="20% - Accent1 29 2 2" xfId="12548"/>
    <cellStyle name="20% - Accent1 3" xfId="2"/>
    <cellStyle name="20% - Accent1 3 2" xfId="424"/>
    <cellStyle name="20% - Accent1 3 2 2" xfId="12236"/>
    <cellStyle name="20% - Accent1 3 3" xfId="416"/>
    <cellStyle name="20% - Accent1 3 4" xfId="8404"/>
    <cellStyle name="20% - Accent1 3 5" xfId="295"/>
    <cellStyle name="20% - Accent1 30" xfId="290"/>
    <cellStyle name="20% - Accent1 30 2" xfId="312"/>
    <cellStyle name="20% - Accent1 30 2 2" xfId="12560"/>
    <cellStyle name="20% - Accent1 31" xfId="285"/>
    <cellStyle name="20% - Accent1 31 2" xfId="369"/>
    <cellStyle name="20% - Accent1 31 2 2" xfId="12572"/>
    <cellStyle name="20% - Accent1 32" xfId="372"/>
    <cellStyle name="20% - Accent1 32 2" xfId="284"/>
    <cellStyle name="20% - Accent1 32 2 2" xfId="12584"/>
    <cellStyle name="20% - Accent1 33" xfId="141"/>
    <cellStyle name="20% - Accent1 33 2" xfId="293"/>
    <cellStyle name="20% - Accent1 33 2 2" xfId="12596"/>
    <cellStyle name="20% - Accent1 34" xfId="297"/>
    <cellStyle name="20% - Accent1 34 2" xfId="301"/>
    <cellStyle name="20% - Accent1 34 2 2" xfId="12608"/>
    <cellStyle name="20% - Accent1 35" xfId="305"/>
    <cellStyle name="20% - Accent1 35 2" xfId="337"/>
    <cellStyle name="20% - Accent1 35 2 2" xfId="12620"/>
    <cellStyle name="20% - Accent1 36" xfId="380"/>
    <cellStyle name="20% - Accent1 36 2" xfId="421"/>
    <cellStyle name="20% - Accent1 36 2 2" xfId="12632"/>
    <cellStyle name="20% - Accent1 37" xfId="433"/>
    <cellStyle name="20% - Accent1 37 2" xfId="274"/>
    <cellStyle name="20% - Accent1 37 2 2" xfId="12644"/>
    <cellStyle name="20% - Accent1 38" xfId="302"/>
    <cellStyle name="20% - Accent1 38 2" xfId="306"/>
    <cellStyle name="20% - Accent1 38 2 2" xfId="12656"/>
    <cellStyle name="20% - Accent1 39" xfId="385"/>
    <cellStyle name="20% - Accent1 39 2" xfId="388"/>
    <cellStyle name="20% - Accent1 39 2 2" xfId="12668"/>
    <cellStyle name="20% - Accent1 4" xfId="129"/>
    <cellStyle name="20% - Accent1 4 2" xfId="373"/>
    <cellStyle name="20% - Accent1 4 2 2" xfId="12248"/>
    <cellStyle name="20% - Accent1 4 3" xfId="8349"/>
    <cellStyle name="20% - Accent1 4 4" xfId="370"/>
    <cellStyle name="20% - Accent1 40" xfId="338"/>
    <cellStyle name="20% - Accent1 40 2" xfId="417"/>
    <cellStyle name="20% - Accent1 40 2 2" xfId="12680"/>
    <cellStyle name="20% - Accent1 40 3" xfId="12206"/>
    <cellStyle name="20% - Accent1 41" xfId="278"/>
    <cellStyle name="20% - Accent1 41 2" xfId="280"/>
    <cellStyle name="20% - Accent1 41 2 2" xfId="12692"/>
    <cellStyle name="20% - Accent1 41 3" xfId="12220"/>
    <cellStyle name="20% - Accent1 42" xfId="282"/>
    <cellStyle name="20% - Accent1 42 2" xfId="12704"/>
    <cellStyle name="20% - Accent1 43" xfId="273"/>
    <cellStyle name="20% - Accent1 43 2" xfId="12716"/>
    <cellStyle name="20% - Accent1 44" xfId="339"/>
    <cellStyle name="20% - Accent1 44 2" xfId="12728"/>
    <cellStyle name="20% - Accent1 45" xfId="396"/>
    <cellStyle name="20% - Accent1 45 2" xfId="12740"/>
    <cellStyle name="20% - Accent1 46" xfId="340"/>
    <cellStyle name="20% - Accent1 46 2" xfId="12752"/>
    <cellStyle name="20% - Accent1 47" xfId="341"/>
    <cellStyle name="20% - Accent1 47 2" xfId="12764"/>
    <cellStyle name="20% - Accent1 48" xfId="342"/>
    <cellStyle name="20% - Accent1 48 2" xfId="12776"/>
    <cellStyle name="20% - Accent1 49" xfId="343"/>
    <cellStyle name="20% - Accent1 49 2" xfId="12788"/>
    <cellStyle name="20% - Accent1 5" xfId="344"/>
    <cellStyle name="20% - Accent1 5 2" xfId="345"/>
    <cellStyle name="20% - Accent1 5 2 2" xfId="12260"/>
    <cellStyle name="20% - Accent1 50" xfId="346"/>
    <cellStyle name="20% - Accent1 50 2" xfId="12800"/>
    <cellStyle name="20% - Accent1 51" xfId="386"/>
    <cellStyle name="20% - Accent1 51 2" xfId="12812"/>
    <cellStyle name="20% - Accent1 52" xfId="389"/>
    <cellStyle name="20% - Accent1 52 2" xfId="12824"/>
    <cellStyle name="20% - Accent1 53" xfId="347"/>
    <cellStyle name="20% - Accent1 53 2" xfId="12836"/>
    <cellStyle name="20% - Accent1 54" xfId="348"/>
    <cellStyle name="20% - Accent1 54 2" xfId="12848"/>
    <cellStyle name="20% - Accent1 55" xfId="349"/>
    <cellStyle name="20% - Accent1 55 2" xfId="12860"/>
    <cellStyle name="20% - Accent1 56" xfId="350"/>
    <cellStyle name="20% - Accent1 56 2" xfId="12872"/>
    <cellStyle name="20% - Accent1 57" xfId="351"/>
    <cellStyle name="20% - Accent1 57 2" xfId="12884"/>
    <cellStyle name="20% - Accent1 58" xfId="352"/>
    <cellStyle name="20% - Accent1 58 2" xfId="12896"/>
    <cellStyle name="20% - Accent1 59" xfId="353"/>
    <cellStyle name="20% - Accent1 59 2" xfId="12908"/>
    <cellStyle name="20% - Accent1 6" xfId="354"/>
    <cellStyle name="20% - Accent1 6 2" xfId="355"/>
    <cellStyle name="20% - Accent1 6 2 2" xfId="12272"/>
    <cellStyle name="20% - Accent1 60" xfId="356"/>
    <cellStyle name="20% - Accent1 60 2" xfId="12920"/>
    <cellStyle name="20% - Accent1 61" xfId="357"/>
    <cellStyle name="20% - Accent1 61 2" xfId="12932"/>
    <cellStyle name="20% - Accent1 62" xfId="358"/>
    <cellStyle name="20% - Accent1 62 2" xfId="12944"/>
    <cellStyle name="20% - Accent1 63" xfId="359"/>
    <cellStyle name="20% - Accent1 63 2" xfId="12956"/>
    <cellStyle name="20% - Accent1 64" xfId="360"/>
    <cellStyle name="20% - Accent1 64 2" xfId="12968"/>
    <cellStyle name="20% - Accent1 65" xfId="361"/>
    <cellStyle name="20% - Accent1 65 2" xfId="12980"/>
    <cellStyle name="20% - Accent1 66" xfId="362"/>
    <cellStyle name="20% - Accent1 66 2" xfId="12992"/>
    <cellStyle name="20% - Accent1 67" xfId="363"/>
    <cellStyle name="20% - Accent1 67 2" xfId="13004"/>
    <cellStyle name="20% - Accent1 68" xfId="364"/>
    <cellStyle name="20% - Accent1 68 2" xfId="13016"/>
    <cellStyle name="20% - Accent1 69" xfId="365"/>
    <cellStyle name="20% - Accent1 69 2" xfId="13028"/>
    <cellStyle name="20% - Accent1 7" xfId="410"/>
    <cellStyle name="20% - Accent1 7 2" xfId="277"/>
    <cellStyle name="20% - Accent1 7 2 2" xfId="12284"/>
    <cellStyle name="20% - Accent1 70" xfId="397"/>
    <cellStyle name="20% - Accent1 70 2" xfId="13040"/>
    <cellStyle name="20% - Accent1 71" xfId="379"/>
    <cellStyle name="20% - Accent1 71 2" xfId="13052"/>
    <cellStyle name="20% - Accent1 72" xfId="415"/>
    <cellStyle name="20% - Accent1 72 2" xfId="13064"/>
    <cellStyle name="20% - Accent1 73" xfId="276"/>
    <cellStyle name="20% - Accent1 73 2" xfId="13076"/>
    <cellStyle name="20% - Accent1 74" xfId="429"/>
    <cellStyle name="20% - Accent1 74 2" xfId="13088"/>
    <cellStyle name="20% - Accent1 75" xfId="409"/>
    <cellStyle name="20% - Accent1 75 2" xfId="13100"/>
    <cellStyle name="20% - Accent1 76" xfId="399"/>
    <cellStyle name="20% - Accent1 76 2" xfId="13112"/>
    <cellStyle name="20% - Accent1 77" xfId="403"/>
    <cellStyle name="20% - Accent1 77 2" xfId="13124"/>
    <cellStyle name="20% - Accent1 78" xfId="413"/>
    <cellStyle name="20% - Accent1 78 2" xfId="13136"/>
    <cellStyle name="20% - Accent1 79" xfId="298"/>
    <cellStyle name="20% - Accent1 79 2" xfId="13148"/>
    <cellStyle name="20% - Accent1 8" xfId="294"/>
    <cellStyle name="20% - Accent1 8 2" xfId="411"/>
    <cellStyle name="20% - Accent1 8 2 2" xfId="12296"/>
    <cellStyle name="20% - Accent1 80" xfId="381"/>
    <cellStyle name="20% - Accent1 80 2" xfId="13160"/>
    <cellStyle name="20% - Accent1 81" xfId="431"/>
    <cellStyle name="20% - Accent1 81 2" xfId="13172"/>
    <cellStyle name="20% - Accent1 82" xfId="405"/>
    <cellStyle name="20% - Accent1 82 2" xfId="13184"/>
    <cellStyle name="20% - Accent1 83" xfId="281"/>
    <cellStyle name="20% - Accent1 83 2" xfId="13196"/>
    <cellStyle name="20% - Accent1 84" xfId="269"/>
    <cellStyle name="20% - Accent1 84 2" xfId="13208"/>
    <cellStyle name="20% - Accent1 85" xfId="423"/>
    <cellStyle name="20% - Accent1 85 2" xfId="12110"/>
    <cellStyle name="20% - Accent1 86" xfId="318"/>
    <cellStyle name="20% - Accent1 87" xfId="8323"/>
    <cellStyle name="20% - Accent1 88" xfId="8336"/>
    <cellStyle name="20% - Accent1 89" xfId="8406"/>
    <cellStyle name="20% - Accent1 9" xfId="419"/>
    <cellStyle name="20% - Accent1 9 2" xfId="142"/>
    <cellStyle name="20% - Accent1 9 2 2" xfId="12308"/>
    <cellStyle name="20% - Accent1 90" xfId="12090"/>
    <cellStyle name="20% - Accent1 91" xfId="12157"/>
    <cellStyle name="20% - Accent1 92" xfId="12176"/>
    <cellStyle name="20% - Accent1 93" xfId="12164"/>
    <cellStyle name="20% - Accent2" xfId="108" builtinId="34" customBuiltin="1"/>
    <cellStyle name="20% - Accent2 10" xfId="404"/>
    <cellStyle name="20% - Accent2 10 2" xfId="283"/>
    <cellStyle name="20% - Accent2 10 2 2" xfId="12322"/>
    <cellStyle name="20% - Accent2 11" xfId="438"/>
    <cellStyle name="20% - Accent2 11 2" xfId="418"/>
    <cellStyle name="20% - Accent2 11 2 2" xfId="12334"/>
    <cellStyle name="20% - Accent2 12" xfId="401"/>
    <cellStyle name="20% - Accent2 12 2" xfId="275"/>
    <cellStyle name="20% - Accent2 12 2 2" xfId="12346"/>
    <cellStyle name="20% - Accent2 13" xfId="428"/>
    <cellStyle name="20% - Accent2 13 2" xfId="279"/>
    <cellStyle name="20% - Accent2 13 2 2" xfId="12358"/>
    <cellStyle name="20% - Accent2 14" xfId="426"/>
    <cellStyle name="20% - Accent2 14 2" xfId="432"/>
    <cellStyle name="20% - Accent2 14 2 2" xfId="12370"/>
    <cellStyle name="20% - Accent2 15" xfId="412"/>
    <cellStyle name="20% - Accent2 15 2" xfId="407"/>
    <cellStyle name="20% - Accent2 15 2 2" xfId="12382"/>
    <cellStyle name="20% - Accent2 16" xfId="427"/>
    <cellStyle name="20% - Accent2 16 2" xfId="425"/>
    <cellStyle name="20% - Accent2 16 2 2" xfId="12394"/>
    <cellStyle name="20% - Accent2 17" xfId="406"/>
    <cellStyle name="20% - Accent2 17 2" xfId="400"/>
    <cellStyle name="20% - Accent2 17 2 2" xfId="12406"/>
    <cellStyle name="20% - Accent2 18" xfId="434"/>
    <cellStyle name="20% - Accent2 18 2" xfId="435"/>
    <cellStyle name="20% - Accent2 18 2 2" xfId="12418"/>
    <cellStyle name="20% - Accent2 19" xfId="395"/>
    <cellStyle name="20% - Accent2 19 2" xfId="272"/>
    <cellStyle name="20% - Accent2 19 2 2" xfId="12430"/>
    <cellStyle name="20% - Accent2 2" xfId="3"/>
    <cellStyle name="20% - Accent2 2 10" xfId="442"/>
    <cellStyle name="20% - Accent2 2 11" xfId="443"/>
    <cellStyle name="20% - Accent2 2 12" xfId="444"/>
    <cellStyle name="20% - Accent2 2 13" xfId="441"/>
    <cellStyle name="20% - Accent2 2 2" xfId="445"/>
    <cellStyle name="20% - Accent2 2 2 2" xfId="446"/>
    <cellStyle name="20% - Accent2 2 2 2 2" xfId="12226"/>
    <cellStyle name="20% - Accent2 2 3" xfId="447"/>
    <cellStyle name="20% - Accent2 2 4" xfId="448"/>
    <cellStyle name="20% - Accent2 2 5" xfId="449"/>
    <cellStyle name="20% - Accent2 2 6" xfId="450"/>
    <cellStyle name="20% - Accent2 2 7" xfId="451"/>
    <cellStyle name="20% - Accent2 2 8" xfId="452"/>
    <cellStyle name="20% - Accent2 2 9" xfId="453"/>
    <cellStyle name="20% - Accent2 20" xfId="454"/>
    <cellStyle name="20% - Accent2 20 2" xfId="455"/>
    <cellStyle name="20% - Accent2 20 2 2" xfId="12442"/>
    <cellStyle name="20% - Accent2 21" xfId="456"/>
    <cellStyle name="20% - Accent2 21 2" xfId="457"/>
    <cellStyle name="20% - Accent2 21 2 2" xfId="12454"/>
    <cellStyle name="20% - Accent2 22" xfId="458"/>
    <cellStyle name="20% - Accent2 22 2" xfId="459"/>
    <cellStyle name="20% - Accent2 22 2 2" xfId="12466"/>
    <cellStyle name="20% - Accent2 23" xfId="460"/>
    <cellStyle name="20% - Accent2 23 2" xfId="461"/>
    <cellStyle name="20% - Accent2 23 2 2" xfId="12478"/>
    <cellStyle name="20% - Accent2 24" xfId="462"/>
    <cellStyle name="20% - Accent2 24 2" xfId="463"/>
    <cellStyle name="20% - Accent2 24 2 2" xfId="12490"/>
    <cellStyle name="20% - Accent2 25" xfId="464"/>
    <cellStyle name="20% - Accent2 25 2" xfId="465"/>
    <cellStyle name="20% - Accent2 25 2 2" xfId="12502"/>
    <cellStyle name="20% - Accent2 26" xfId="466"/>
    <cellStyle name="20% - Accent2 26 2" xfId="467"/>
    <cellStyle name="20% - Accent2 26 2 2" xfId="12514"/>
    <cellStyle name="20% - Accent2 27" xfId="468"/>
    <cellStyle name="20% - Accent2 27 2" xfId="469"/>
    <cellStyle name="20% - Accent2 27 2 2" xfId="12526"/>
    <cellStyle name="20% - Accent2 28" xfId="470"/>
    <cellStyle name="20% - Accent2 28 2" xfId="471"/>
    <cellStyle name="20% - Accent2 28 2 2" xfId="12538"/>
    <cellStyle name="20% - Accent2 29" xfId="472"/>
    <cellStyle name="20% - Accent2 29 2" xfId="473"/>
    <cellStyle name="20% - Accent2 29 2 2" xfId="12550"/>
    <cellStyle name="20% - Accent2 3" xfId="4"/>
    <cellStyle name="20% - Accent2 3 2" xfId="475"/>
    <cellStyle name="20% - Accent2 3 2 2" xfId="12238"/>
    <cellStyle name="20% - Accent2 3 3" xfId="476"/>
    <cellStyle name="20% - Accent2 3 4" xfId="8403"/>
    <cellStyle name="20% - Accent2 3 5" xfId="474"/>
    <cellStyle name="20% - Accent2 30" xfId="477"/>
    <cellStyle name="20% - Accent2 30 2" xfId="478"/>
    <cellStyle name="20% - Accent2 30 2 2" xfId="12562"/>
    <cellStyle name="20% - Accent2 31" xfId="479"/>
    <cellStyle name="20% - Accent2 31 2" xfId="480"/>
    <cellStyle name="20% - Accent2 31 2 2" xfId="12574"/>
    <cellStyle name="20% - Accent2 32" xfId="481"/>
    <cellStyle name="20% - Accent2 32 2" xfId="482"/>
    <cellStyle name="20% - Accent2 32 2 2" xfId="12586"/>
    <cellStyle name="20% - Accent2 33" xfId="483"/>
    <cellStyle name="20% - Accent2 33 2" xfId="484"/>
    <cellStyle name="20% - Accent2 33 2 2" xfId="12598"/>
    <cellStyle name="20% - Accent2 34" xfId="485"/>
    <cellStyle name="20% - Accent2 34 2" xfId="486"/>
    <cellStyle name="20% - Accent2 34 2 2" xfId="12610"/>
    <cellStyle name="20% - Accent2 35" xfId="487"/>
    <cellStyle name="20% - Accent2 35 2" xfId="488"/>
    <cellStyle name="20% - Accent2 35 2 2" xfId="12622"/>
    <cellStyle name="20% - Accent2 36" xfId="489"/>
    <cellStyle name="20% - Accent2 36 2" xfId="490"/>
    <cellStyle name="20% - Accent2 36 2 2" xfId="12634"/>
    <cellStyle name="20% - Accent2 37" xfId="491"/>
    <cellStyle name="20% - Accent2 37 2" xfId="492"/>
    <cellStyle name="20% - Accent2 37 2 2" xfId="12646"/>
    <cellStyle name="20% - Accent2 38" xfId="493"/>
    <cellStyle name="20% - Accent2 38 2" xfId="494"/>
    <cellStyle name="20% - Accent2 38 2 2" xfId="12658"/>
    <cellStyle name="20% - Accent2 39" xfId="495"/>
    <cellStyle name="20% - Accent2 39 2" xfId="496"/>
    <cellStyle name="20% - Accent2 39 2 2" xfId="12670"/>
    <cellStyle name="20% - Accent2 4" xfId="131"/>
    <cellStyle name="20% - Accent2 4 2" xfId="498"/>
    <cellStyle name="20% - Accent2 4 2 2" xfId="12250"/>
    <cellStyle name="20% - Accent2 4 3" xfId="8347"/>
    <cellStyle name="20% - Accent2 4 4" xfId="497"/>
    <cellStyle name="20% - Accent2 40" xfId="499"/>
    <cellStyle name="20% - Accent2 40 2" xfId="500"/>
    <cellStyle name="20% - Accent2 40 2 2" xfId="12682"/>
    <cellStyle name="20% - Accent2 40 3" xfId="12208"/>
    <cellStyle name="20% - Accent2 41" xfId="501"/>
    <cellStyle name="20% - Accent2 41 2" xfId="12694"/>
    <cellStyle name="20% - Accent2 42" xfId="502"/>
    <cellStyle name="20% - Accent2 42 2" xfId="12706"/>
    <cellStyle name="20% - Accent2 43" xfId="503"/>
    <cellStyle name="20% - Accent2 43 2" xfId="12718"/>
    <cellStyle name="20% - Accent2 44" xfId="504"/>
    <cellStyle name="20% - Accent2 44 2" xfId="12730"/>
    <cellStyle name="20% - Accent2 45" xfId="505"/>
    <cellStyle name="20% - Accent2 45 2" xfId="12742"/>
    <cellStyle name="20% - Accent2 46" xfId="506"/>
    <cellStyle name="20% - Accent2 46 2" xfId="12754"/>
    <cellStyle name="20% - Accent2 47" xfId="507"/>
    <cellStyle name="20% - Accent2 47 2" xfId="12766"/>
    <cellStyle name="20% - Accent2 48" xfId="508"/>
    <cellStyle name="20% - Accent2 48 2" xfId="12778"/>
    <cellStyle name="20% - Accent2 49" xfId="509"/>
    <cellStyle name="20% - Accent2 49 2" xfId="12790"/>
    <cellStyle name="20% - Accent2 5" xfId="510"/>
    <cellStyle name="20% - Accent2 5 2" xfId="511"/>
    <cellStyle name="20% - Accent2 5 2 2" xfId="12262"/>
    <cellStyle name="20% - Accent2 50" xfId="512"/>
    <cellStyle name="20% - Accent2 50 2" xfId="12802"/>
    <cellStyle name="20% - Accent2 51" xfId="513"/>
    <cellStyle name="20% - Accent2 51 2" xfId="12814"/>
    <cellStyle name="20% - Accent2 52" xfId="514"/>
    <cellStyle name="20% - Accent2 52 2" xfId="12826"/>
    <cellStyle name="20% - Accent2 53" xfId="515"/>
    <cellStyle name="20% - Accent2 53 2" xfId="12838"/>
    <cellStyle name="20% - Accent2 54" xfId="516"/>
    <cellStyle name="20% - Accent2 54 2" xfId="12850"/>
    <cellStyle name="20% - Accent2 55" xfId="517"/>
    <cellStyle name="20% - Accent2 55 2" xfId="12862"/>
    <cellStyle name="20% - Accent2 56" xfId="518"/>
    <cellStyle name="20% - Accent2 56 2" xfId="12874"/>
    <cellStyle name="20% - Accent2 57" xfId="519"/>
    <cellStyle name="20% - Accent2 57 2" xfId="12886"/>
    <cellStyle name="20% - Accent2 58" xfId="520"/>
    <cellStyle name="20% - Accent2 58 2" xfId="12898"/>
    <cellStyle name="20% - Accent2 59" xfId="521"/>
    <cellStyle name="20% - Accent2 59 2" xfId="12910"/>
    <cellStyle name="20% - Accent2 6" xfId="522"/>
    <cellStyle name="20% - Accent2 6 2" xfId="523"/>
    <cellStyle name="20% - Accent2 6 2 2" xfId="12274"/>
    <cellStyle name="20% - Accent2 60" xfId="524"/>
    <cellStyle name="20% - Accent2 60 2" xfId="12922"/>
    <cellStyle name="20% - Accent2 61" xfId="525"/>
    <cellStyle name="20% - Accent2 61 2" xfId="12934"/>
    <cellStyle name="20% - Accent2 62" xfId="526"/>
    <cellStyle name="20% - Accent2 62 2" xfId="12946"/>
    <cellStyle name="20% - Accent2 63" xfId="527"/>
    <cellStyle name="20% - Accent2 63 2" xfId="12958"/>
    <cellStyle name="20% - Accent2 64" xfId="528"/>
    <cellStyle name="20% - Accent2 64 2" xfId="12970"/>
    <cellStyle name="20% - Accent2 65" xfId="529"/>
    <cellStyle name="20% - Accent2 65 2" xfId="12982"/>
    <cellStyle name="20% - Accent2 66" xfId="530"/>
    <cellStyle name="20% - Accent2 66 2" xfId="12994"/>
    <cellStyle name="20% - Accent2 67" xfId="531"/>
    <cellStyle name="20% - Accent2 67 2" xfId="13006"/>
    <cellStyle name="20% - Accent2 68" xfId="532"/>
    <cellStyle name="20% - Accent2 68 2" xfId="13018"/>
    <cellStyle name="20% - Accent2 69" xfId="533"/>
    <cellStyle name="20% - Accent2 69 2" xfId="13030"/>
    <cellStyle name="20% - Accent2 7" xfId="534"/>
    <cellStyle name="20% - Accent2 7 2" xfId="535"/>
    <cellStyle name="20% - Accent2 7 2 2" xfId="12286"/>
    <cellStyle name="20% - Accent2 70" xfId="536"/>
    <cellStyle name="20% - Accent2 70 2" xfId="13042"/>
    <cellStyle name="20% - Accent2 71" xfId="537"/>
    <cellStyle name="20% - Accent2 71 2" xfId="13054"/>
    <cellStyle name="20% - Accent2 72" xfId="538"/>
    <cellStyle name="20% - Accent2 72 2" xfId="13066"/>
    <cellStyle name="20% - Accent2 73" xfId="539"/>
    <cellStyle name="20% - Accent2 73 2" xfId="13078"/>
    <cellStyle name="20% - Accent2 74" xfId="540"/>
    <cellStyle name="20% - Accent2 74 2" xfId="13090"/>
    <cellStyle name="20% - Accent2 75" xfId="541"/>
    <cellStyle name="20% - Accent2 75 2" xfId="13102"/>
    <cellStyle name="20% - Accent2 76" xfId="542"/>
    <cellStyle name="20% - Accent2 76 2" xfId="13114"/>
    <cellStyle name="20% - Accent2 77" xfId="543"/>
    <cellStyle name="20% - Accent2 77 2" xfId="13126"/>
    <cellStyle name="20% - Accent2 78" xfId="544"/>
    <cellStyle name="20% - Accent2 78 2" xfId="13138"/>
    <cellStyle name="20% - Accent2 79" xfId="545"/>
    <cellStyle name="20% - Accent2 79 2" xfId="13150"/>
    <cellStyle name="20% - Accent2 8" xfId="546"/>
    <cellStyle name="20% - Accent2 8 2" xfId="547"/>
    <cellStyle name="20% - Accent2 8 2 2" xfId="12298"/>
    <cellStyle name="20% - Accent2 80" xfId="548"/>
    <cellStyle name="20% - Accent2 80 2" xfId="13162"/>
    <cellStyle name="20% - Accent2 81" xfId="549"/>
    <cellStyle name="20% - Accent2 81 2" xfId="13174"/>
    <cellStyle name="20% - Accent2 82" xfId="550"/>
    <cellStyle name="20% - Accent2 82 2" xfId="13186"/>
    <cellStyle name="20% - Accent2 83" xfId="551"/>
    <cellStyle name="20% - Accent2 83 2" xfId="13198"/>
    <cellStyle name="20% - Accent2 84" xfId="552"/>
    <cellStyle name="20% - Accent2 84 2" xfId="13210"/>
    <cellStyle name="20% - Accent2 85" xfId="553"/>
    <cellStyle name="20% - Accent2 85 2" xfId="12112"/>
    <cellStyle name="20% - Accent2 86" xfId="414"/>
    <cellStyle name="20% - Accent2 9" xfId="554"/>
    <cellStyle name="20% - Accent2 9 2" xfId="555"/>
    <cellStyle name="20% - Accent2 9 2 2" xfId="12310"/>
    <cellStyle name="20% - Accent3" xfId="112" builtinId="38" customBuiltin="1"/>
    <cellStyle name="20% - Accent3 10" xfId="557"/>
    <cellStyle name="20% - Accent3 10 2" xfId="558"/>
    <cellStyle name="20% - Accent3 10 2 2" xfId="12324"/>
    <cellStyle name="20% - Accent3 11" xfId="559"/>
    <cellStyle name="20% - Accent3 11 2" xfId="560"/>
    <cellStyle name="20% - Accent3 11 2 2" xfId="12336"/>
    <cellStyle name="20% - Accent3 12" xfId="561"/>
    <cellStyle name="20% - Accent3 12 2" xfId="562"/>
    <cellStyle name="20% - Accent3 12 2 2" xfId="12348"/>
    <cellStyle name="20% - Accent3 13" xfId="563"/>
    <cellStyle name="20% - Accent3 13 2" xfId="564"/>
    <cellStyle name="20% - Accent3 13 2 2" xfId="12360"/>
    <cellStyle name="20% - Accent3 14" xfId="565"/>
    <cellStyle name="20% - Accent3 14 2" xfId="566"/>
    <cellStyle name="20% - Accent3 14 2 2" xfId="12372"/>
    <cellStyle name="20% - Accent3 15" xfId="567"/>
    <cellStyle name="20% - Accent3 15 2" xfId="568"/>
    <cellStyle name="20% - Accent3 15 2 2" xfId="12384"/>
    <cellStyle name="20% - Accent3 16" xfId="569"/>
    <cellStyle name="20% - Accent3 16 2" xfId="570"/>
    <cellStyle name="20% - Accent3 16 2 2" xfId="12396"/>
    <cellStyle name="20% - Accent3 17" xfId="571"/>
    <cellStyle name="20% - Accent3 17 2" xfId="572"/>
    <cellStyle name="20% - Accent3 17 2 2" xfId="12408"/>
    <cellStyle name="20% - Accent3 18" xfId="573"/>
    <cellStyle name="20% - Accent3 18 2" xfId="574"/>
    <cellStyle name="20% - Accent3 18 2 2" xfId="12420"/>
    <cellStyle name="20% - Accent3 19" xfId="575"/>
    <cellStyle name="20% - Accent3 19 2" xfId="576"/>
    <cellStyle name="20% - Accent3 19 2 2" xfId="12432"/>
    <cellStyle name="20% - Accent3 2" xfId="5"/>
    <cellStyle name="20% - Accent3 2 10" xfId="578"/>
    <cellStyle name="20% - Accent3 2 11" xfId="579"/>
    <cellStyle name="20% - Accent3 2 12" xfId="580"/>
    <cellStyle name="20% - Accent3 2 13" xfId="577"/>
    <cellStyle name="20% - Accent3 2 2" xfId="581"/>
    <cellStyle name="20% - Accent3 2 2 2" xfId="582"/>
    <cellStyle name="20% - Accent3 2 2 2 2" xfId="12228"/>
    <cellStyle name="20% - Accent3 2 3" xfId="583"/>
    <cellStyle name="20% - Accent3 2 4" xfId="584"/>
    <cellStyle name="20% - Accent3 2 5" xfId="585"/>
    <cellStyle name="20% - Accent3 2 6" xfId="586"/>
    <cellStyle name="20% - Accent3 2 7" xfId="587"/>
    <cellStyle name="20% - Accent3 2 8" xfId="588"/>
    <cellStyle name="20% - Accent3 2 9" xfId="589"/>
    <cellStyle name="20% - Accent3 2_Q410 Novosibirsk" xfId="590"/>
    <cellStyle name="20% - Accent3 20" xfId="591"/>
    <cellStyle name="20% - Accent3 20 2" xfId="592"/>
    <cellStyle name="20% - Accent3 20 2 2" xfId="12444"/>
    <cellStyle name="20% - Accent3 21" xfId="593"/>
    <cellStyle name="20% - Accent3 21 2" xfId="594"/>
    <cellStyle name="20% - Accent3 21 2 2" xfId="12456"/>
    <cellStyle name="20% - Accent3 22" xfId="595"/>
    <cellStyle name="20% - Accent3 22 2" xfId="596"/>
    <cellStyle name="20% - Accent3 22 2 2" xfId="12468"/>
    <cellStyle name="20% - Accent3 23" xfId="597"/>
    <cellStyle name="20% - Accent3 23 2" xfId="598"/>
    <cellStyle name="20% - Accent3 23 2 2" xfId="12480"/>
    <cellStyle name="20% - Accent3 24" xfId="599"/>
    <cellStyle name="20% - Accent3 24 2" xfId="600"/>
    <cellStyle name="20% - Accent3 24 2 2" xfId="12492"/>
    <cellStyle name="20% - Accent3 25" xfId="601"/>
    <cellStyle name="20% - Accent3 25 2" xfId="602"/>
    <cellStyle name="20% - Accent3 25 2 2" xfId="12504"/>
    <cellStyle name="20% - Accent3 26" xfId="603"/>
    <cellStyle name="20% - Accent3 26 2" xfId="604"/>
    <cellStyle name="20% - Accent3 26 2 2" xfId="12516"/>
    <cellStyle name="20% - Accent3 27" xfId="605"/>
    <cellStyle name="20% - Accent3 27 2" xfId="606"/>
    <cellStyle name="20% - Accent3 27 2 2" xfId="12528"/>
    <cellStyle name="20% - Accent3 28" xfId="607"/>
    <cellStyle name="20% - Accent3 28 2" xfId="608"/>
    <cellStyle name="20% - Accent3 28 2 2" xfId="12540"/>
    <cellStyle name="20% - Accent3 29" xfId="609"/>
    <cellStyle name="20% - Accent3 29 2" xfId="610"/>
    <cellStyle name="20% - Accent3 29 2 2" xfId="12552"/>
    <cellStyle name="20% - Accent3 3" xfId="6"/>
    <cellStyle name="20% - Accent3 3 2" xfId="612"/>
    <cellStyle name="20% - Accent3 3 2 2" xfId="12240"/>
    <cellStyle name="20% - Accent3 3 3" xfId="613"/>
    <cellStyle name="20% - Accent3 3 4" xfId="8402"/>
    <cellStyle name="20% - Accent3 3 5" xfId="611"/>
    <cellStyle name="20% - Accent3 30" xfId="614"/>
    <cellStyle name="20% - Accent3 30 2" xfId="615"/>
    <cellStyle name="20% - Accent3 30 2 2" xfId="12564"/>
    <cellStyle name="20% - Accent3 31" xfId="616"/>
    <cellStyle name="20% - Accent3 31 2" xfId="617"/>
    <cellStyle name="20% - Accent3 31 2 2" xfId="12576"/>
    <cellStyle name="20% - Accent3 32" xfId="618"/>
    <cellStyle name="20% - Accent3 32 2" xfId="619"/>
    <cellStyle name="20% - Accent3 32 2 2" xfId="12588"/>
    <cellStyle name="20% - Accent3 33" xfId="620"/>
    <cellStyle name="20% - Accent3 33 2" xfId="621"/>
    <cellStyle name="20% - Accent3 33 2 2" xfId="12600"/>
    <cellStyle name="20% - Accent3 34" xfId="622"/>
    <cellStyle name="20% - Accent3 34 2" xfId="623"/>
    <cellStyle name="20% - Accent3 34 2 2" xfId="12612"/>
    <cellStyle name="20% - Accent3 35" xfId="624"/>
    <cellStyle name="20% - Accent3 35 2" xfId="625"/>
    <cellStyle name="20% - Accent3 35 2 2" xfId="12624"/>
    <cellStyle name="20% - Accent3 36" xfId="626"/>
    <cellStyle name="20% - Accent3 36 2" xfId="627"/>
    <cellStyle name="20% - Accent3 36 2 2" xfId="12636"/>
    <cellStyle name="20% - Accent3 37" xfId="628"/>
    <cellStyle name="20% - Accent3 37 2" xfId="629"/>
    <cellStyle name="20% - Accent3 37 2 2" xfId="12648"/>
    <cellStyle name="20% - Accent3 38" xfId="630"/>
    <cellStyle name="20% - Accent3 38 2" xfId="631"/>
    <cellStyle name="20% - Accent3 38 2 2" xfId="12660"/>
    <cellStyle name="20% - Accent3 39" xfId="632"/>
    <cellStyle name="20% - Accent3 39 2" xfId="633"/>
    <cellStyle name="20% - Accent3 39 2 2" xfId="12672"/>
    <cellStyle name="20% - Accent3 4" xfId="133"/>
    <cellStyle name="20% - Accent3 4 2" xfId="635"/>
    <cellStyle name="20% - Accent3 4 2 2" xfId="12252"/>
    <cellStyle name="20% - Accent3 4 3" xfId="8345"/>
    <cellStyle name="20% - Accent3 4 4" xfId="634"/>
    <cellStyle name="20% - Accent3 40" xfId="636"/>
    <cellStyle name="20% - Accent3 40 2" xfId="637"/>
    <cellStyle name="20% - Accent3 40 2 2" xfId="12684"/>
    <cellStyle name="20% - Accent3 40 3" xfId="12210"/>
    <cellStyle name="20% - Accent3 41" xfId="638"/>
    <cellStyle name="20% - Accent3 41 2" xfId="639"/>
    <cellStyle name="20% - Accent3 41 2 2" xfId="12696"/>
    <cellStyle name="20% - Accent3 41 3" xfId="12221"/>
    <cellStyle name="20% - Accent3 42" xfId="640"/>
    <cellStyle name="20% - Accent3 42 2" xfId="12708"/>
    <cellStyle name="20% - Accent3 43" xfId="641"/>
    <cellStyle name="20% - Accent3 43 2" xfId="12720"/>
    <cellStyle name="20% - Accent3 44" xfId="642"/>
    <cellStyle name="20% - Accent3 44 2" xfId="12732"/>
    <cellStyle name="20% - Accent3 45" xfId="643"/>
    <cellStyle name="20% - Accent3 45 2" xfId="12744"/>
    <cellStyle name="20% - Accent3 46" xfId="644"/>
    <cellStyle name="20% - Accent3 46 2" xfId="12756"/>
    <cellStyle name="20% - Accent3 47" xfId="645"/>
    <cellStyle name="20% - Accent3 47 2" xfId="12768"/>
    <cellStyle name="20% - Accent3 48" xfId="646"/>
    <cellStyle name="20% - Accent3 48 2" xfId="12780"/>
    <cellStyle name="20% - Accent3 49" xfId="647"/>
    <cellStyle name="20% - Accent3 49 2" xfId="12792"/>
    <cellStyle name="20% - Accent3 5" xfId="648"/>
    <cellStyle name="20% - Accent3 5 2" xfId="649"/>
    <cellStyle name="20% - Accent3 5 2 2" xfId="12264"/>
    <cellStyle name="20% - Accent3 50" xfId="650"/>
    <cellStyle name="20% - Accent3 50 2" xfId="12804"/>
    <cellStyle name="20% - Accent3 51" xfId="651"/>
    <cellStyle name="20% - Accent3 51 2" xfId="12816"/>
    <cellStyle name="20% - Accent3 52" xfId="652"/>
    <cellStyle name="20% - Accent3 52 2" xfId="12828"/>
    <cellStyle name="20% - Accent3 53" xfId="653"/>
    <cellStyle name="20% - Accent3 53 2" xfId="12840"/>
    <cellStyle name="20% - Accent3 54" xfId="654"/>
    <cellStyle name="20% - Accent3 54 2" xfId="12852"/>
    <cellStyle name="20% - Accent3 55" xfId="655"/>
    <cellStyle name="20% - Accent3 55 2" xfId="12864"/>
    <cellStyle name="20% - Accent3 56" xfId="656"/>
    <cellStyle name="20% - Accent3 56 2" xfId="12876"/>
    <cellStyle name="20% - Accent3 57" xfId="657"/>
    <cellStyle name="20% - Accent3 57 2" xfId="12888"/>
    <cellStyle name="20% - Accent3 58" xfId="658"/>
    <cellStyle name="20% - Accent3 58 2" xfId="12900"/>
    <cellStyle name="20% - Accent3 59" xfId="659"/>
    <cellStyle name="20% - Accent3 59 2" xfId="12912"/>
    <cellStyle name="20% - Accent3 6" xfId="660"/>
    <cellStyle name="20% - Accent3 6 2" xfId="661"/>
    <cellStyle name="20% - Accent3 6 2 2" xfId="12276"/>
    <cellStyle name="20% - Accent3 60" xfId="662"/>
    <cellStyle name="20% - Accent3 60 2" xfId="12924"/>
    <cellStyle name="20% - Accent3 61" xfId="663"/>
    <cellStyle name="20% - Accent3 61 2" xfId="12936"/>
    <cellStyle name="20% - Accent3 62" xfId="664"/>
    <cellStyle name="20% - Accent3 62 2" xfId="12948"/>
    <cellStyle name="20% - Accent3 63" xfId="665"/>
    <cellStyle name="20% - Accent3 63 2" xfId="12960"/>
    <cellStyle name="20% - Accent3 64" xfId="666"/>
    <cellStyle name="20% - Accent3 64 2" xfId="12972"/>
    <cellStyle name="20% - Accent3 65" xfId="667"/>
    <cellStyle name="20% - Accent3 65 2" xfId="12984"/>
    <cellStyle name="20% - Accent3 66" xfId="668"/>
    <cellStyle name="20% - Accent3 66 2" xfId="12996"/>
    <cellStyle name="20% - Accent3 67" xfId="669"/>
    <cellStyle name="20% - Accent3 67 2" xfId="13008"/>
    <cellStyle name="20% - Accent3 68" xfId="670"/>
    <cellStyle name="20% - Accent3 68 2" xfId="13020"/>
    <cellStyle name="20% - Accent3 69" xfId="671"/>
    <cellStyle name="20% - Accent3 69 2" xfId="13032"/>
    <cellStyle name="20% - Accent3 7" xfId="672"/>
    <cellStyle name="20% - Accent3 7 2" xfId="673"/>
    <cellStyle name="20% - Accent3 7 2 2" xfId="12288"/>
    <cellStyle name="20% - Accent3 70" xfId="674"/>
    <cellStyle name="20% - Accent3 70 2" xfId="13044"/>
    <cellStyle name="20% - Accent3 71" xfId="675"/>
    <cellStyle name="20% - Accent3 71 2" xfId="13056"/>
    <cellStyle name="20% - Accent3 72" xfId="676"/>
    <cellStyle name="20% - Accent3 72 2" xfId="13068"/>
    <cellStyle name="20% - Accent3 73" xfId="677"/>
    <cellStyle name="20% - Accent3 73 2" xfId="13080"/>
    <cellStyle name="20% - Accent3 74" xfId="678"/>
    <cellStyle name="20% - Accent3 74 2" xfId="13092"/>
    <cellStyle name="20% - Accent3 75" xfId="679"/>
    <cellStyle name="20% - Accent3 75 2" xfId="13104"/>
    <cellStyle name="20% - Accent3 76" xfId="680"/>
    <cellStyle name="20% - Accent3 76 2" xfId="13116"/>
    <cellStyle name="20% - Accent3 77" xfId="681"/>
    <cellStyle name="20% - Accent3 77 2" xfId="13128"/>
    <cellStyle name="20% - Accent3 78" xfId="682"/>
    <cellStyle name="20% - Accent3 78 2" xfId="13140"/>
    <cellStyle name="20% - Accent3 79" xfId="683"/>
    <cellStyle name="20% - Accent3 79 2" xfId="13152"/>
    <cellStyle name="20% - Accent3 8" xfId="684"/>
    <cellStyle name="20% - Accent3 8 2" xfId="685"/>
    <cellStyle name="20% - Accent3 8 2 2" xfId="12300"/>
    <cellStyle name="20% - Accent3 80" xfId="686"/>
    <cellStyle name="20% - Accent3 80 2" xfId="13164"/>
    <cellStyle name="20% - Accent3 81" xfId="687"/>
    <cellStyle name="20% - Accent3 81 2" xfId="13176"/>
    <cellStyle name="20% - Accent3 82" xfId="688"/>
    <cellStyle name="20% - Accent3 82 2" xfId="13188"/>
    <cellStyle name="20% - Accent3 83" xfId="689"/>
    <cellStyle name="20% - Accent3 83 2" xfId="13200"/>
    <cellStyle name="20% - Accent3 84" xfId="690"/>
    <cellStyle name="20% - Accent3 84 2" xfId="13212"/>
    <cellStyle name="20% - Accent3 85" xfId="691"/>
    <cellStyle name="20% - Accent3 85 2" xfId="12114"/>
    <cellStyle name="20% - Accent3 86" xfId="556"/>
    <cellStyle name="20% - Accent3 87" xfId="8324"/>
    <cellStyle name="20% - Accent3 88" xfId="8335"/>
    <cellStyle name="20% - Accent3 89" xfId="8407"/>
    <cellStyle name="20% - Accent3 9" xfId="692"/>
    <cellStyle name="20% - Accent3 9 2" xfId="693"/>
    <cellStyle name="20% - Accent3 9 2 2" xfId="12312"/>
    <cellStyle name="20% - Accent3 90" xfId="12091"/>
    <cellStyle name="20% - Accent3 91" xfId="12158"/>
    <cellStyle name="20% - Accent3 92" xfId="12175"/>
    <cellStyle name="20% - Accent3 93" xfId="12177"/>
    <cellStyle name="20% - Accent4" xfId="116" builtinId="42" customBuiltin="1"/>
    <cellStyle name="20% - Accent4 10" xfId="695"/>
    <cellStyle name="20% - Accent4 10 2" xfId="696"/>
    <cellStyle name="20% - Accent4 10 2 2" xfId="12326"/>
    <cellStyle name="20% - Accent4 11" xfId="697"/>
    <cellStyle name="20% - Accent4 11 2" xfId="698"/>
    <cellStyle name="20% - Accent4 11 2 2" xfId="12338"/>
    <cellStyle name="20% - Accent4 12" xfId="699"/>
    <cellStyle name="20% - Accent4 12 2" xfId="700"/>
    <cellStyle name="20% - Accent4 12 2 2" xfId="12350"/>
    <cellStyle name="20% - Accent4 13" xfId="701"/>
    <cellStyle name="20% - Accent4 13 2" xfId="702"/>
    <cellStyle name="20% - Accent4 13 2 2" xfId="12362"/>
    <cellStyle name="20% - Accent4 14" xfId="703"/>
    <cellStyle name="20% - Accent4 14 2" xfId="704"/>
    <cellStyle name="20% - Accent4 14 2 2" xfId="12374"/>
    <cellStyle name="20% - Accent4 15" xfId="705"/>
    <cellStyle name="20% - Accent4 15 2" xfId="706"/>
    <cellStyle name="20% - Accent4 15 2 2" xfId="12386"/>
    <cellStyle name="20% - Accent4 16" xfId="707"/>
    <cellStyle name="20% - Accent4 16 2" xfId="708"/>
    <cellStyle name="20% - Accent4 16 2 2" xfId="12398"/>
    <cellStyle name="20% - Accent4 17" xfId="709"/>
    <cellStyle name="20% - Accent4 17 2" xfId="710"/>
    <cellStyle name="20% - Accent4 17 2 2" xfId="12410"/>
    <cellStyle name="20% - Accent4 18" xfId="711"/>
    <cellStyle name="20% - Accent4 18 2" xfId="712"/>
    <cellStyle name="20% - Accent4 18 2 2" xfId="12422"/>
    <cellStyle name="20% - Accent4 19" xfId="713"/>
    <cellStyle name="20% - Accent4 19 2" xfId="714"/>
    <cellStyle name="20% - Accent4 19 2 2" xfId="12434"/>
    <cellStyle name="20% - Accent4 2" xfId="7"/>
    <cellStyle name="20% - Accent4 2 10" xfId="716"/>
    <cellStyle name="20% - Accent4 2 11" xfId="717"/>
    <cellStyle name="20% - Accent4 2 12" xfId="718"/>
    <cellStyle name="20% - Accent4 2 13" xfId="715"/>
    <cellStyle name="20% - Accent4 2 2" xfId="719"/>
    <cellStyle name="20% - Accent4 2 2 2" xfId="720"/>
    <cellStyle name="20% - Accent4 2 2 2 2" xfId="12230"/>
    <cellStyle name="20% - Accent4 2 3" xfId="721"/>
    <cellStyle name="20% - Accent4 2 4" xfId="722"/>
    <cellStyle name="20% - Accent4 2 5" xfId="723"/>
    <cellStyle name="20% - Accent4 2 6" xfId="724"/>
    <cellStyle name="20% - Accent4 2 7" xfId="725"/>
    <cellStyle name="20% - Accent4 2 8" xfId="726"/>
    <cellStyle name="20% - Accent4 2 9" xfId="727"/>
    <cellStyle name="20% - Accent4 20" xfId="728"/>
    <cellStyle name="20% - Accent4 20 2" xfId="729"/>
    <cellStyle name="20% - Accent4 20 2 2" xfId="12446"/>
    <cellStyle name="20% - Accent4 21" xfId="730"/>
    <cellStyle name="20% - Accent4 21 2" xfId="731"/>
    <cellStyle name="20% - Accent4 21 2 2" xfId="12458"/>
    <cellStyle name="20% - Accent4 22" xfId="732"/>
    <cellStyle name="20% - Accent4 22 2" xfId="733"/>
    <cellStyle name="20% - Accent4 22 2 2" xfId="12470"/>
    <cellStyle name="20% - Accent4 23" xfId="734"/>
    <cellStyle name="20% - Accent4 23 2" xfId="735"/>
    <cellStyle name="20% - Accent4 23 2 2" xfId="12482"/>
    <cellStyle name="20% - Accent4 24" xfId="736"/>
    <cellStyle name="20% - Accent4 24 2" xfId="737"/>
    <cellStyle name="20% - Accent4 24 2 2" xfId="12494"/>
    <cellStyle name="20% - Accent4 25" xfId="738"/>
    <cellStyle name="20% - Accent4 25 2" xfId="739"/>
    <cellStyle name="20% - Accent4 25 2 2" xfId="12506"/>
    <cellStyle name="20% - Accent4 26" xfId="740"/>
    <cellStyle name="20% - Accent4 26 2" xfId="741"/>
    <cellStyle name="20% - Accent4 26 2 2" xfId="12518"/>
    <cellStyle name="20% - Accent4 27" xfId="742"/>
    <cellStyle name="20% - Accent4 27 2" xfId="743"/>
    <cellStyle name="20% - Accent4 27 2 2" xfId="12530"/>
    <cellStyle name="20% - Accent4 28" xfId="744"/>
    <cellStyle name="20% - Accent4 28 2" xfId="745"/>
    <cellStyle name="20% - Accent4 28 2 2" xfId="12542"/>
    <cellStyle name="20% - Accent4 29" xfId="746"/>
    <cellStyle name="20% - Accent4 29 2" xfId="747"/>
    <cellStyle name="20% - Accent4 29 2 2" xfId="12554"/>
    <cellStyle name="20% - Accent4 3" xfId="8"/>
    <cellStyle name="20% - Accent4 3 2" xfId="749"/>
    <cellStyle name="20% - Accent4 3 2 2" xfId="12242"/>
    <cellStyle name="20% - Accent4 3 3" xfId="750"/>
    <cellStyle name="20% - Accent4 3 4" xfId="8401"/>
    <cellStyle name="20% - Accent4 3 5" xfId="748"/>
    <cellStyle name="20% - Accent4 30" xfId="751"/>
    <cellStyle name="20% - Accent4 30 2" xfId="752"/>
    <cellStyle name="20% - Accent4 30 2 2" xfId="12566"/>
    <cellStyle name="20% - Accent4 31" xfId="753"/>
    <cellStyle name="20% - Accent4 31 2" xfId="754"/>
    <cellStyle name="20% - Accent4 31 2 2" xfId="12578"/>
    <cellStyle name="20% - Accent4 32" xfId="755"/>
    <cellStyle name="20% - Accent4 32 2" xfId="756"/>
    <cellStyle name="20% - Accent4 32 2 2" xfId="12590"/>
    <cellStyle name="20% - Accent4 33" xfId="757"/>
    <cellStyle name="20% - Accent4 33 2" xfId="758"/>
    <cellStyle name="20% - Accent4 33 2 2" xfId="12602"/>
    <cellStyle name="20% - Accent4 34" xfId="759"/>
    <cellStyle name="20% - Accent4 34 2" xfId="760"/>
    <cellStyle name="20% - Accent4 34 2 2" xfId="12614"/>
    <cellStyle name="20% - Accent4 35" xfId="761"/>
    <cellStyle name="20% - Accent4 35 2" xfId="762"/>
    <cellStyle name="20% - Accent4 35 2 2" xfId="12626"/>
    <cellStyle name="20% - Accent4 36" xfId="763"/>
    <cellStyle name="20% - Accent4 36 2" xfId="764"/>
    <cellStyle name="20% - Accent4 36 2 2" xfId="12638"/>
    <cellStyle name="20% - Accent4 37" xfId="765"/>
    <cellStyle name="20% - Accent4 37 2" xfId="766"/>
    <cellStyle name="20% - Accent4 37 2 2" xfId="12650"/>
    <cellStyle name="20% - Accent4 38" xfId="767"/>
    <cellStyle name="20% - Accent4 38 2" xfId="768"/>
    <cellStyle name="20% - Accent4 38 2 2" xfId="12662"/>
    <cellStyle name="20% - Accent4 39" xfId="769"/>
    <cellStyle name="20% - Accent4 39 2" xfId="770"/>
    <cellStyle name="20% - Accent4 39 2 2" xfId="12674"/>
    <cellStyle name="20% - Accent4 4" xfId="135"/>
    <cellStyle name="20% - Accent4 4 2" xfId="772"/>
    <cellStyle name="20% - Accent4 4 2 2" xfId="12254"/>
    <cellStyle name="20% - Accent4 4 3" xfId="8343"/>
    <cellStyle name="20% - Accent4 4 4" xfId="771"/>
    <cellStyle name="20% - Accent4 40" xfId="773"/>
    <cellStyle name="20% - Accent4 40 2" xfId="774"/>
    <cellStyle name="20% - Accent4 40 2 2" xfId="12686"/>
    <cellStyle name="20% - Accent4 40 3" xfId="12212"/>
    <cellStyle name="20% - Accent4 41" xfId="775"/>
    <cellStyle name="20% - Accent4 41 2" xfId="12698"/>
    <cellStyle name="20% - Accent4 42" xfId="776"/>
    <cellStyle name="20% - Accent4 42 2" xfId="12710"/>
    <cellStyle name="20% - Accent4 43" xfId="777"/>
    <cellStyle name="20% - Accent4 43 2" xfId="12722"/>
    <cellStyle name="20% - Accent4 44" xfId="778"/>
    <cellStyle name="20% - Accent4 44 2" xfId="12734"/>
    <cellStyle name="20% - Accent4 45" xfId="779"/>
    <cellStyle name="20% - Accent4 45 2" xfId="12746"/>
    <cellStyle name="20% - Accent4 46" xfId="780"/>
    <cellStyle name="20% - Accent4 46 2" xfId="12758"/>
    <cellStyle name="20% - Accent4 47" xfId="781"/>
    <cellStyle name="20% - Accent4 47 2" xfId="12770"/>
    <cellStyle name="20% - Accent4 48" xfId="782"/>
    <cellStyle name="20% - Accent4 48 2" xfId="12782"/>
    <cellStyle name="20% - Accent4 49" xfId="783"/>
    <cellStyle name="20% - Accent4 49 2" xfId="12794"/>
    <cellStyle name="20% - Accent4 5" xfId="784"/>
    <cellStyle name="20% - Accent4 5 2" xfId="785"/>
    <cellStyle name="20% - Accent4 5 2 2" xfId="12266"/>
    <cellStyle name="20% - Accent4 50" xfId="786"/>
    <cellStyle name="20% - Accent4 50 2" xfId="12806"/>
    <cellStyle name="20% - Accent4 51" xfId="787"/>
    <cellStyle name="20% - Accent4 51 2" xfId="12818"/>
    <cellStyle name="20% - Accent4 52" xfId="788"/>
    <cellStyle name="20% - Accent4 52 2" xfId="12830"/>
    <cellStyle name="20% - Accent4 53" xfId="789"/>
    <cellStyle name="20% - Accent4 53 2" xfId="12842"/>
    <cellStyle name="20% - Accent4 54" xfId="790"/>
    <cellStyle name="20% - Accent4 54 2" xfId="12854"/>
    <cellStyle name="20% - Accent4 55" xfId="791"/>
    <cellStyle name="20% - Accent4 55 2" xfId="12866"/>
    <cellStyle name="20% - Accent4 56" xfId="792"/>
    <cellStyle name="20% - Accent4 56 2" xfId="12878"/>
    <cellStyle name="20% - Accent4 57" xfId="793"/>
    <cellStyle name="20% - Accent4 57 2" xfId="12890"/>
    <cellStyle name="20% - Accent4 58" xfId="794"/>
    <cellStyle name="20% - Accent4 58 2" xfId="12902"/>
    <cellStyle name="20% - Accent4 59" xfId="795"/>
    <cellStyle name="20% - Accent4 59 2" xfId="12914"/>
    <cellStyle name="20% - Accent4 6" xfId="796"/>
    <cellStyle name="20% - Accent4 6 2" xfId="797"/>
    <cellStyle name="20% - Accent4 6 2 2" xfId="12278"/>
    <cellStyle name="20% - Accent4 60" xfId="798"/>
    <cellStyle name="20% - Accent4 60 2" xfId="12926"/>
    <cellStyle name="20% - Accent4 61" xfId="799"/>
    <cellStyle name="20% - Accent4 61 2" xfId="12938"/>
    <cellStyle name="20% - Accent4 62" xfId="800"/>
    <cellStyle name="20% - Accent4 62 2" xfId="12950"/>
    <cellStyle name="20% - Accent4 63" xfId="801"/>
    <cellStyle name="20% - Accent4 63 2" xfId="12962"/>
    <cellStyle name="20% - Accent4 64" xfId="802"/>
    <cellStyle name="20% - Accent4 64 2" xfId="12974"/>
    <cellStyle name="20% - Accent4 65" xfId="803"/>
    <cellStyle name="20% - Accent4 65 2" xfId="12986"/>
    <cellStyle name="20% - Accent4 66" xfId="804"/>
    <cellStyle name="20% - Accent4 66 2" xfId="12998"/>
    <cellStyle name="20% - Accent4 67" xfId="805"/>
    <cellStyle name="20% - Accent4 67 2" xfId="13010"/>
    <cellStyle name="20% - Accent4 68" xfId="806"/>
    <cellStyle name="20% - Accent4 68 2" xfId="13022"/>
    <cellStyle name="20% - Accent4 69" xfId="807"/>
    <cellStyle name="20% - Accent4 69 2" xfId="13034"/>
    <cellStyle name="20% - Accent4 7" xfId="808"/>
    <cellStyle name="20% - Accent4 7 2" xfId="809"/>
    <cellStyle name="20% - Accent4 7 2 2" xfId="12290"/>
    <cellStyle name="20% - Accent4 70" xfId="810"/>
    <cellStyle name="20% - Accent4 70 2" xfId="13046"/>
    <cellStyle name="20% - Accent4 71" xfId="811"/>
    <cellStyle name="20% - Accent4 71 2" xfId="13058"/>
    <cellStyle name="20% - Accent4 72" xfId="812"/>
    <cellStyle name="20% - Accent4 72 2" xfId="13070"/>
    <cellStyle name="20% - Accent4 73" xfId="813"/>
    <cellStyle name="20% - Accent4 73 2" xfId="13082"/>
    <cellStyle name="20% - Accent4 74" xfId="814"/>
    <cellStyle name="20% - Accent4 74 2" xfId="13094"/>
    <cellStyle name="20% - Accent4 75" xfId="815"/>
    <cellStyle name="20% - Accent4 75 2" xfId="13106"/>
    <cellStyle name="20% - Accent4 76" xfId="816"/>
    <cellStyle name="20% - Accent4 76 2" xfId="13118"/>
    <cellStyle name="20% - Accent4 77" xfId="817"/>
    <cellStyle name="20% - Accent4 77 2" xfId="13130"/>
    <cellStyle name="20% - Accent4 78" xfId="818"/>
    <cellStyle name="20% - Accent4 78 2" xfId="13142"/>
    <cellStyle name="20% - Accent4 79" xfId="819"/>
    <cellStyle name="20% - Accent4 79 2" xfId="13154"/>
    <cellStyle name="20% - Accent4 8" xfId="820"/>
    <cellStyle name="20% - Accent4 8 2" xfId="821"/>
    <cellStyle name="20% - Accent4 8 2 2" xfId="12302"/>
    <cellStyle name="20% - Accent4 80" xfId="822"/>
    <cellStyle name="20% - Accent4 80 2" xfId="13166"/>
    <cellStyle name="20% - Accent4 81" xfId="823"/>
    <cellStyle name="20% - Accent4 81 2" xfId="13178"/>
    <cellStyle name="20% - Accent4 82" xfId="824"/>
    <cellStyle name="20% - Accent4 82 2" xfId="13190"/>
    <cellStyle name="20% - Accent4 83" xfId="825"/>
    <cellStyle name="20% - Accent4 83 2" xfId="13202"/>
    <cellStyle name="20% - Accent4 84" xfId="826"/>
    <cellStyle name="20% - Accent4 84 2" xfId="13214"/>
    <cellStyle name="20% - Accent4 85" xfId="827"/>
    <cellStyle name="20% - Accent4 85 2" xfId="12116"/>
    <cellStyle name="20% - Accent4 86" xfId="694"/>
    <cellStyle name="20% - Accent4 9" xfId="828"/>
    <cellStyle name="20% - Accent4 9 2" xfId="829"/>
    <cellStyle name="20% - Accent4 9 2 2" xfId="12314"/>
    <cellStyle name="20% - Accent5" xfId="120" builtinId="46" customBuiltin="1"/>
    <cellStyle name="20% - Accent5 10" xfId="831"/>
    <cellStyle name="20% - Accent5 10 2" xfId="832"/>
    <cellStyle name="20% - Accent5 10 2 2" xfId="12328"/>
    <cellStyle name="20% - Accent5 11" xfId="833"/>
    <cellStyle name="20% - Accent5 11 2" xfId="834"/>
    <cellStyle name="20% - Accent5 11 2 2" xfId="12340"/>
    <cellStyle name="20% - Accent5 12" xfId="835"/>
    <cellStyle name="20% - Accent5 12 2" xfId="836"/>
    <cellStyle name="20% - Accent5 12 2 2" xfId="12352"/>
    <cellStyle name="20% - Accent5 13" xfId="837"/>
    <cellStyle name="20% - Accent5 13 2" xfId="838"/>
    <cellStyle name="20% - Accent5 13 2 2" xfId="12364"/>
    <cellStyle name="20% - Accent5 14" xfId="839"/>
    <cellStyle name="20% - Accent5 14 2" xfId="840"/>
    <cellStyle name="20% - Accent5 14 2 2" xfId="12376"/>
    <cellStyle name="20% - Accent5 15" xfId="841"/>
    <cellStyle name="20% - Accent5 15 2" xfId="842"/>
    <cellStyle name="20% - Accent5 15 2 2" xfId="12388"/>
    <cellStyle name="20% - Accent5 16" xfId="843"/>
    <cellStyle name="20% - Accent5 16 2" xfId="844"/>
    <cellStyle name="20% - Accent5 16 2 2" xfId="12400"/>
    <cellStyle name="20% - Accent5 17" xfId="845"/>
    <cellStyle name="20% - Accent5 17 2" xfId="846"/>
    <cellStyle name="20% - Accent5 17 2 2" xfId="12412"/>
    <cellStyle name="20% - Accent5 18" xfId="847"/>
    <cellStyle name="20% - Accent5 18 2" xfId="848"/>
    <cellStyle name="20% - Accent5 18 2 2" xfId="12424"/>
    <cellStyle name="20% - Accent5 19" xfId="849"/>
    <cellStyle name="20% - Accent5 19 2" xfId="850"/>
    <cellStyle name="20% - Accent5 19 2 2" xfId="12436"/>
    <cellStyle name="20% - Accent5 2" xfId="9"/>
    <cellStyle name="20% - Accent5 2 10" xfId="852"/>
    <cellStyle name="20% - Accent5 2 11" xfId="853"/>
    <cellStyle name="20% - Accent5 2 12" xfId="854"/>
    <cellStyle name="20% - Accent5 2 13" xfId="851"/>
    <cellStyle name="20% - Accent5 2 2" xfId="855"/>
    <cellStyle name="20% - Accent5 2 2 2" xfId="856"/>
    <cellStyle name="20% - Accent5 2 2 2 2" xfId="12232"/>
    <cellStyle name="20% - Accent5 2 3" xfId="857"/>
    <cellStyle name="20% - Accent5 2 4" xfId="858"/>
    <cellStyle name="20% - Accent5 2 5" xfId="859"/>
    <cellStyle name="20% - Accent5 2 6" xfId="860"/>
    <cellStyle name="20% - Accent5 2 7" xfId="861"/>
    <cellStyle name="20% - Accent5 2 8" xfId="862"/>
    <cellStyle name="20% - Accent5 2 9" xfId="863"/>
    <cellStyle name="20% - Accent5 2_Q410 Novosibirsk" xfId="864"/>
    <cellStyle name="20% - Accent5 20" xfId="865"/>
    <cellStyle name="20% - Accent5 20 2" xfId="866"/>
    <cellStyle name="20% - Accent5 20 2 2" xfId="12448"/>
    <cellStyle name="20% - Accent5 21" xfId="867"/>
    <cellStyle name="20% - Accent5 21 2" xfId="868"/>
    <cellStyle name="20% - Accent5 21 2 2" xfId="12460"/>
    <cellStyle name="20% - Accent5 22" xfId="869"/>
    <cellStyle name="20% - Accent5 22 2" xfId="870"/>
    <cellStyle name="20% - Accent5 22 2 2" xfId="12472"/>
    <cellStyle name="20% - Accent5 23" xfId="871"/>
    <cellStyle name="20% - Accent5 23 2" xfId="872"/>
    <cellStyle name="20% - Accent5 23 2 2" xfId="12484"/>
    <cellStyle name="20% - Accent5 24" xfId="873"/>
    <cellStyle name="20% - Accent5 24 2" xfId="874"/>
    <cellStyle name="20% - Accent5 24 2 2" xfId="12496"/>
    <cellStyle name="20% - Accent5 25" xfId="875"/>
    <cellStyle name="20% - Accent5 25 2" xfId="876"/>
    <cellStyle name="20% - Accent5 25 2 2" xfId="12508"/>
    <cellStyle name="20% - Accent5 26" xfId="877"/>
    <cellStyle name="20% - Accent5 26 2" xfId="878"/>
    <cellStyle name="20% - Accent5 26 2 2" xfId="12520"/>
    <cellStyle name="20% - Accent5 27" xfId="879"/>
    <cellStyle name="20% - Accent5 27 2" xfId="880"/>
    <cellStyle name="20% - Accent5 27 2 2" xfId="12532"/>
    <cellStyle name="20% - Accent5 28" xfId="881"/>
    <cellStyle name="20% - Accent5 28 2" xfId="882"/>
    <cellStyle name="20% - Accent5 28 2 2" xfId="12544"/>
    <cellStyle name="20% - Accent5 29" xfId="883"/>
    <cellStyle name="20% - Accent5 29 2" xfId="884"/>
    <cellStyle name="20% - Accent5 29 2 2" xfId="12556"/>
    <cellStyle name="20% - Accent5 3" xfId="10"/>
    <cellStyle name="20% - Accent5 3 2" xfId="886"/>
    <cellStyle name="20% - Accent5 3 2 2" xfId="12244"/>
    <cellStyle name="20% - Accent5 3 3" xfId="887"/>
    <cellStyle name="20% - Accent5 3 4" xfId="8400"/>
    <cellStyle name="20% - Accent5 3 5" xfId="885"/>
    <cellStyle name="20% - Accent5 30" xfId="888"/>
    <cellStyle name="20% - Accent5 30 2" xfId="889"/>
    <cellStyle name="20% - Accent5 30 2 2" xfId="12568"/>
    <cellStyle name="20% - Accent5 31" xfId="890"/>
    <cellStyle name="20% - Accent5 31 2" xfId="891"/>
    <cellStyle name="20% - Accent5 31 2 2" xfId="12580"/>
    <cellStyle name="20% - Accent5 32" xfId="892"/>
    <cellStyle name="20% - Accent5 32 2" xfId="893"/>
    <cellStyle name="20% - Accent5 32 2 2" xfId="12592"/>
    <cellStyle name="20% - Accent5 33" xfId="894"/>
    <cellStyle name="20% - Accent5 33 2" xfId="895"/>
    <cellStyle name="20% - Accent5 33 2 2" xfId="12604"/>
    <cellStyle name="20% - Accent5 34" xfId="896"/>
    <cellStyle name="20% - Accent5 34 2" xfId="897"/>
    <cellStyle name="20% - Accent5 34 2 2" xfId="12616"/>
    <cellStyle name="20% - Accent5 35" xfId="898"/>
    <cellStyle name="20% - Accent5 35 2" xfId="899"/>
    <cellStyle name="20% - Accent5 35 2 2" xfId="12628"/>
    <cellStyle name="20% - Accent5 36" xfId="900"/>
    <cellStyle name="20% - Accent5 36 2" xfId="901"/>
    <cellStyle name="20% - Accent5 36 2 2" xfId="12640"/>
    <cellStyle name="20% - Accent5 37" xfId="902"/>
    <cellStyle name="20% - Accent5 37 2" xfId="903"/>
    <cellStyle name="20% - Accent5 37 2 2" xfId="12652"/>
    <cellStyle name="20% - Accent5 38" xfId="904"/>
    <cellStyle name="20% - Accent5 38 2" xfId="905"/>
    <cellStyle name="20% - Accent5 38 2 2" xfId="12664"/>
    <cellStyle name="20% - Accent5 39" xfId="906"/>
    <cellStyle name="20% - Accent5 39 2" xfId="907"/>
    <cellStyle name="20% - Accent5 39 2 2" xfId="12676"/>
    <cellStyle name="20% - Accent5 4" xfId="137"/>
    <cellStyle name="20% - Accent5 4 2" xfId="909"/>
    <cellStyle name="20% - Accent5 4 2 2" xfId="12256"/>
    <cellStyle name="20% - Accent5 4 3" xfId="8341"/>
    <cellStyle name="20% - Accent5 4 4" xfId="908"/>
    <cellStyle name="20% - Accent5 40" xfId="910"/>
    <cellStyle name="20% - Accent5 40 2" xfId="911"/>
    <cellStyle name="20% - Accent5 40 2 2" xfId="12688"/>
    <cellStyle name="20% - Accent5 40 3" xfId="12214"/>
    <cellStyle name="20% - Accent5 41" xfId="912"/>
    <cellStyle name="20% - Accent5 41 2" xfId="913"/>
    <cellStyle name="20% - Accent5 41 2 2" xfId="12700"/>
    <cellStyle name="20% - Accent5 41 3" xfId="12222"/>
    <cellStyle name="20% - Accent5 42" xfId="914"/>
    <cellStyle name="20% - Accent5 42 2" xfId="12712"/>
    <cellStyle name="20% - Accent5 43" xfId="915"/>
    <cellStyle name="20% - Accent5 43 2" xfId="12724"/>
    <cellStyle name="20% - Accent5 44" xfId="916"/>
    <cellStyle name="20% - Accent5 44 2" xfId="12736"/>
    <cellStyle name="20% - Accent5 45" xfId="917"/>
    <cellStyle name="20% - Accent5 45 2" xfId="12748"/>
    <cellStyle name="20% - Accent5 46" xfId="918"/>
    <cellStyle name="20% - Accent5 46 2" xfId="12760"/>
    <cellStyle name="20% - Accent5 47" xfId="919"/>
    <cellStyle name="20% - Accent5 47 2" xfId="12772"/>
    <cellStyle name="20% - Accent5 48" xfId="920"/>
    <cellStyle name="20% - Accent5 48 2" xfId="12784"/>
    <cellStyle name="20% - Accent5 49" xfId="921"/>
    <cellStyle name="20% - Accent5 49 2" xfId="12796"/>
    <cellStyle name="20% - Accent5 5" xfId="922"/>
    <cellStyle name="20% - Accent5 5 2" xfId="923"/>
    <cellStyle name="20% - Accent5 5 2 2" xfId="12268"/>
    <cellStyle name="20% - Accent5 50" xfId="924"/>
    <cellStyle name="20% - Accent5 50 2" xfId="12808"/>
    <cellStyle name="20% - Accent5 51" xfId="925"/>
    <cellStyle name="20% - Accent5 51 2" xfId="12820"/>
    <cellStyle name="20% - Accent5 52" xfId="926"/>
    <cellStyle name="20% - Accent5 52 2" xfId="12832"/>
    <cellStyle name="20% - Accent5 53" xfId="927"/>
    <cellStyle name="20% - Accent5 53 2" xfId="12844"/>
    <cellStyle name="20% - Accent5 54" xfId="928"/>
    <cellStyle name="20% - Accent5 54 2" xfId="12856"/>
    <cellStyle name="20% - Accent5 55" xfId="929"/>
    <cellStyle name="20% - Accent5 55 2" xfId="12868"/>
    <cellStyle name="20% - Accent5 56" xfId="930"/>
    <cellStyle name="20% - Accent5 56 2" xfId="12880"/>
    <cellStyle name="20% - Accent5 57" xfId="931"/>
    <cellStyle name="20% - Accent5 57 2" xfId="12892"/>
    <cellStyle name="20% - Accent5 58" xfId="932"/>
    <cellStyle name="20% - Accent5 58 2" xfId="12904"/>
    <cellStyle name="20% - Accent5 59" xfId="933"/>
    <cellStyle name="20% - Accent5 59 2" xfId="12916"/>
    <cellStyle name="20% - Accent5 6" xfId="934"/>
    <cellStyle name="20% - Accent5 6 2" xfId="935"/>
    <cellStyle name="20% - Accent5 6 2 2" xfId="12280"/>
    <cellStyle name="20% - Accent5 60" xfId="936"/>
    <cellStyle name="20% - Accent5 60 2" xfId="12928"/>
    <cellStyle name="20% - Accent5 61" xfId="937"/>
    <cellStyle name="20% - Accent5 61 2" xfId="12940"/>
    <cellStyle name="20% - Accent5 62" xfId="938"/>
    <cellStyle name="20% - Accent5 62 2" xfId="12952"/>
    <cellStyle name="20% - Accent5 63" xfId="939"/>
    <cellStyle name="20% - Accent5 63 2" xfId="12964"/>
    <cellStyle name="20% - Accent5 64" xfId="940"/>
    <cellStyle name="20% - Accent5 64 2" xfId="12976"/>
    <cellStyle name="20% - Accent5 65" xfId="941"/>
    <cellStyle name="20% - Accent5 65 2" xfId="12988"/>
    <cellStyle name="20% - Accent5 66" xfId="942"/>
    <cellStyle name="20% - Accent5 66 2" xfId="13000"/>
    <cellStyle name="20% - Accent5 67" xfId="943"/>
    <cellStyle name="20% - Accent5 67 2" xfId="13012"/>
    <cellStyle name="20% - Accent5 68" xfId="944"/>
    <cellStyle name="20% - Accent5 68 2" xfId="13024"/>
    <cellStyle name="20% - Accent5 69" xfId="945"/>
    <cellStyle name="20% - Accent5 69 2" xfId="13036"/>
    <cellStyle name="20% - Accent5 7" xfId="946"/>
    <cellStyle name="20% - Accent5 7 2" xfId="947"/>
    <cellStyle name="20% - Accent5 7 2 2" xfId="12292"/>
    <cellStyle name="20% - Accent5 70" xfId="948"/>
    <cellStyle name="20% - Accent5 70 2" xfId="13048"/>
    <cellStyle name="20% - Accent5 71" xfId="949"/>
    <cellStyle name="20% - Accent5 71 2" xfId="13060"/>
    <cellStyle name="20% - Accent5 72" xfId="950"/>
    <cellStyle name="20% - Accent5 72 2" xfId="13072"/>
    <cellStyle name="20% - Accent5 73" xfId="951"/>
    <cellStyle name="20% - Accent5 73 2" xfId="13084"/>
    <cellStyle name="20% - Accent5 74" xfId="952"/>
    <cellStyle name="20% - Accent5 74 2" xfId="13096"/>
    <cellStyle name="20% - Accent5 75" xfId="953"/>
    <cellStyle name="20% - Accent5 75 2" xfId="13108"/>
    <cellStyle name="20% - Accent5 76" xfId="954"/>
    <cellStyle name="20% - Accent5 76 2" xfId="13120"/>
    <cellStyle name="20% - Accent5 77" xfId="955"/>
    <cellStyle name="20% - Accent5 77 2" xfId="13132"/>
    <cellStyle name="20% - Accent5 78" xfId="956"/>
    <cellStyle name="20% - Accent5 78 2" xfId="13144"/>
    <cellStyle name="20% - Accent5 79" xfId="957"/>
    <cellStyle name="20% - Accent5 79 2" xfId="13156"/>
    <cellStyle name="20% - Accent5 8" xfId="958"/>
    <cellStyle name="20% - Accent5 8 2" xfId="959"/>
    <cellStyle name="20% - Accent5 8 2 2" xfId="12304"/>
    <cellStyle name="20% - Accent5 80" xfId="960"/>
    <cellStyle name="20% - Accent5 80 2" xfId="13168"/>
    <cellStyle name="20% - Accent5 81" xfId="961"/>
    <cellStyle name="20% - Accent5 81 2" xfId="13180"/>
    <cellStyle name="20% - Accent5 82" xfId="962"/>
    <cellStyle name="20% - Accent5 82 2" xfId="13192"/>
    <cellStyle name="20% - Accent5 83" xfId="963"/>
    <cellStyle name="20% - Accent5 83 2" xfId="13204"/>
    <cellStyle name="20% - Accent5 84" xfId="964"/>
    <cellStyle name="20% - Accent5 84 2" xfId="13216"/>
    <cellStyle name="20% - Accent5 85" xfId="965"/>
    <cellStyle name="20% - Accent5 85 2" xfId="12118"/>
    <cellStyle name="20% - Accent5 86" xfId="830"/>
    <cellStyle name="20% - Accent5 87" xfId="8325"/>
    <cellStyle name="20% - Accent5 88" xfId="8334"/>
    <cellStyle name="20% - Accent5 89" xfId="8408"/>
    <cellStyle name="20% - Accent5 9" xfId="966"/>
    <cellStyle name="20% - Accent5 9 2" xfId="967"/>
    <cellStyle name="20% - Accent5 9 2 2" xfId="12316"/>
    <cellStyle name="20% - Accent5 90" xfId="12092"/>
    <cellStyle name="20% - Accent5 91" xfId="12159"/>
    <cellStyle name="20% - Accent5 92" xfId="12166"/>
    <cellStyle name="20% - Accent5 93" xfId="12178"/>
    <cellStyle name="20% - Accent6" xfId="124" builtinId="50" customBuiltin="1"/>
    <cellStyle name="20% - Accent6 10" xfId="969"/>
    <cellStyle name="20% - Accent6 10 2" xfId="970"/>
    <cellStyle name="20% - Accent6 10 2 2" xfId="12330"/>
    <cellStyle name="20% - Accent6 11" xfId="971"/>
    <cellStyle name="20% - Accent6 11 2" xfId="972"/>
    <cellStyle name="20% - Accent6 11 2 2" xfId="12342"/>
    <cellStyle name="20% - Accent6 12" xfId="973"/>
    <cellStyle name="20% - Accent6 12 2" xfId="974"/>
    <cellStyle name="20% - Accent6 12 2 2" xfId="12354"/>
    <cellStyle name="20% - Accent6 13" xfId="975"/>
    <cellStyle name="20% - Accent6 13 2" xfId="976"/>
    <cellStyle name="20% - Accent6 13 2 2" xfId="12366"/>
    <cellStyle name="20% - Accent6 14" xfId="977"/>
    <cellStyle name="20% - Accent6 14 2" xfId="978"/>
    <cellStyle name="20% - Accent6 14 2 2" xfId="12378"/>
    <cellStyle name="20% - Accent6 15" xfId="979"/>
    <cellStyle name="20% - Accent6 15 2" xfId="980"/>
    <cellStyle name="20% - Accent6 15 2 2" xfId="12390"/>
    <cellStyle name="20% - Accent6 16" xfId="981"/>
    <cellStyle name="20% - Accent6 16 2" xfId="982"/>
    <cellStyle name="20% - Accent6 16 2 2" xfId="12402"/>
    <cellStyle name="20% - Accent6 17" xfId="983"/>
    <cellStyle name="20% - Accent6 17 2" xfId="984"/>
    <cellStyle name="20% - Accent6 17 2 2" xfId="12414"/>
    <cellStyle name="20% - Accent6 18" xfId="985"/>
    <cellStyle name="20% - Accent6 18 2" xfId="986"/>
    <cellStyle name="20% - Accent6 18 2 2" xfId="12426"/>
    <cellStyle name="20% - Accent6 19" xfId="987"/>
    <cellStyle name="20% - Accent6 19 2" xfId="988"/>
    <cellStyle name="20% - Accent6 19 2 2" xfId="12438"/>
    <cellStyle name="20% - Accent6 2" xfId="11"/>
    <cellStyle name="20% - Accent6 2 10" xfId="990"/>
    <cellStyle name="20% - Accent6 2 11" xfId="991"/>
    <cellStyle name="20% - Accent6 2 12" xfId="992"/>
    <cellStyle name="20% - Accent6 2 13" xfId="989"/>
    <cellStyle name="20% - Accent6 2 2" xfId="993"/>
    <cellStyle name="20% - Accent6 2 2 2" xfId="994"/>
    <cellStyle name="20% - Accent6 2 2 2 2" xfId="12234"/>
    <cellStyle name="20% - Accent6 2 3" xfId="995"/>
    <cellStyle name="20% - Accent6 2 4" xfId="996"/>
    <cellStyle name="20% - Accent6 2 5" xfId="997"/>
    <cellStyle name="20% - Accent6 2 6" xfId="998"/>
    <cellStyle name="20% - Accent6 2 7" xfId="999"/>
    <cellStyle name="20% - Accent6 2 8" xfId="1000"/>
    <cellStyle name="20% - Accent6 2 9" xfId="1001"/>
    <cellStyle name="20% - Accent6 2_Q410 Novosibirsk" xfId="1002"/>
    <cellStyle name="20% - Accent6 20" xfId="1003"/>
    <cellStyle name="20% - Accent6 20 2" xfId="1004"/>
    <cellStyle name="20% - Accent6 20 2 2" xfId="12450"/>
    <cellStyle name="20% - Accent6 21" xfId="1005"/>
    <cellStyle name="20% - Accent6 21 2" xfId="1006"/>
    <cellStyle name="20% - Accent6 21 2 2" xfId="12462"/>
    <cellStyle name="20% - Accent6 22" xfId="1007"/>
    <cellStyle name="20% - Accent6 22 2" xfId="1008"/>
    <cellStyle name="20% - Accent6 22 2 2" xfId="12474"/>
    <cellStyle name="20% - Accent6 23" xfId="1009"/>
    <cellStyle name="20% - Accent6 23 2" xfId="1010"/>
    <cellStyle name="20% - Accent6 23 2 2" xfId="12486"/>
    <cellStyle name="20% - Accent6 24" xfId="1011"/>
    <cellStyle name="20% - Accent6 24 2" xfId="1012"/>
    <cellStyle name="20% - Accent6 24 2 2" xfId="12498"/>
    <cellStyle name="20% - Accent6 25" xfId="1013"/>
    <cellStyle name="20% - Accent6 25 2" xfId="1014"/>
    <cellStyle name="20% - Accent6 25 2 2" xfId="12510"/>
    <cellStyle name="20% - Accent6 26" xfId="1015"/>
    <cellStyle name="20% - Accent6 26 2" xfId="1016"/>
    <cellStyle name="20% - Accent6 26 2 2" xfId="12522"/>
    <cellStyle name="20% - Accent6 27" xfId="1017"/>
    <cellStyle name="20% - Accent6 27 2" xfId="1018"/>
    <cellStyle name="20% - Accent6 27 2 2" xfId="12534"/>
    <cellStyle name="20% - Accent6 28" xfId="1019"/>
    <cellStyle name="20% - Accent6 28 2" xfId="1020"/>
    <cellStyle name="20% - Accent6 28 2 2" xfId="12546"/>
    <cellStyle name="20% - Accent6 29" xfId="1021"/>
    <cellStyle name="20% - Accent6 29 2" xfId="1022"/>
    <cellStyle name="20% - Accent6 29 2 2" xfId="12558"/>
    <cellStyle name="20% - Accent6 3" xfId="12"/>
    <cellStyle name="20% - Accent6 3 2" xfId="1024"/>
    <cellStyle name="20% - Accent6 3 2 2" xfId="12246"/>
    <cellStyle name="20% - Accent6 3 3" xfId="1025"/>
    <cellStyle name="20% - Accent6 3 4" xfId="8399"/>
    <cellStyle name="20% - Accent6 3 5" xfId="1023"/>
    <cellStyle name="20% - Accent6 30" xfId="1026"/>
    <cellStyle name="20% - Accent6 30 2" xfId="1027"/>
    <cellStyle name="20% - Accent6 30 2 2" xfId="12570"/>
    <cellStyle name="20% - Accent6 31" xfId="1028"/>
    <cellStyle name="20% - Accent6 31 2" xfId="1029"/>
    <cellStyle name="20% - Accent6 31 2 2" xfId="12582"/>
    <cellStyle name="20% - Accent6 32" xfId="1030"/>
    <cellStyle name="20% - Accent6 32 2" xfId="1031"/>
    <cellStyle name="20% - Accent6 32 2 2" xfId="12594"/>
    <cellStyle name="20% - Accent6 33" xfId="1032"/>
    <cellStyle name="20% - Accent6 33 2" xfId="1033"/>
    <cellStyle name="20% - Accent6 33 2 2" xfId="12606"/>
    <cellStyle name="20% - Accent6 34" xfId="1034"/>
    <cellStyle name="20% - Accent6 34 2" xfId="1035"/>
    <cellStyle name="20% - Accent6 34 2 2" xfId="12618"/>
    <cellStyle name="20% - Accent6 35" xfId="1036"/>
    <cellStyle name="20% - Accent6 35 2" xfId="1037"/>
    <cellStyle name="20% - Accent6 35 2 2" xfId="12630"/>
    <cellStyle name="20% - Accent6 36" xfId="1038"/>
    <cellStyle name="20% - Accent6 36 2" xfId="1039"/>
    <cellStyle name="20% - Accent6 36 2 2" xfId="12642"/>
    <cellStyle name="20% - Accent6 37" xfId="1040"/>
    <cellStyle name="20% - Accent6 37 2" xfId="1041"/>
    <cellStyle name="20% - Accent6 37 2 2" xfId="12654"/>
    <cellStyle name="20% - Accent6 38" xfId="1042"/>
    <cellStyle name="20% - Accent6 38 2" xfId="1043"/>
    <cellStyle name="20% - Accent6 38 2 2" xfId="12666"/>
    <cellStyle name="20% - Accent6 39" xfId="1044"/>
    <cellStyle name="20% - Accent6 39 2" xfId="1045"/>
    <cellStyle name="20% - Accent6 39 2 2" xfId="12678"/>
    <cellStyle name="20% - Accent6 4" xfId="139"/>
    <cellStyle name="20% - Accent6 4 2" xfId="1047"/>
    <cellStyle name="20% - Accent6 4 2 2" xfId="12258"/>
    <cellStyle name="20% - Accent6 4 3" xfId="8339"/>
    <cellStyle name="20% - Accent6 4 4" xfId="1046"/>
    <cellStyle name="20% - Accent6 40" xfId="1048"/>
    <cellStyle name="20% - Accent6 40 2" xfId="1049"/>
    <cellStyle name="20% - Accent6 40 2 2" xfId="12690"/>
    <cellStyle name="20% - Accent6 40 3" xfId="12216"/>
    <cellStyle name="20% - Accent6 41" xfId="1050"/>
    <cellStyle name="20% - Accent6 41 2" xfId="1051"/>
    <cellStyle name="20% - Accent6 41 2 2" xfId="12702"/>
    <cellStyle name="20% - Accent6 41 3" xfId="12223"/>
    <cellStyle name="20% - Accent6 42" xfId="1052"/>
    <cellStyle name="20% - Accent6 42 2" xfId="12714"/>
    <cellStyle name="20% - Accent6 43" xfId="1053"/>
    <cellStyle name="20% - Accent6 43 2" xfId="12726"/>
    <cellStyle name="20% - Accent6 44" xfId="1054"/>
    <cellStyle name="20% - Accent6 44 2" xfId="12738"/>
    <cellStyle name="20% - Accent6 45" xfId="1055"/>
    <cellStyle name="20% - Accent6 45 2" xfId="12750"/>
    <cellStyle name="20% - Accent6 46" xfId="1056"/>
    <cellStyle name="20% - Accent6 46 2" xfId="12762"/>
    <cellStyle name="20% - Accent6 47" xfId="1057"/>
    <cellStyle name="20% - Accent6 47 2" xfId="12774"/>
    <cellStyle name="20% - Accent6 48" xfId="1058"/>
    <cellStyle name="20% - Accent6 48 2" xfId="12786"/>
    <cellStyle name="20% - Accent6 49" xfId="1059"/>
    <cellStyle name="20% - Accent6 49 2" xfId="12798"/>
    <cellStyle name="20% - Accent6 5" xfId="1060"/>
    <cellStyle name="20% - Accent6 5 2" xfId="1061"/>
    <cellStyle name="20% - Accent6 5 2 2" xfId="12270"/>
    <cellStyle name="20% - Accent6 50" xfId="1062"/>
    <cellStyle name="20% - Accent6 50 2" xfId="12810"/>
    <cellStyle name="20% - Accent6 51" xfId="1063"/>
    <cellStyle name="20% - Accent6 51 2" xfId="12822"/>
    <cellStyle name="20% - Accent6 52" xfId="1064"/>
    <cellStyle name="20% - Accent6 52 2" xfId="12834"/>
    <cellStyle name="20% - Accent6 53" xfId="1065"/>
    <cellStyle name="20% - Accent6 53 2" xfId="12846"/>
    <cellStyle name="20% - Accent6 54" xfId="1066"/>
    <cellStyle name="20% - Accent6 54 2" xfId="12858"/>
    <cellStyle name="20% - Accent6 55" xfId="1067"/>
    <cellStyle name="20% - Accent6 55 2" xfId="12870"/>
    <cellStyle name="20% - Accent6 56" xfId="1068"/>
    <cellStyle name="20% - Accent6 56 2" xfId="12882"/>
    <cellStyle name="20% - Accent6 57" xfId="1069"/>
    <cellStyle name="20% - Accent6 57 2" xfId="12894"/>
    <cellStyle name="20% - Accent6 58" xfId="1070"/>
    <cellStyle name="20% - Accent6 58 2" xfId="12906"/>
    <cellStyle name="20% - Accent6 59" xfId="1071"/>
    <cellStyle name="20% - Accent6 59 2" xfId="12918"/>
    <cellStyle name="20% - Accent6 6" xfId="1072"/>
    <cellStyle name="20% - Accent6 6 2" xfId="1073"/>
    <cellStyle name="20% - Accent6 6 2 2" xfId="12282"/>
    <cellStyle name="20% - Accent6 60" xfId="1074"/>
    <cellStyle name="20% - Accent6 60 2" xfId="12930"/>
    <cellStyle name="20% - Accent6 61" xfId="1075"/>
    <cellStyle name="20% - Accent6 61 2" xfId="12942"/>
    <cellStyle name="20% - Accent6 62" xfId="1076"/>
    <cellStyle name="20% - Accent6 62 2" xfId="12954"/>
    <cellStyle name="20% - Accent6 63" xfId="1077"/>
    <cellStyle name="20% - Accent6 63 2" xfId="12966"/>
    <cellStyle name="20% - Accent6 64" xfId="1078"/>
    <cellStyle name="20% - Accent6 64 2" xfId="12978"/>
    <cellStyle name="20% - Accent6 65" xfId="1079"/>
    <cellStyle name="20% - Accent6 65 2" xfId="12990"/>
    <cellStyle name="20% - Accent6 66" xfId="1080"/>
    <cellStyle name="20% - Accent6 66 2" xfId="13002"/>
    <cellStyle name="20% - Accent6 67" xfId="1081"/>
    <cellStyle name="20% - Accent6 67 2" xfId="13014"/>
    <cellStyle name="20% - Accent6 68" xfId="1082"/>
    <cellStyle name="20% - Accent6 68 2" xfId="13026"/>
    <cellStyle name="20% - Accent6 69" xfId="1083"/>
    <cellStyle name="20% - Accent6 69 2" xfId="13038"/>
    <cellStyle name="20% - Accent6 7" xfId="1084"/>
    <cellStyle name="20% - Accent6 7 2" xfId="1085"/>
    <cellStyle name="20% - Accent6 7 2 2" xfId="12294"/>
    <cellStyle name="20% - Accent6 70" xfId="1086"/>
    <cellStyle name="20% - Accent6 70 2" xfId="13050"/>
    <cellStyle name="20% - Accent6 71" xfId="1087"/>
    <cellStyle name="20% - Accent6 71 2" xfId="13062"/>
    <cellStyle name="20% - Accent6 72" xfId="1088"/>
    <cellStyle name="20% - Accent6 72 2" xfId="13074"/>
    <cellStyle name="20% - Accent6 73" xfId="1089"/>
    <cellStyle name="20% - Accent6 73 2" xfId="13086"/>
    <cellStyle name="20% - Accent6 74" xfId="1090"/>
    <cellStyle name="20% - Accent6 74 2" xfId="13098"/>
    <cellStyle name="20% - Accent6 75" xfId="1091"/>
    <cellStyle name="20% - Accent6 75 2" xfId="13110"/>
    <cellStyle name="20% - Accent6 76" xfId="1092"/>
    <cellStyle name="20% - Accent6 76 2" xfId="13122"/>
    <cellStyle name="20% - Accent6 77" xfId="1093"/>
    <cellStyle name="20% - Accent6 77 2" xfId="13134"/>
    <cellStyle name="20% - Accent6 78" xfId="1094"/>
    <cellStyle name="20% - Accent6 78 2" xfId="13146"/>
    <cellStyle name="20% - Accent6 79" xfId="1095"/>
    <cellStyle name="20% - Accent6 79 2" xfId="13158"/>
    <cellStyle name="20% - Accent6 8" xfId="1096"/>
    <cellStyle name="20% - Accent6 8 2" xfId="1097"/>
    <cellStyle name="20% - Accent6 8 2 2" xfId="12306"/>
    <cellStyle name="20% - Accent6 80" xfId="1098"/>
    <cellStyle name="20% - Accent6 80 2" xfId="13170"/>
    <cellStyle name="20% - Accent6 81" xfId="1099"/>
    <cellStyle name="20% - Accent6 81 2" xfId="13182"/>
    <cellStyle name="20% - Accent6 82" xfId="1100"/>
    <cellStyle name="20% - Accent6 82 2" xfId="13194"/>
    <cellStyle name="20% - Accent6 83" xfId="1101"/>
    <cellStyle name="20% - Accent6 83 2" xfId="13206"/>
    <cellStyle name="20% - Accent6 84" xfId="1102"/>
    <cellStyle name="20% - Accent6 84 2" xfId="13218"/>
    <cellStyle name="20% - Accent6 85" xfId="1103"/>
    <cellStyle name="20% - Accent6 85 2" xfId="12121"/>
    <cellStyle name="20% - Accent6 86" xfId="968"/>
    <cellStyle name="20% - Accent6 87" xfId="8326"/>
    <cellStyle name="20% - Accent6 88" xfId="8333"/>
    <cellStyle name="20% - Accent6 89" xfId="8410"/>
    <cellStyle name="20% - Accent6 9" xfId="1104"/>
    <cellStyle name="20% - Accent6 9 2" xfId="1105"/>
    <cellStyle name="20% - Accent6 9 2 2" xfId="12318"/>
    <cellStyle name="20% - Accent6 90" xfId="12094"/>
    <cellStyle name="20% - Accent6 91" xfId="12161"/>
    <cellStyle name="20% - Accent6 92" xfId="12172"/>
    <cellStyle name="20% - Accent6 93" xfId="12174"/>
    <cellStyle name="40% - Accent1" xfId="105" builtinId="31" customBuiltin="1"/>
    <cellStyle name="40% - Accent1 10" xfId="1107"/>
    <cellStyle name="40% - Accent1 10 2" xfId="1108"/>
    <cellStyle name="40% - Accent1 10 2 2" xfId="12321"/>
    <cellStyle name="40% - Accent1 11" xfId="1109"/>
    <cellStyle name="40% - Accent1 11 2" xfId="1110"/>
    <cellStyle name="40% - Accent1 11 2 2" xfId="12333"/>
    <cellStyle name="40% - Accent1 12" xfId="1111"/>
    <cellStyle name="40% - Accent1 12 2" xfId="1112"/>
    <cellStyle name="40% - Accent1 12 2 2" xfId="12345"/>
    <cellStyle name="40% - Accent1 13" xfId="1113"/>
    <cellStyle name="40% - Accent1 13 2" xfId="1114"/>
    <cellStyle name="40% - Accent1 13 2 2" xfId="12357"/>
    <cellStyle name="40% - Accent1 14" xfId="1115"/>
    <cellStyle name="40% - Accent1 14 2" xfId="1116"/>
    <cellStyle name="40% - Accent1 14 2 2" xfId="12369"/>
    <cellStyle name="40% - Accent1 15" xfId="1117"/>
    <cellStyle name="40% - Accent1 15 2" xfId="1118"/>
    <cellStyle name="40% - Accent1 15 2 2" xfId="12381"/>
    <cellStyle name="40% - Accent1 16" xfId="1119"/>
    <cellStyle name="40% - Accent1 16 2" xfId="1120"/>
    <cellStyle name="40% - Accent1 16 2 2" xfId="12393"/>
    <cellStyle name="40% - Accent1 17" xfId="1121"/>
    <cellStyle name="40% - Accent1 17 2" xfId="1122"/>
    <cellStyle name="40% - Accent1 17 2 2" xfId="12405"/>
    <cellStyle name="40% - Accent1 18" xfId="1123"/>
    <cellStyle name="40% - Accent1 18 2" xfId="1124"/>
    <cellStyle name="40% - Accent1 18 2 2" xfId="12417"/>
    <cellStyle name="40% - Accent1 19" xfId="1125"/>
    <cellStyle name="40% - Accent1 19 2" xfId="1126"/>
    <cellStyle name="40% - Accent1 19 2 2" xfId="12429"/>
    <cellStyle name="40% - Accent1 2" xfId="13"/>
    <cellStyle name="40% - Accent1 2 10" xfId="1128"/>
    <cellStyle name="40% - Accent1 2 11" xfId="1129"/>
    <cellStyle name="40% - Accent1 2 12" xfId="1130"/>
    <cellStyle name="40% - Accent1 2 13" xfId="1127"/>
    <cellStyle name="40% - Accent1 2 2" xfId="1131"/>
    <cellStyle name="40% - Accent1 2 2 2" xfId="1132"/>
    <cellStyle name="40% - Accent1 2 2 2 2" xfId="12225"/>
    <cellStyle name="40% - Accent1 2 3" xfId="1133"/>
    <cellStyle name="40% - Accent1 2 4" xfId="1134"/>
    <cellStyle name="40% - Accent1 2 5" xfId="1135"/>
    <cellStyle name="40% - Accent1 2 6" xfId="1136"/>
    <cellStyle name="40% - Accent1 2 7" xfId="1137"/>
    <cellStyle name="40% - Accent1 2 8" xfId="1138"/>
    <cellStyle name="40% - Accent1 2 9" xfId="1139"/>
    <cellStyle name="40% - Accent1 20" xfId="1140"/>
    <cellStyle name="40% - Accent1 20 2" xfId="1141"/>
    <cellStyle name="40% - Accent1 20 2 2" xfId="12441"/>
    <cellStyle name="40% - Accent1 21" xfId="1142"/>
    <cellStyle name="40% - Accent1 21 2" xfId="1143"/>
    <cellStyle name="40% - Accent1 21 2 2" xfId="12453"/>
    <cellStyle name="40% - Accent1 22" xfId="1144"/>
    <cellStyle name="40% - Accent1 22 2" xfId="1145"/>
    <cellStyle name="40% - Accent1 22 2 2" xfId="12465"/>
    <cellStyle name="40% - Accent1 23" xfId="1146"/>
    <cellStyle name="40% - Accent1 23 2" xfId="1147"/>
    <cellStyle name="40% - Accent1 23 2 2" xfId="12477"/>
    <cellStyle name="40% - Accent1 24" xfId="1148"/>
    <cellStyle name="40% - Accent1 24 2" xfId="1149"/>
    <cellStyle name="40% - Accent1 24 2 2" xfId="12489"/>
    <cellStyle name="40% - Accent1 25" xfId="1150"/>
    <cellStyle name="40% - Accent1 25 2" xfId="1151"/>
    <cellStyle name="40% - Accent1 25 2 2" xfId="12501"/>
    <cellStyle name="40% - Accent1 26" xfId="1152"/>
    <cellStyle name="40% - Accent1 26 2" xfId="1153"/>
    <cellStyle name="40% - Accent1 26 2 2" xfId="12513"/>
    <cellStyle name="40% - Accent1 27" xfId="1154"/>
    <cellStyle name="40% - Accent1 27 2" xfId="1155"/>
    <cellStyle name="40% - Accent1 27 2 2" xfId="12525"/>
    <cellStyle name="40% - Accent1 28" xfId="1156"/>
    <cellStyle name="40% - Accent1 28 2" xfId="1157"/>
    <cellStyle name="40% - Accent1 28 2 2" xfId="12537"/>
    <cellStyle name="40% - Accent1 29" xfId="1158"/>
    <cellStyle name="40% - Accent1 29 2" xfId="1159"/>
    <cellStyle name="40% - Accent1 29 2 2" xfId="12549"/>
    <cellStyle name="40% - Accent1 3" xfId="14"/>
    <cellStyle name="40% - Accent1 3 2" xfId="1161"/>
    <cellStyle name="40% - Accent1 3 2 2" xfId="12237"/>
    <cellStyle name="40% - Accent1 3 3" xfId="1162"/>
    <cellStyle name="40% - Accent1 3 4" xfId="8398"/>
    <cellStyle name="40% - Accent1 3 5" xfId="1160"/>
    <cellStyle name="40% - Accent1 30" xfId="1163"/>
    <cellStyle name="40% - Accent1 30 2" xfId="1164"/>
    <cellStyle name="40% - Accent1 30 2 2" xfId="12561"/>
    <cellStyle name="40% - Accent1 31" xfId="1165"/>
    <cellStyle name="40% - Accent1 31 2" xfId="1166"/>
    <cellStyle name="40% - Accent1 31 2 2" xfId="12573"/>
    <cellStyle name="40% - Accent1 32" xfId="1167"/>
    <cellStyle name="40% - Accent1 32 2" xfId="1168"/>
    <cellStyle name="40% - Accent1 32 2 2" xfId="12585"/>
    <cellStyle name="40% - Accent1 33" xfId="1169"/>
    <cellStyle name="40% - Accent1 33 2" xfId="1170"/>
    <cellStyle name="40% - Accent1 33 2 2" xfId="12597"/>
    <cellStyle name="40% - Accent1 34" xfId="1171"/>
    <cellStyle name="40% - Accent1 34 2" xfId="1172"/>
    <cellStyle name="40% - Accent1 34 2 2" xfId="12609"/>
    <cellStyle name="40% - Accent1 35" xfId="1173"/>
    <cellStyle name="40% - Accent1 35 2" xfId="1174"/>
    <cellStyle name="40% - Accent1 35 2 2" xfId="12621"/>
    <cellStyle name="40% - Accent1 36" xfId="1175"/>
    <cellStyle name="40% - Accent1 36 2" xfId="1176"/>
    <cellStyle name="40% - Accent1 36 2 2" xfId="12633"/>
    <cellStyle name="40% - Accent1 37" xfId="1177"/>
    <cellStyle name="40% - Accent1 37 2" xfId="1178"/>
    <cellStyle name="40% - Accent1 37 2 2" xfId="12645"/>
    <cellStyle name="40% - Accent1 38" xfId="1179"/>
    <cellStyle name="40% - Accent1 38 2" xfId="1180"/>
    <cellStyle name="40% - Accent1 38 2 2" xfId="12657"/>
    <cellStyle name="40% - Accent1 39" xfId="1181"/>
    <cellStyle name="40% - Accent1 39 2" xfId="1182"/>
    <cellStyle name="40% - Accent1 39 2 2" xfId="12669"/>
    <cellStyle name="40% - Accent1 4" xfId="130"/>
    <cellStyle name="40% - Accent1 4 2" xfId="1184"/>
    <cellStyle name="40% - Accent1 4 2 2" xfId="12249"/>
    <cellStyle name="40% - Accent1 4 3" xfId="8348"/>
    <cellStyle name="40% - Accent1 4 4" xfId="1183"/>
    <cellStyle name="40% - Accent1 40" xfId="1185"/>
    <cellStyle name="40% - Accent1 40 2" xfId="1186"/>
    <cellStyle name="40% - Accent1 40 2 2" xfId="12681"/>
    <cellStyle name="40% - Accent1 40 3" xfId="12207"/>
    <cellStyle name="40% - Accent1 41" xfId="1187"/>
    <cellStyle name="40% - Accent1 41 2" xfId="12693"/>
    <cellStyle name="40% - Accent1 42" xfId="1188"/>
    <cellStyle name="40% - Accent1 42 2" xfId="12705"/>
    <cellStyle name="40% - Accent1 43" xfId="1189"/>
    <cellStyle name="40% - Accent1 43 2" xfId="12717"/>
    <cellStyle name="40% - Accent1 44" xfId="1190"/>
    <cellStyle name="40% - Accent1 44 2" xfId="12729"/>
    <cellStyle name="40% - Accent1 45" xfId="1191"/>
    <cellStyle name="40% - Accent1 45 2" xfId="12741"/>
    <cellStyle name="40% - Accent1 46" xfId="1192"/>
    <cellStyle name="40% - Accent1 46 2" xfId="12753"/>
    <cellStyle name="40% - Accent1 47" xfId="1193"/>
    <cellStyle name="40% - Accent1 47 2" xfId="12765"/>
    <cellStyle name="40% - Accent1 48" xfId="1194"/>
    <cellStyle name="40% - Accent1 48 2" xfId="12777"/>
    <cellStyle name="40% - Accent1 49" xfId="1195"/>
    <cellStyle name="40% - Accent1 49 2" xfId="12789"/>
    <cellStyle name="40% - Accent1 5" xfId="1196"/>
    <cellStyle name="40% - Accent1 5 2" xfId="1197"/>
    <cellStyle name="40% - Accent1 5 2 2" xfId="12261"/>
    <cellStyle name="40% - Accent1 50" xfId="1198"/>
    <cellStyle name="40% - Accent1 50 2" xfId="12801"/>
    <cellStyle name="40% - Accent1 51" xfId="1199"/>
    <cellStyle name="40% - Accent1 51 2" xfId="12813"/>
    <cellStyle name="40% - Accent1 52" xfId="1200"/>
    <cellStyle name="40% - Accent1 52 2" xfId="12825"/>
    <cellStyle name="40% - Accent1 53" xfId="1201"/>
    <cellStyle name="40% - Accent1 53 2" xfId="12837"/>
    <cellStyle name="40% - Accent1 54" xfId="1202"/>
    <cellStyle name="40% - Accent1 54 2" xfId="12849"/>
    <cellStyle name="40% - Accent1 55" xfId="1203"/>
    <cellStyle name="40% - Accent1 55 2" xfId="12861"/>
    <cellStyle name="40% - Accent1 56" xfId="1204"/>
    <cellStyle name="40% - Accent1 56 2" xfId="12873"/>
    <cellStyle name="40% - Accent1 57" xfId="1205"/>
    <cellStyle name="40% - Accent1 57 2" xfId="12885"/>
    <cellStyle name="40% - Accent1 58" xfId="1206"/>
    <cellStyle name="40% - Accent1 58 2" xfId="12897"/>
    <cellStyle name="40% - Accent1 59" xfId="1207"/>
    <cellStyle name="40% - Accent1 59 2" xfId="12909"/>
    <cellStyle name="40% - Accent1 6" xfId="1208"/>
    <cellStyle name="40% - Accent1 6 2" xfId="1209"/>
    <cellStyle name="40% - Accent1 6 2 2" xfId="12273"/>
    <cellStyle name="40% - Accent1 60" xfId="1210"/>
    <cellStyle name="40% - Accent1 60 2" xfId="12921"/>
    <cellStyle name="40% - Accent1 61" xfId="1211"/>
    <cellStyle name="40% - Accent1 61 2" xfId="12933"/>
    <cellStyle name="40% - Accent1 62" xfId="1212"/>
    <cellStyle name="40% - Accent1 62 2" xfId="12945"/>
    <cellStyle name="40% - Accent1 63" xfId="1213"/>
    <cellStyle name="40% - Accent1 63 2" xfId="12957"/>
    <cellStyle name="40% - Accent1 64" xfId="1214"/>
    <cellStyle name="40% - Accent1 64 2" xfId="12969"/>
    <cellStyle name="40% - Accent1 65" xfId="1215"/>
    <cellStyle name="40% - Accent1 65 2" xfId="12981"/>
    <cellStyle name="40% - Accent1 66" xfId="1216"/>
    <cellStyle name="40% - Accent1 66 2" xfId="12993"/>
    <cellStyle name="40% - Accent1 67" xfId="1217"/>
    <cellStyle name="40% - Accent1 67 2" xfId="13005"/>
    <cellStyle name="40% - Accent1 68" xfId="1218"/>
    <cellStyle name="40% - Accent1 68 2" xfId="13017"/>
    <cellStyle name="40% - Accent1 69" xfId="1219"/>
    <cellStyle name="40% - Accent1 69 2" xfId="13029"/>
    <cellStyle name="40% - Accent1 7" xfId="1220"/>
    <cellStyle name="40% - Accent1 7 2" xfId="1221"/>
    <cellStyle name="40% - Accent1 7 2 2" xfId="12285"/>
    <cellStyle name="40% - Accent1 70" xfId="1222"/>
    <cellStyle name="40% - Accent1 70 2" xfId="13041"/>
    <cellStyle name="40% - Accent1 71" xfId="1223"/>
    <cellStyle name="40% - Accent1 71 2" xfId="13053"/>
    <cellStyle name="40% - Accent1 72" xfId="1224"/>
    <cellStyle name="40% - Accent1 72 2" xfId="13065"/>
    <cellStyle name="40% - Accent1 73" xfId="1225"/>
    <cellStyle name="40% - Accent1 73 2" xfId="13077"/>
    <cellStyle name="40% - Accent1 74" xfId="1226"/>
    <cellStyle name="40% - Accent1 74 2" xfId="13089"/>
    <cellStyle name="40% - Accent1 75" xfId="1227"/>
    <cellStyle name="40% - Accent1 75 2" xfId="13101"/>
    <cellStyle name="40% - Accent1 76" xfId="1228"/>
    <cellStyle name="40% - Accent1 76 2" xfId="13113"/>
    <cellStyle name="40% - Accent1 77" xfId="1229"/>
    <cellStyle name="40% - Accent1 77 2" xfId="13125"/>
    <cellStyle name="40% - Accent1 78" xfId="1230"/>
    <cellStyle name="40% - Accent1 78 2" xfId="13137"/>
    <cellStyle name="40% - Accent1 79" xfId="1231"/>
    <cellStyle name="40% - Accent1 79 2" xfId="13149"/>
    <cellStyle name="40% - Accent1 8" xfId="1232"/>
    <cellStyle name="40% - Accent1 8 2" xfId="1233"/>
    <cellStyle name="40% - Accent1 8 2 2" xfId="12297"/>
    <cellStyle name="40% - Accent1 80" xfId="1234"/>
    <cellStyle name="40% - Accent1 80 2" xfId="13161"/>
    <cellStyle name="40% - Accent1 81" xfId="1235"/>
    <cellStyle name="40% - Accent1 81 2" xfId="13173"/>
    <cellStyle name="40% - Accent1 82" xfId="1236"/>
    <cellStyle name="40% - Accent1 82 2" xfId="13185"/>
    <cellStyle name="40% - Accent1 83" xfId="1237"/>
    <cellStyle name="40% - Accent1 83 2" xfId="13197"/>
    <cellStyle name="40% - Accent1 84" xfId="1238"/>
    <cellStyle name="40% - Accent1 84 2" xfId="13209"/>
    <cellStyle name="40% - Accent1 85" xfId="1239"/>
    <cellStyle name="40% - Accent1 85 2" xfId="12111"/>
    <cellStyle name="40% - Accent1 86" xfId="1106"/>
    <cellStyle name="40% - Accent1 9" xfId="1240"/>
    <cellStyle name="40% - Accent1 9 2" xfId="1241"/>
    <cellStyle name="40% - Accent1 9 2 2" xfId="12309"/>
    <cellStyle name="40% - Accent2" xfId="109" builtinId="35" customBuiltin="1"/>
    <cellStyle name="40% - Accent2 10" xfId="1243"/>
    <cellStyle name="40% - Accent2 10 2" xfId="1244"/>
    <cellStyle name="40% - Accent2 10 2 2" xfId="12323"/>
    <cellStyle name="40% - Accent2 11" xfId="1245"/>
    <cellStyle name="40% - Accent2 11 2" xfId="1246"/>
    <cellStyle name="40% - Accent2 11 2 2" xfId="12335"/>
    <cellStyle name="40% - Accent2 12" xfId="1247"/>
    <cellStyle name="40% - Accent2 12 2" xfId="1248"/>
    <cellStyle name="40% - Accent2 12 2 2" xfId="12347"/>
    <cellStyle name="40% - Accent2 13" xfId="1249"/>
    <cellStyle name="40% - Accent2 13 2" xfId="1250"/>
    <cellStyle name="40% - Accent2 13 2 2" xfId="12359"/>
    <cellStyle name="40% - Accent2 14" xfId="1251"/>
    <cellStyle name="40% - Accent2 14 2" xfId="1252"/>
    <cellStyle name="40% - Accent2 14 2 2" xfId="12371"/>
    <cellStyle name="40% - Accent2 15" xfId="1253"/>
    <cellStyle name="40% - Accent2 15 2" xfId="1254"/>
    <cellStyle name="40% - Accent2 15 2 2" xfId="12383"/>
    <cellStyle name="40% - Accent2 16" xfId="1255"/>
    <cellStyle name="40% - Accent2 16 2" xfId="1256"/>
    <cellStyle name="40% - Accent2 16 2 2" xfId="12395"/>
    <cellStyle name="40% - Accent2 17" xfId="1257"/>
    <cellStyle name="40% - Accent2 17 2" xfId="1258"/>
    <cellStyle name="40% - Accent2 17 2 2" xfId="12407"/>
    <cellStyle name="40% - Accent2 18" xfId="1259"/>
    <cellStyle name="40% - Accent2 18 2" xfId="1260"/>
    <cellStyle name="40% - Accent2 18 2 2" xfId="12419"/>
    <cellStyle name="40% - Accent2 19" xfId="1261"/>
    <cellStyle name="40% - Accent2 19 2" xfId="1262"/>
    <cellStyle name="40% - Accent2 19 2 2" xfId="12431"/>
    <cellStyle name="40% - Accent2 2" xfId="15"/>
    <cellStyle name="40% - Accent2 2 10" xfId="1264"/>
    <cellStyle name="40% - Accent2 2 11" xfId="1265"/>
    <cellStyle name="40% - Accent2 2 12" xfId="1266"/>
    <cellStyle name="40% - Accent2 2 13" xfId="1263"/>
    <cellStyle name="40% - Accent2 2 2" xfId="1267"/>
    <cellStyle name="40% - Accent2 2 2 2" xfId="1268"/>
    <cellStyle name="40% - Accent2 2 2 2 2" xfId="12227"/>
    <cellStyle name="40% - Accent2 2 3" xfId="1269"/>
    <cellStyle name="40% - Accent2 2 4" xfId="1270"/>
    <cellStyle name="40% - Accent2 2 5" xfId="1271"/>
    <cellStyle name="40% - Accent2 2 6" xfId="1272"/>
    <cellStyle name="40% - Accent2 2 7" xfId="1273"/>
    <cellStyle name="40% - Accent2 2 8" xfId="1274"/>
    <cellStyle name="40% - Accent2 2 9" xfId="1275"/>
    <cellStyle name="40% - Accent2 20" xfId="1276"/>
    <cellStyle name="40% - Accent2 20 2" xfId="1277"/>
    <cellStyle name="40% - Accent2 20 2 2" xfId="12443"/>
    <cellStyle name="40% - Accent2 21" xfId="1278"/>
    <cellStyle name="40% - Accent2 21 2" xfId="1279"/>
    <cellStyle name="40% - Accent2 21 2 2" xfId="12455"/>
    <cellStyle name="40% - Accent2 22" xfId="1280"/>
    <cellStyle name="40% - Accent2 22 2" xfId="1281"/>
    <cellStyle name="40% - Accent2 22 2 2" xfId="12467"/>
    <cellStyle name="40% - Accent2 23" xfId="1282"/>
    <cellStyle name="40% - Accent2 23 2" xfId="1283"/>
    <cellStyle name="40% - Accent2 23 2 2" xfId="12479"/>
    <cellStyle name="40% - Accent2 24" xfId="1284"/>
    <cellStyle name="40% - Accent2 24 2" xfId="1285"/>
    <cellStyle name="40% - Accent2 24 2 2" xfId="12491"/>
    <cellStyle name="40% - Accent2 25" xfId="1286"/>
    <cellStyle name="40% - Accent2 25 2" xfId="1287"/>
    <cellStyle name="40% - Accent2 25 2 2" xfId="12503"/>
    <cellStyle name="40% - Accent2 26" xfId="1288"/>
    <cellStyle name="40% - Accent2 26 2" xfId="1289"/>
    <cellStyle name="40% - Accent2 26 2 2" xfId="12515"/>
    <cellStyle name="40% - Accent2 27" xfId="1290"/>
    <cellStyle name="40% - Accent2 27 2" xfId="1291"/>
    <cellStyle name="40% - Accent2 27 2 2" xfId="12527"/>
    <cellStyle name="40% - Accent2 28" xfId="1292"/>
    <cellStyle name="40% - Accent2 28 2" xfId="1293"/>
    <cellStyle name="40% - Accent2 28 2 2" xfId="12539"/>
    <cellStyle name="40% - Accent2 29" xfId="1294"/>
    <cellStyle name="40% - Accent2 29 2" xfId="1295"/>
    <cellStyle name="40% - Accent2 29 2 2" xfId="12551"/>
    <cellStyle name="40% - Accent2 3" xfId="16"/>
    <cellStyle name="40% - Accent2 3 2" xfId="1297"/>
    <cellStyle name="40% - Accent2 3 2 2" xfId="12239"/>
    <cellStyle name="40% - Accent2 3 3" xfId="1298"/>
    <cellStyle name="40% - Accent2 3 4" xfId="8397"/>
    <cellStyle name="40% - Accent2 3 5" xfId="1296"/>
    <cellStyle name="40% - Accent2 30" xfId="1299"/>
    <cellStyle name="40% - Accent2 30 2" xfId="1300"/>
    <cellStyle name="40% - Accent2 30 2 2" xfId="12563"/>
    <cellStyle name="40% - Accent2 31" xfId="1301"/>
    <cellStyle name="40% - Accent2 31 2" xfId="1302"/>
    <cellStyle name="40% - Accent2 31 2 2" xfId="12575"/>
    <cellStyle name="40% - Accent2 32" xfId="1303"/>
    <cellStyle name="40% - Accent2 32 2" xfId="1304"/>
    <cellStyle name="40% - Accent2 32 2 2" xfId="12587"/>
    <cellStyle name="40% - Accent2 33" xfId="1305"/>
    <cellStyle name="40% - Accent2 33 2" xfId="1306"/>
    <cellStyle name="40% - Accent2 33 2 2" xfId="12599"/>
    <cellStyle name="40% - Accent2 34" xfId="1307"/>
    <cellStyle name="40% - Accent2 34 2" xfId="1308"/>
    <cellStyle name="40% - Accent2 34 2 2" xfId="12611"/>
    <cellStyle name="40% - Accent2 35" xfId="1309"/>
    <cellStyle name="40% - Accent2 35 2" xfId="1310"/>
    <cellStyle name="40% - Accent2 35 2 2" xfId="12623"/>
    <cellStyle name="40% - Accent2 36" xfId="1311"/>
    <cellStyle name="40% - Accent2 36 2" xfId="1312"/>
    <cellStyle name="40% - Accent2 36 2 2" xfId="12635"/>
    <cellStyle name="40% - Accent2 37" xfId="1313"/>
    <cellStyle name="40% - Accent2 37 2" xfId="1314"/>
    <cellStyle name="40% - Accent2 37 2 2" xfId="12647"/>
    <cellStyle name="40% - Accent2 38" xfId="1315"/>
    <cellStyle name="40% - Accent2 38 2" xfId="1316"/>
    <cellStyle name="40% - Accent2 38 2 2" xfId="12659"/>
    <cellStyle name="40% - Accent2 39" xfId="1317"/>
    <cellStyle name="40% - Accent2 39 2" xfId="1318"/>
    <cellStyle name="40% - Accent2 39 2 2" xfId="12671"/>
    <cellStyle name="40% - Accent2 4" xfId="132"/>
    <cellStyle name="40% - Accent2 4 2" xfId="1320"/>
    <cellStyle name="40% - Accent2 4 2 2" xfId="12251"/>
    <cellStyle name="40% - Accent2 4 3" xfId="8346"/>
    <cellStyle name="40% - Accent2 4 4" xfId="1319"/>
    <cellStyle name="40% - Accent2 40" xfId="1321"/>
    <cellStyle name="40% - Accent2 40 2" xfId="1322"/>
    <cellStyle name="40% - Accent2 40 2 2" xfId="12683"/>
    <cellStyle name="40% - Accent2 40 3" xfId="12209"/>
    <cellStyle name="40% - Accent2 41" xfId="1323"/>
    <cellStyle name="40% - Accent2 41 2" xfId="12695"/>
    <cellStyle name="40% - Accent2 42" xfId="1324"/>
    <cellStyle name="40% - Accent2 42 2" xfId="12707"/>
    <cellStyle name="40% - Accent2 43" xfId="1325"/>
    <cellStyle name="40% - Accent2 43 2" xfId="12719"/>
    <cellStyle name="40% - Accent2 44" xfId="1326"/>
    <cellStyle name="40% - Accent2 44 2" xfId="12731"/>
    <cellStyle name="40% - Accent2 45" xfId="1327"/>
    <cellStyle name="40% - Accent2 45 2" xfId="12743"/>
    <cellStyle name="40% - Accent2 46" xfId="1328"/>
    <cellStyle name="40% - Accent2 46 2" xfId="12755"/>
    <cellStyle name="40% - Accent2 47" xfId="1329"/>
    <cellStyle name="40% - Accent2 47 2" xfId="12767"/>
    <cellStyle name="40% - Accent2 48" xfId="1330"/>
    <cellStyle name="40% - Accent2 48 2" xfId="12779"/>
    <cellStyle name="40% - Accent2 49" xfId="1331"/>
    <cellStyle name="40% - Accent2 49 2" xfId="12791"/>
    <cellStyle name="40% - Accent2 5" xfId="1332"/>
    <cellStyle name="40% - Accent2 5 2" xfId="1333"/>
    <cellStyle name="40% - Accent2 5 2 2" xfId="12263"/>
    <cellStyle name="40% - Accent2 50" xfId="1334"/>
    <cellStyle name="40% - Accent2 50 2" xfId="12803"/>
    <cellStyle name="40% - Accent2 51" xfId="1335"/>
    <cellStyle name="40% - Accent2 51 2" xfId="12815"/>
    <cellStyle name="40% - Accent2 52" xfId="1336"/>
    <cellStyle name="40% - Accent2 52 2" xfId="12827"/>
    <cellStyle name="40% - Accent2 53" xfId="1337"/>
    <cellStyle name="40% - Accent2 53 2" xfId="12839"/>
    <cellStyle name="40% - Accent2 54" xfId="1338"/>
    <cellStyle name="40% - Accent2 54 2" xfId="12851"/>
    <cellStyle name="40% - Accent2 55" xfId="1339"/>
    <cellStyle name="40% - Accent2 55 2" xfId="12863"/>
    <cellStyle name="40% - Accent2 56" xfId="1340"/>
    <cellStyle name="40% - Accent2 56 2" xfId="12875"/>
    <cellStyle name="40% - Accent2 57" xfId="1341"/>
    <cellStyle name="40% - Accent2 57 2" xfId="12887"/>
    <cellStyle name="40% - Accent2 58" xfId="1342"/>
    <cellStyle name="40% - Accent2 58 2" xfId="12899"/>
    <cellStyle name="40% - Accent2 59" xfId="1343"/>
    <cellStyle name="40% - Accent2 59 2" xfId="12911"/>
    <cellStyle name="40% - Accent2 6" xfId="1344"/>
    <cellStyle name="40% - Accent2 6 2" xfId="1345"/>
    <cellStyle name="40% - Accent2 6 2 2" xfId="12275"/>
    <cellStyle name="40% - Accent2 60" xfId="1346"/>
    <cellStyle name="40% - Accent2 60 2" xfId="12923"/>
    <cellStyle name="40% - Accent2 61" xfId="1347"/>
    <cellStyle name="40% - Accent2 61 2" xfId="12935"/>
    <cellStyle name="40% - Accent2 62" xfId="1348"/>
    <cellStyle name="40% - Accent2 62 2" xfId="12947"/>
    <cellStyle name="40% - Accent2 63" xfId="1349"/>
    <cellStyle name="40% - Accent2 63 2" xfId="12959"/>
    <cellStyle name="40% - Accent2 64" xfId="1350"/>
    <cellStyle name="40% - Accent2 64 2" xfId="12971"/>
    <cellStyle name="40% - Accent2 65" xfId="1351"/>
    <cellStyle name="40% - Accent2 65 2" xfId="12983"/>
    <cellStyle name="40% - Accent2 66" xfId="1352"/>
    <cellStyle name="40% - Accent2 66 2" xfId="12995"/>
    <cellStyle name="40% - Accent2 67" xfId="1353"/>
    <cellStyle name="40% - Accent2 67 2" xfId="13007"/>
    <cellStyle name="40% - Accent2 68" xfId="1354"/>
    <cellStyle name="40% - Accent2 68 2" xfId="13019"/>
    <cellStyle name="40% - Accent2 69" xfId="1355"/>
    <cellStyle name="40% - Accent2 69 2" xfId="13031"/>
    <cellStyle name="40% - Accent2 7" xfId="1356"/>
    <cellStyle name="40% - Accent2 7 2" xfId="1357"/>
    <cellStyle name="40% - Accent2 7 2 2" xfId="12287"/>
    <cellStyle name="40% - Accent2 70" xfId="1358"/>
    <cellStyle name="40% - Accent2 70 2" xfId="13043"/>
    <cellStyle name="40% - Accent2 71" xfId="1359"/>
    <cellStyle name="40% - Accent2 71 2" xfId="13055"/>
    <cellStyle name="40% - Accent2 72" xfId="1360"/>
    <cellStyle name="40% - Accent2 72 2" xfId="13067"/>
    <cellStyle name="40% - Accent2 73" xfId="1361"/>
    <cellStyle name="40% - Accent2 73 2" xfId="13079"/>
    <cellStyle name="40% - Accent2 74" xfId="1362"/>
    <cellStyle name="40% - Accent2 74 2" xfId="13091"/>
    <cellStyle name="40% - Accent2 75" xfId="1363"/>
    <cellStyle name="40% - Accent2 75 2" xfId="13103"/>
    <cellStyle name="40% - Accent2 76" xfId="1364"/>
    <cellStyle name="40% - Accent2 76 2" xfId="13115"/>
    <cellStyle name="40% - Accent2 77" xfId="1365"/>
    <cellStyle name="40% - Accent2 77 2" xfId="13127"/>
    <cellStyle name="40% - Accent2 78" xfId="1366"/>
    <cellStyle name="40% - Accent2 78 2" xfId="13139"/>
    <cellStyle name="40% - Accent2 79" xfId="1367"/>
    <cellStyle name="40% - Accent2 79 2" xfId="13151"/>
    <cellStyle name="40% - Accent2 8" xfId="1368"/>
    <cellStyle name="40% - Accent2 8 2" xfId="1369"/>
    <cellStyle name="40% - Accent2 8 2 2" xfId="12299"/>
    <cellStyle name="40% - Accent2 80" xfId="1370"/>
    <cellStyle name="40% - Accent2 80 2" xfId="13163"/>
    <cellStyle name="40% - Accent2 81" xfId="1371"/>
    <cellStyle name="40% - Accent2 81 2" xfId="13175"/>
    <cellStyle name="40% - Accent2 82" xfId="1372"/>
    <cellStyle name="40% - Accent2 82 2" xfId="13187"/>
    <cellStyle name="40% - Accent2 83" xfId="1373"/>
    <cellStyle name="40% - Accent2 83 2" xfId="13199"/>
    <cellStyle name="40% - Accent2 84" xfId="1374"/>
    <cellStyle name="40% - Accent2 84 2" xfId="13211"/>
    <cellStyle name="40% - Accent2 85" xfId="1375"/>
    <cellStyle name="40% - Accent2 85 2" xfId="12113"/>
    <cellStyle name="40% - Accent2 86" xfId="1242"/>
    <cellStyle name="40% - Accent2 9" xfId="1376"/>
    <cellStyle name="40% - Accent2 9 2" xfId="1377"/>
    <cellStyle name="40% - Accent2 9 2 2" xfId="12311"/>
    <cellStyle name="40% - Accent3" xfId="113" builtinId="39" customBuiltin="1"/>
    <cellStyle name="40% - Accent3 10" xfId="1379"/>
    <cellStyle name="40% - Accent3 10 2" xfId="1380"/>
    <cellStyle name="40% - Accent3 10 2 2" xfId="12325"/>
    <cellStyle name="40% - Accent3 11" xfId="1381"/>
    <cellStyle name="40% - Accent3 11 2" xfId="1382"/>
    <cellStyle name="40% - Accent3 11 2 2" xfId="12337"/>
    <cellStyle name="40% - Accent3 12" xfId="1383"/>
    <cellStyle name="40% - Accent3 12 2" xfId="1384"/>
    <cellStyle name="40% - Accent3 12 2 2" xfId="12349"/>
    <cellStyle name="40% - Accent3 13" xfId="1385"/>
    <cellStyle name="40% - Accent3 13 2" xfId="1386"/>
    <cellStyle name="40% - Accent3 13 2 2" xfId="12361"/>
    <cellStyle name="40% - Accent3 14" xfId="1387"/>
    <cellStyle name="40% - Accent3 14 2" xfId="1388"/>
    <cellStyle name="40% - Accent3 14 2 2" xfId="12373"/>
    <cellStyle name="40% - Accent3 15" xfId="1389"/>
    <cellStyle name="40% - Accent3 15 2" xfId="1390"/>
    <cellStyle name="40% - Accent3 15 2 2" xfId="12385"/>
    <cellStyle name="40% - Accent3 16" xfId="1391"/>
    <cellStyle name="40% - Accent3 16 2" xfId="1392"/>
    <cellStyle name="40% - Accent3 16 2 2" xfId="12397"/>
    <cellStyle name="40% - Accent3 17" xfId="1393"/>
    <cellStyle name="40% - Accent3 17 2" xfId="1394"/>
    <cellStyle name="40% - Accent3 17 2 2" xfId="12409"/>
    <cellStyle name="40% - Accent3 18" xfId="1395"/>
    <cellStyle name="40% - Accent3 18 2" xfId="1396"/>
    <cellStyle name="40% - Accent3 18 2 2" xfId="12421"/>
    <cellStyle name="40% - Accent3 19" xfId="1397"/>
    <cellStyle name="40% - Accent3 19 2" xfId="1398"/>
    <cellStyle name="40% - Accent3 19 2 2" xfId="12433"/>
    <cellStyle name="40% - Accent3 2" xfId="17"/>
    <cellStyle name="40% - Accent3 2 10" xfId="1400"/>
    <cellStyle name="40% - Accent3 2 11" xfId="1401"/>
    <cellStyle name="40% - Accent3 2 12" xfId="1402"/>
    <cellStyle name="40% - Accent3 2 13" xfId="1399"/>
    <cellStyle name="40% - Accent3 2 2" xfId="1403"/>
    <cellStyle name="40% - Accent3 2 2 2" xfId="1404"/>
    <cellStyle name="40% - Accent3 2 2 2 2" xfId="12229"/>
    <cellStyle name="40% - Accent3 2 3" xfId="1405"/>
    <cellStyle name="40% - Accent3 2 4" xfId="1406"/>
    <cellStyle name="40% - Accent3 2 5" xfId="1407"/>
    <cellStyle name="40% - Accent3 2 6" xfId="1408"/>
    <cellStyle name="40% - Accent3 2 7" xfId="1409"/>
    <cellStyle name="40% - Accent3 2 8" xfId="1410"/>
    <cellStyle name="40% - Accent3 2 9" xfId="1411"/>
    <cellStyle name="40% - Accent3 20" xfId="1412"/>
    <cellStyle name="40% - Accent3 20 2" xfId="1413"/>
    <cellStyle name="40% - Accent3 20 2 2" xfId="12445"/>
    <cellStyle name="40% - Accent3 21" xfId="1414"/>
    <cellStyle name="40% - Accent3 21 2" xfId="1415"/>
    <cellStyle name="40% - Accent3 21 2 2" xfId="12457"/>
    <cellStyle name="40% - Accent3 22" xfId="1416"/>
    <cellStyle name="40% - Accent3 22 2" xfId="1417"/>
    <cellStyle name="40% - Accent3 22 2 2" xfId="12469"/>
    <cellStyle name="40% - Accent3 23" xfId="1418"/>
    <cellStyle name="40% - Accent3 23 2" xfId="1419"/>
    <cellStyle name="40% - Accent3 23 2 2" xfId="12481"/>
    <cellStyle name="40% - Accent3 24" xfId="1420"/>
    <cellStyle name="40% - Accent3 24 2" xfId="1421"/>
    <cellStyle name="40% - Accent3 24 2 2" xfId="12493"/>
    <cellStyle name="40% - Accent3 25" xfId="1422"/>
    <cellStyle name="40% - Accent3 25 2" xfId="1423"/>
    <cellStyle name="40% - Accent3 25 2 2" xfId="12505"/>
    <cellStyle name="40% - Accent3 26" xfId="1424"/>
    <cellStyle name="40% - Accent3 26 2" xfId="1425"/>
    <cellStyle name="40% - Accent3 26 2 2" xfId="12517"/>
    <cellStyle name="40% - Accent3 27" xfId="1426"/>
    <cellStyle name="40% - Accent3 27 2" xfId="1427"/>
    <cellStyle name="40% - Accent3 27 2 2" xfId="12529"/>
    <cellStyle name="40% - Accent3 28" xfId="1428"/>
    <cellStyle name="40% - Accent3 28 2" xfId="1429"/>
    <cellStyle name="40% - Accent3 28 2 2" xfId="12541"/>
    <cellStyle name="40% - Accent3 29" xfId="1430"/>
    <cellStyle name="40% - Accent3 29 2" xfId="1431"/>
    <cellStyle name="40% - Accent3 29 2 2" xfId="12553"/>
    <cellStyle name="40% - Accent3 3" xfId="18"/>
    <cellStyle name="40% - Accent3 3 2" xfId="1433"/>
    <cellStyle name="40% - Accent3 3 2 2" xfId="12241"/>
    <cellStyle name="40% - Accent3 3 3" xfId="1434"/>
    <cellStyle name="40% - Accent3 3 4" xfId="8396"/>
    <cellStyle name="40% - Accent3 3 5" xfId="1432"/>
    <cellStyle name="40% - Accent3 30" xfId="1435"/>
    <cellStyle name="40% - Accent3 30 2" xfId="1436"/>
    <cellStyle name="40% - Accent3 30 2 2" xfId="12565"/>
    <cellStyle name="40% - Accent3 31" xfId="1437"/>
    <cellStyle name="40% - Accent3 31 2" xfId="1438"/>
    <cellStyle name="40% - Accent3 31 2 2" xfId="12577"/>
    <cellStyle name="40% - Accent3 32" xfId="1439"/>
    <cellStyle name="40% - Accent3 32 2" xfId="1440"/>
    <cellStyle name="40% - Accent3 32 2 2" xfId="12589"/>
    <cellStyle name="40% - Accent3 33" xfId="1441"/>
    <cellStyle name="40% - Accent3 33 2" xfId="1442"/>
    <cellStyle name="40% - Accent3 33 2 2" xfId="12601"/>
    <cellStyle name="40% - Accent3 34" xfId="1443"/>
    <cellStyle name="40% - Accent3 34 2" xfId="1444"/>
    <cellStyle name="40% - Accent3 34 2 2" xfId="12613"/>
    <cellStyle name="40% - Accent3 35" xfId="1445"/>
    <cellStyle name="40% - Accent3 35 2" xfId="1446"/>
    <cellStyle name="40% - Accent3 35 2 2" xfId="12625"/>
    <cellStyle name="40% - Accent3 36" xfId="1447"/>
    <cellStyle name="40% - Accent3 36 2" xfId="1448"/>
    <cellStyle name="40% - Accent3 36 2 2" xfId="12637"/>
    <cellStyle name="40% - Accent3 37" xfId="1449"/>
    <cellStyle name="40% - Accent3 37 2" xfId="1450"/>
    <cellStyle name="40% - Accent3 37 2 2" xfId="12649"/>
    <cellStyle name="40% - Accent3 38" xfId="1451"/>
    <cellStyle name="40% - Accent3 38 2" xfId="1452"/>
    <cellStyle name="40% - Accent3 38 2 2" xfId="12661"/>
    <cellStyle name="40% - Accent3 39" xfId="1453"/>
    <cellStyle name="40% - Accent3 39 2" xfId="1454"/>
    <cellStyle name="40% - Accent3 39 2 2" xfId="12673"/>
    <cellStyle name="40% - Accent3 4" xfId="134"/>
    <cellStyle name="40% - Accent3 4 2" xfId="1456"/>
    <cellStyle name="40% - Accent3 4 2 2" xfId="12253"/>
    <cellStyle name="40% - Accent3 4 3" xfId="8344"/>
    <cellStyle name="40% - Accent3 4 4" xfId="1455"/>
    <cellStyle name="40% - Accent3 40" xfId="1457"/>
    <cellStyle name="40% - Accent3 40 2" xfId="1458"/>
    <cellStyle name="40% - Accent3 40 2 2" xfId="12685"/>
    <cellStyle name="40% - Accent3 40 3" xfId="12211"/>
    <cellStyle name="40% - Accent3 41" xfId="1459"/>
    <cellStyle name="40% - Accent3 41 2" xfId="12697"/>
    <cellStyle name="40% - Accent3 42" xfId="1460"/>
    <cellStyle name="40% - Accent3 42 2" xfId="12709"/>
    <cellStyle name="40% - Accent3 43" xfId="1461"/>
    <cellStyle name="40% - Accent3 43 2" xfId="12721"/>
    <cellStyle name="40% - Accent3 44" xfId="1462"/>
    <cellStyle name="40% - Accent3 44 2" xfId="12733"/>
    <cellStyle name="40% - Accent3 45" xfId="1463"/>
    <cellStyle name="40% - Accent3 45 2" xfId="12745"/>
    <cellStyle name="40% - Accent3 46" xfId="1464"/>
    <cellStyle name="40% - Accent3 46 2" xfId="12757"/>
    <cellStyle name="40% - Accent3 47" xfId="1465"/>
    <cellStyle name="40% - Accent3 47 2" xfId="12769"/>
    <cellStyle name="40% - Accent3 48" xfId="1466"/>
    <cellStyle name="40% - Accent3 48 2" xfId="12781"/>
    <cellStyle name="40% - Accent3 49" xfId="1467"/>
    <cellStyle name="40% - Accent3 49 2" xfId="12793"/>
    <cellStyle name="40% - Accent3 5" xfId="1468"/>
    <cellStyle name="40% - Accent3 5 2" xfId="1469"/>
    <cellStyle name="40% - Accent3 5 2 2" xfId="12265"/>
    <cellStyle name="40% - Accent3 50" xfId="1470"/>
    <cellStyle name="40% - Accent3 50 2" xfId="12805"/>
    <cellStyle name="40% - Accent3 51" xfId="1471"/>
    <cellStyle name="40% - Accent3 51 2" xfId="12817"/>
    <cellStyle name="40% - Accent3 52" xfId="1472"/>
    <cellStyle name="40% - Accent3 52 2" xfId="12829"/>
    <cellStyle name="40% - Accent3 53" xfId="1473"/>
    <cellStyle name="40% - Accent3 53 2" xfId="12841"/>
    <cellStyle name="40% - Accent3 54" xfId="1474"/>
    <cellStyle name="40% - Accent3 54 2" xfId="12853"/>
    <cellStyle name="40% - Accent3 55" xfId="1475"/>
    <cellStyle name="40% - Accent3 55 2" xfId="12865"/>
    <cellStyle name="40% - Accent3 56" xfId="1476"/>
    <cellStyle name="40% - Accent3 56 2" xfId="12877"/>
    <cellStyle name="40% - Accent3 57" xfId="1477"/>
    <cellStyle name="40% - Accent3 57 2" xfId="12889"/>
    <cellStyle name="40% - Accent3 58" xfId="1478"/>
    <cellStyle name="40% - Accent3 58 2" xfId="12901"/>
    <cellStyle name="40% - Accent3 59" xfId="1479"/>
    <cellStyle name="40% - Accent3 59 2" xfId="12913"/>
    <cellStyle name="40% - Accent3 6" xfId="1480"/>
    <cellStyle name="40% - Accent3 6 2" xfId="1481"/>
    <cellStyle name="40% - Accent3 6 2 2" xfId="12277"/>
    <cellStyle name="40% - Accent3 60" xfId="1482"/>
    <cellStyle name="40% - Accent3 60 2" xfId="12925"/>
    <cellStyle name="40% - Accent3 61" xfId="1483"/>
    <cellStyle name="40% - Accent3 61 2" xfId="12937"/>
    <cellStyle name="40% - Accent3 62" xfId="1484"/>
    <cellStyle name="40% - Accent3 62 2" xfId="12949"/>
    <cellStyle name="40% - Accent3 63" xfId="1485"/>
    <cellStyle name="40% - Accent3 63 2" xfId="12961"/>
    <cellStyle name="40% - Accent3 64" xfId="1486"/>
    <cellStyle name="40% - Accent3 64 2" xfId="12973"/>
    <cellStyle name="40% - Accent3 65" xfId="1487"/>
    <cellStyle name="40% - Accent3 65 2" xfId="12985"/>
    <cellStyle name="40% - Accent3 66" xfId="1488"/>
    <cellStyle name="40% - Accent3 66 2" xfId="12997"/>
    <cellStyle name="40% - Accent3 67" xfId="1489"/>
    <cellStyle name="40% - Accent3 67 2" xfId="13009"/>
    <cellStyle name="40% - Accent3 68" xfId="1490"/>
    <cellStyle name="40% - Accent3 68 2" xfId="13021"/>
    <cellStyle name="40% - Accent3 69" xfId="1491"/>
    <cellStyle name="40% - Accent3 69 2" xfId="13033"/>
    <cellStyle name="40% - Accent3 7" xfId="1492"/>
    <cellStyle name="40% - Accent3 7 2" xfId="1493"/>
    <cellStyle name="40% - Accent3 7 2 2" xfId="12289"/>
    <cellStyle name="40% - Accent3 70" xfId="1494"/>
    <cellStyle name="40% - Accent3 70 2" xfId="13045"/>
    <cellStyle name="40% - Accent3 71" xfId="1495"/>
    <cellStyle name="40% - Accent3 71 2" xfId="13057"/>
    <cellStyle name="40% - Accent3 72" xfId="1496"/>
    <cellStyle name="40% - Accent3 72 2" xfId="13069"/>
    <cellStyle name="40% - Accent3 73" xfId="1497"/>
    <cellStyle name="40% - Accent3 73 2" xfId="13081"/>
    <cellStyle name="40% - Accent3 74" xfId="1498"/>
    <cellStyle name="40% - Accent3 74 2" xfId="13093"/>
    <cellStyle name="40% - Accent3 75" xfId="1499"/>
    <cellStyle name="40% - Accent3 75 2" xfId="13105"/>
    <cellStyle name="40% - Accent3 76" xfId="1500"/>
    <cellStyle name="40% - Accent3 76 2" xfId="13117"/>
    <cellStyle name="40% - Accent3 77" xfId="1501"/>
    <cellStyle name="40% - Accent3 77 2" xfId="13129"/>
    <cellStyle name="40% - Accent3 78" xfId="1502"/>
    <cellStyle name="40% - Accent3 78 2" xfId="13141"/>
    <cellStyle name="40% - Accent3 79" xfId="1503"/>
    <cellStyle name="40% - Accent3 79 2" xfId="13153"/>
    <cellStyle name="40% - Accent3 8" xfId="1504"/>
    <cellStyle name="40% - Accent3 8 2" xfId="1505"/>
    <cellStyle name="40% - Accent3 8 2 2" xfId="12301"/>
    <cellStyle name="40% - Accent3 80" xfId="1506"/>
    <cellStyle name="40% - Accent3 80 2" xfId="13165"/>
    <cellStyle name="40% - Accent3 81" xfId="1507"/>
    <cellStyle name="40% - Accent3 81 2" xfId="13177"/>
    <cellStyle name="40% - Accent3 82" xfId="1508"/>
    <cellStyle name="40% - Accent3 82 2" xfId="13189"/>
    <cellStyle name="40% - Accent3 83" xfId="1509"/>
    <cellStyle name="40% - Accent3 83 2" xfId="13201"/>
    <cellStyle name="40% - Accent3 84" xfId="1510"/>
    <cellStyle name="40% - Accent3 84 2" xfId="13213"/>
    <cellStyle name="40% - Accent3 85" xfId="1511"/>
    <cellStyle name="40% - Accent3 85 2" xfId="12115"/>
    <cellStyle name="40% - Accent3 86" xfId="1378"/>
    <cellStyle name="40% - Accent3 9" xfId="1512"/>
    <cellStyle name="40% - Accent3 9 2" xfId="1513"/>
    <cellStyle name="40% - Accent3 9 2 2" xfId="12313"/>
    <cellStyle name="40% - Accent4" xfId="117" builtinId="43" customBuiltin="1"/>
    <cellStyle name="40% - Accent4 10" xfId="1515"/>
    <cellStyle name="40% - Accent4 10 2" xfId="1516"/>
    <cellStyle name="40% - Accent4 10 2 2" xfId="12327"/>
    <cellStyle name="40% - Accent4 11" xfId="1517"/>
    <cellStyle name="40% - Accent4 11 2" xfId="1518"/>
    <cellStyle name="40% - Accent4 11 2 2" xfId="12339"/>
    <cellStyle name="40% - Accent4 12" xfId="1519"/>
    <cellStyle name="40% - Accent4 12 2" xfId="1520"/>
    <cellStyle name="40% - Accent4 12 2 2" xfId="12351"/>
    <cellStyle name="40% - Accent4 13" xfId="1521"/>
    <cellStyle name="40% - Accent4 13 2" xfId="1522"/>
    <cellStyle name="40% - Accent4 13 2 2" xfId="12363"/>
    <cellStyle name="40% - Accent4 14" xfId="1523"/>
    <cellStyle name="40% - Accent4 14 2" xfId="1524"/>
    <cellStyle name="40% - Accent4 14 2 2" xfId="12375"/>
    <cellStyle name="40% - Accent4 15" xfId="1525"/>
    <cellStyle name="40% - Accent4 15 2" xfId="1526"/>
    <cellStyle name="40% - Accent4 15 2 2" xfId="12387"/>
    <cellStyle name="40% - Accent4 16" xfId="1527"/>
    <cellStyle name="40% - Accent4 16 2" xfId="1528"/>
    <cellStyle name="40% - Accent4 16 2 2" xfId="12399"/>
    <cellStyle name="40% - Accent4 17" xfId="1529"/>
    <cellStyle name="40% - Accent4 17 2" xfId="1530"/>
    <cellStyle name="40% - Accent4 17 2 2" xfId="12411"/>
    <cellStyle name="40% - Accent4 18" xfId="1531"/>
    <cellStyle name="40% - Accent4 18 2" xfId="1532"/>
    <cellStyle name="40% - Accent4 18 2 2" xfId="12423"/>
    <cellStyle name="40% - Accent4 19" xfId="1533"/>
    <cellStyle name="40% - Accent4 19 2" xfId="1534"/>
    <cellStyle name="40% - Accent4 19 2 2" xfId="12435"/>
    <cellStyle name="40% - Accent4 2" xfId="19"/>
    <cellStyle name="40% - Accent4 2 10" xfId="1536"/>
    <cellStyle name="40% - Accent4 2 11" xfId="1537"/>
    <cellStyle name="40% - Accent4 2 12" xfId="1538"/>
    <cellStyle name="40% - Accent4 2 13" xfId="1535"/>
    <cellStyle name="40% - Accent4 2 2" xfId="1539"/>
    <cellStyle name="40% - Accent4 2 2 2" xfId="1540"/>
    <cellStyle name="40% - Accent4 2 2 2 2" xfId="12231"/>
    <cellStyle name="40% - Accent4 2 3" xfId="1541"/>
    <cellStyle name="40% - Accent4 2 4" xfId="1542"/>
    <cellStyle name="40% - Accent4 2 5" xfId="1543"/>
    <cellStyle name="40% - Accent4 2 6" xfId="1544"/>
    <cellStyle name="40% - Accent4 2 7" xfId="1545"/>
    <cellStyle name="40% - Accent4 2 8" xfId="1546"/>
    <cellStyle name="40% - Accent4 2 9" xfId="1547"/>
    <cellStyle name="40% - Accent4 20" xfId="1548"/>
    <cellStyle name="40% - Accent4 20 2" xfId="1549"/>
    <cellStyle name="40% - Accent4 20 2 2" xfId="12447"/>
    <cellStyle name="40% - Accent4 21" xfId="1550"/>
    <cellStyle name="40% - Accent4 21 2" xfId="1551"/>
    <cellStyle name="40% - Accent4 21 2 2" xfId="12459"/>
    <cellStyle name="40% - Accent4 22" xfId="1552"/>
    <cellStyle name="40% - Accent4 22 2" xfId="1553"/>
    <cellStyle name="40% - Accent4 22 2 2" xfId="12471"/>
    <cellStyle name="40% - Accent4 23" xfId="1554"/>
    <cellStyle name="40% - Accent4 23 2" xfId="1555"/>
    <cellStyle name="40% - Accent4 23 2 2" xfId="12483"/>
    <cellStyle name="40% - Accent4 24" xfId="1556"/>
    <cellStyle name="40% - Accent4 24 2" xfId="1557"/>
    <cellStyle name="40% - Accent4 24 2 2" xfId="12495"/>
    <cellStyle name="40% - Accent4 25" xfId="1558"/>
    <cellStyle name="40% - Accent4 25 2" xfId="1559"/>
    <cellStyle name="40% - Accent4 25 2 2" xfId="12507"/>
    <cellStyle name="40% - Accent4 26" xfId="1560"/>
    <cellStyle name="40% - Accent4 26 2" xfId="1561"/>
    <cellStyle name="40% - Accent4 26 2 2" xfId="12519"/>
    <cellStyle name="40% - Accent4 27" xfId="1562"/>
    <cellStyle name="40% - Accent4 27 2" xfId="1563"/>
    <cellStyle name="40% - Accent4 27 2 2" xfId="12531"/>
    <cellStyle name="40% - Accent4 28" xfId="1564"/>
    <cellStyle name="40% - Accent4 28 2" xfId="1565"/>
    <cellStyle name="40% - Accent4 28 2 2" xfId="12543"/>
    <cellStyle name="40% - Accent4 29" xfId="1566"/>
    <cellStyle name="40% - Accent4 29 2" xfId="1567"/>
    <cellStyle name="40% - Accent4 29 2 2" xfId="12555"/>
    <cellStyle name="40% - Accent4 3" xfId="20"/>
    <cellStyle name="40% - Accent4 3 2" xfId="1569"/>
    <cellStyle name="40% - Accent4 3 2 2" xfId="12243"/>
    <cellStyle name="40% - Accent4 3 3" xfId="1570"/>
    <cellStyle name="40% - Accent4 3 4" xfId="8395"/>
    <cellStyle name="40% - Accent4 3 5" xfId="1568"/>
    <cellStyle name="40% - Accent4 30" xfId="1571"/>
    <cellStyle name="40% - Accent4 30 2" xfId="1572"/>
    <cellStyle name="40% - Accent4 30 2 2" xfId="12567"/>
    <cellStyle name="40% - Accent4 31" xfId="1573"/>
    <cellStyle name="40% - Accent4 31 2" xfId="1574"/>
    <cellStyle name="40% - Accent4 31 2 2" xfId="12579"/>
    <cellStyle name="40% - Accent4 32" xfId="1575"/>
    <cellStyle name="40% - Accent4 32 2" xfId="1576"/>
    <cellStyle name="40% - Accent4 32 2 2" xfId="12591"/>
    <cellStyle name="40% - Accent4 33" xfId="1577"/>
    <cellStyle name="40% - Accent4 33 2" xfId="1578"/>
    <cellStyle name="40% - Accent4 33 2 2" xfId="12603"/>
    <cellStyle name="40% - Accent4 34" xfId="1579"/>
    <cellStyle name="40% - Accent4 34 2" xfId="1580"/>
    <cellStyle name="40% - Accent4 34 2 2" xfId="12615"/>
    <cellStyle name="40% - Accent4 35" xfId="1581"/>
    <cellStyle name="40% - Accent4 35 2" xfId="1582"/>
    <cellStyle name="40% - Accent4 35 2 2" xfId="12627"/>
    <cellStyle name="40% - Accent4 36" xfId="1583"/>
    <cellStyle name="40% - Accent4 36 2" xfId="1584"/>
    <cellStyle name="40% - Accent4 36 2 2" xfId="12639"/>
    <cellStyle name="40% - Accent4 37" xfId="1585"/>
    <cellStyle name="40% - Accent4 37 2" xfId="1586"/>
    <cellStyle name="40% - Accent4 37 2 2" xfId="12651"/>
    <cellStyle name="40% - Accent4 38" xfId="1587"/>
    <cellStyle name="40% - Accent4 38 2" xfId="1588"/>
    <cellStyle name="40% - Accent4 38 2 2" xfId="12663"/>
    <cellStyle name="40% - Accent4 39" xfId="1589"/>
    <cellStyle name="40% - Accent4 39 2" xfId="1590"/>
    <cellStyle name="40% - Accent4 39 2 2" xfId="12675"/>
    <cellStyle name="40% - Accent4 4" xfId="136"/>
    <cellStyle name="40% - Accent4 4 2" xfId="1592"/>
    <cellStyle name="40% - Accent4 4 2 2" xfId="12255"/>
    <cellStyle name="40% - Accent4 4 3" xfId="8342"/>
    <cellStyle name="40% - Accent4 4 4" xfId="1591"/>
    <cellStyle name="40% - Accent4 40" xfId="1593"/>
    <cellStyle name="40% - Accent4 40 2" xfId="1594"/>
    <cellStyle name="40% - Accent4 40 2 2" xfId="12687"/>
    <cellStyle name="40% - Accent4 40 3" xfId="12213"/>
    <cellStyle name="40% - Accent4 41" xfId="1595"/>
    <cellStyle name="40% - Accent4 41 2" xfId="12699"/>
    <cellStyle name="40% - Accent4 42" xfId="1596"/>
    <cellStyle name="40% - Accent4 42 2" xfId="12711"/>
    <cellStyle name="40% - Accent4 43" xfId="1597"/>
    <cellStyle name="40% - Accent4 43 2" xfId="12723"/>
    <cellStyle name="40% - Accent4 44" xfId="1598"/>
    <cellStyle name="40% - Accent4 44 2" xfId="12735"/>
    <cellStyle name="40% - Accent4 45" xfId="1599"/>
    <cellStyle name="40% - Accent4 45 2" xfId="12747"/>
    <cellStyle name="40% - Accent4 46" xfId="1600"/>
    <cellStyle name="40% - Accent4 46 2" xfId="12759"/>
    <cellStyle name="40% - Accent4 47" xfId="1601"/>
    <cellStyle name="40% - Accent4 47 2" xfId="12771"/>
    <cellStyle name="40% - Accent4 48" xfId="1602"/>
    <cellStyle name="40% - Accent4 48 2" xfId="12783"/>
    <cellStyle name="40% - Accent4 49" xfId="1603"/>
    <cellStyle name="40% - Accent4 49 2" xfId="12795"/>
    <cellStyle name="40% - Accent4 5" xfId="1604"/>
    <cellStyle name="40% - Accent4 5 2" xfId="1605"/>
    <cellStyle name="40% - Accent4 5 2 2" xfId="12267"/>
    <cellStyle name="40% - Accent4 50" xfId="1606"/>
    <cellStyle name="40% - Accent4 50 2" xfId="12807"/>
    <cellStyle name="40% - Accent4 51" xfId="1607"/>
    <cellStyle name="40% - Accent4 51 2" xfId="12819"/>
    <cellStyle name="40% - Accent4 52" xfId="1608"/>
    <cellStyle name="40% - Accent4 52 2" xfId="12831"/>
    <cellStyle name="40% - Accent4 53" xfId="1609"/>
    <cellStyle name="40% - Accent4 53 2" xfId="12843"/>
    <cellStyle name="40% - Accent4 54" xfId="1610"/>
    <cellStyle name="40% - Accent4 54 2" xfId="12855"/>
    <cellStyle name="40% - Accent4 55" xfId="1611"/>
    <cellStyle name="40% - Accent4 55 2" xfId="12867"/>
    <cellStyle name="40% - Accent4 56" xfId="1612"/>
    <cellStyle name="40% - Accent4 56 2" xfId="12879"/>
    <cellStyle name="40% - Accent4 57" xfId="1613"/>
    <cellStyle name="40% - Accent4 57 2" xfId="12891"/>
    <cellStyle name="40% - Accent4 58" xfId="1614"/>
    <cellStyle name="40% - Accent4 58 2" xfId="12903"/>
    <cellStyle name="40% - Accent4 59" xfId="1615"/>
    <cellStyle name="40% - Accent4 59 2" xfId="12915"/>
    <cellStyle name="40% - Accent4 6" xfId="1616"/>
    <cellStyle name="40% - Accent4 6 2" xfId="1617"/>
    <cellStyle name="40% - Accent4 6 2 2" xfId="12279"/>
    <cellStyle name="40% - Accent4 60" xfId="1618"/>
    <cellStyle name="40% - Accent4 60 2" xfId="12927"/>
    <cellStyle name="40% - Accent4 61" xfId="1619"/>
    <cellStyle name="40% - Accent4 61 2" xfId="12939"/>
    <cellStyle name="40% - Accent4 62" xfId="1620"/>
    <cellStyle name="40% - Accent4 62 2" xfId="12951"/>
    <cellStyle name="40% - Accent4 63" xfId="1621"/>
    <cellStyle name="40% - Accent4 63 2" xfId="12963"/>
    <cellStyle name="40% - Accent4 64" xfId="1622"/>
    <cellStyle name="40% - Accent4 64 2" xfId="12975"/>
    <cellStyle name="40% - Accent4 65" xfId="1623"/>
    <cellStyle name="40% - Accent4 65 2" xfId="12987"/>
    <cellStyle name="40% - Accent4 66" xfId="1624"/>
    <cellStyle name="40% - Accent4 66 2" xfId="12999"/>
    <cellStyle name="40% - Accent4 67" xfId="1625"/>
    <cellStyle name="40% - Accent4 67 2" xfId="13011"/>
    <cellStyle name="40% - Accent4 68" xfId="1626"/>
    <cellStyle name="40% - Accent4 68 2" xfId="13023"/>
    <cellStyle name="40% - Accent4 69" xfId="1627"/>
    <cellStyle name="40% - Accent4 69 2" xfId="13035"/>
    <cellStyle name="40% - Accent4 7" xfId="1628"/>
    <cellStyle name="40% - Accent4 7 2" xfId="1629"/>
    <cellStyle name="40% - Accent4 7 2 2" xfId="12291"/>
    <cellStyle name="40% - Accent4 70" xfId="1630"/>
    <cellStyle name="40% - Accent4 70 2" xfId="13047"/>
    <cellStyle name="40% - Accent4 71" xfId="1631"/>
    <cellStyle name="40% - Accent4 71 2" xfId="13059"/>
    <cellStyle name="40% - Accent4 72" xfId="1632"/>
    <cellStyle name="40% - Accent4 72 2" xfId="13071"/>
    <cellStyle name="40% - Accent4 73" xfId="1633"/>
    <cellStyle name="40% - Accent4 73 2" xfId="13083"/>
    <cellStyle name="40% - Accent4 74" xfId="1634"/>
    <cellStyle name="40% - Accent4 74 2" xfId="13095"/>
    <cellStyle name="40% - Accent4 75" xfId="1635"/>
    <cellStyle name="40% - Accent4 75 2" xfId="13107"/>
    <cellStyle name="40% - Accent4 76" xfId="1636"/>
    <cellStyle name="40% - Accent4 76 2" xfId="13119"/>
    <cellStyle name="40% - Accent4 77" xfId="1637"/>
    <cellStyle name="40% - Accent4 77 2" xfId="13131"/>
    <cellStyle name="40% - Accent4 78" xfId="1638"/>
    <cellStyle name="40% - Accent4 78 2" xfId="13143"/>
    <cellStyle name="40% - Accent4 79" xfId="1639"/>
    <cellStyle name="40% - Accent4 79 2" xfId="13155"/>
    <cellStyle name="40% - Accent4 8" xfId="1640"/>
    <cellStyle name="40% - Accent4 8 2" xfId="1641"/>
    <cellStyle name="40% - Accent4 8 2 2" xfId="12303"/>
    <cellStyle name="40% - Accent4 80" xfId="1642"/>
    <cellStyle name="40% - Accent4 80 2" xfId="13167"/>
    <cellStyle name="40% - Accent4 81" xfId="1643"/>
    <cellStyle name="40% - Accent4 81 2" xfId="13179"/>
    <cellStyle name="40% - Accent4 82" xfId="1644"/>
    <cellStyle name="40% - Accent4 82 2" xfId="13191"/>
    <cellStyle name="40% - Accent4 83" xfId="1645"/>
    <cellStyle name="40% - Accent4 83 2" xfId="13203"/>
    <cellStyle name="40% - Accent4 84" xfId="1646"/>
    <cellStyle name="40% - Accent4 84 2" xfId="13215"/>
    <cellStyle name="40% - Accent4 85" xfId="1647"/>
    <cellStyle name="40% - Accent4 85 2" xfId="12117"/>
    <cellStyle name="40% - Accent4 86" xfId="1514"/>
    <cellStyle name="40% - Accent4 9" xfId="1648"/>
    <cellStyle name="40% - Accent4 9 2" xfId="1649"/>
    <cellStyle name="40% - Accent4 9 2 2" xfId="12315"/>
    <cellStyle name="40% - Accent5" xfId="121" builtinId="47" customBuiltin="1"/>
    <cellStyle name="40% - Accent5 10" xfId="1651"/>
    <cellStyle name="40% - Accent5 10 2" xfId="1652"/>
    <cellStyle name="40% - Accent5 10 2 2" xfId="12329"/>
    <cellStyle name="40% - Accent5 11" xfId="1653"/>
    <cellStyle name="40% - Accent5 11 2" xfId="1654"/>
    <cellStyle name="40% - Accent5 11 2 2" xfId="12341"/>
    <cellStyle name="40% - Accent5 12" xfId="1655"/>
    <cellStyle name="40% - Accent5 12 2" xfId="1656"/>
    <cellStyle name="40% - Accent5 12 2 2" xfId="12353"/>
    <cellStyle name="40% - Accent5 13" xfId="1657"/>
    <cellStyle name="40% - Accent5 13 2" xfId="1658"/>
    <cellStyle name="40% - Accent5 13 2 2" xfId="12365"/>
    <cellStyle name="40% - Accent5 14" xfId="1659"/>
    <cellStyle name="40% - Accent5 14 2" xfId="1660"/>
    <cellStyle name="40% - Accent5 14 2 2" xfId="12377"/>
    <cellStyle name="40% - Accent5 15" xfId="1661"/>
    <cellStyle name="40% - Accent5 15 2" xfId="1662"/>
    <cellStyle name="40% - Accent5 15 2 2" xfId="12389"/>
    <cellStyle name="40% - Accent5 16" xfId="1663"/>
    <cellStyle name="40% - Accent5 16 2" xfId="1664"/>
    <cellStyle name="40% - Accent5 16 2 2" xfId="12401"/>
    <cellStyle name="40% - Accent5 17" xfId="1665"/>
    <cellStyle name="40% - Accent5 17 2" xfId="1666"/>
    <cellStyle name="40% - Accent5 17 2 2" xfId="12413"/>
    <cellStyle name="40% - Accent5 18" xfId="1667"/>
    <cellStyle name="40% - Accent5 18 2" xfId="1668"/>
    <cellStyle name="40% - Accent5 18 2 2" xfId="12425"/>
    <cellStyle name="40% - Accent5 19" xfId="1669"/>
    <cellStyle name="40% - Accent5 19 2" xfId="1670"/>
    <cellStyle name="40% - Accent5 19 2 2" xfId="12437"/>
    <cellStyle name="40% - Accent5 2" xfId="21"/>
    <cellStyle name="40% - Accent5 2 10" xfId="1672"/>
    <cellStyle name="40% - Accent5 2 11" xfId="1673"/>
    <cellStyle name="40% - Accent5 2 12" xfId="1674"/>
    <cellStyle name="40% - Accent5 2 13" xfId="1671"/>
    <cellStyle name="40% - Accent5 2 2" xfId="1675"/>
    <cellStyle name="40% - Accent5 2 2 2" xfId="1676"/>
    <cellStyle name="40% - Accent5 2 2 2 2" xfId="12233"/>
    <cellStyle name="40% - Accent5 2 3" xfId="1677"/>
    <cellStyle name="40% - Accent5 2 4" xfId="1678"/>
    <cellStyle name="40% - Accent5 2 5" xfId="1679"/>
    <cellStyle name="40% - Accent5 2 6" xfId="1680"/>
    <cellStyle name="40% - Accent5 2 7" xfId="1681"/>
    <cellStyle name="40% - Accent5 2 8" xfId="1682"/>
    <cellStyle name="40% - Accent5 2 9" xfId="1683"/>
    <cellStyle name="40% - Accent5 20" xfId="1684"/>
    <cellStyle name="40% - Accent5 20 2" xfId="1685"/>
    <cellStyle name="40% - Accent5 20 2 2" xfId="12449"/>
    <cellStyle name="40% - Accent5 21" xfId="1686"/>
    <cellStyle name="40% - Accent5 21 2" xfId="1687"/>
    <cellStyle name="40% - Accent5 21 2 2" xfId="12461"/>
    <cellStyle name="40% - Accent5 22" xfId="1688"/>
    <cellStyle name="40% - Accent5 22 2" xfId="1689"/>
    <cellStyle name="40% - Accent5 22 2 2" xfId="12473"/>
    <cellStyle name="40% - Accent5 23" xfId="1690"/>
    <cellStyle name="40% - Accent5 23 2" xfId="1691"/>
    <cellStyle name="40% - Accent5 23 2 2" xfId="12485"/>
    <cellStyle name="40% - Accent5 24" xfId="1692"/>
    <cellStyle name="40% - Accent5 24 2" xfId="1693"/>
    <cellStyle name="40% - Accent5 24 2 2" xfId="12497"/>
    <cellStyle name="40% - Accent5 25" xfId="1694"/>
    <cellStyle name="40% - Accent5 25 2" xfId="1695"/>
    <cellStyle name="40% - Accent5 25 2 2" xfId="12509"/>
    <cellStyle name="40% - Accent5 26" xfId="1696"/>
    <cellStyle name="40% - Accent5 26 2" xfId="1697"/>
    <cellStyle name="40% - Accent5 26 2 2" xfId="12521"/>
    <cellStyle name="40% - Accent5 27" xfId="1698"/>
    <cellStyle name="40% - Accent5 27 2" xfId="1699"/>
    <cellStyle name="40% - Accent5 27 2 2" xfId="12533"/>
    <cellStyle name="40% - Accent5 28" xfId="1700"/>
    <cellStyle name="40% - Accent5 28 2" xfId="1701"/>
    <cellStyle name="40% - Accent5 28 2 2" xfId="12545"/>
    <cellStyle name="40% - Accent5 29" xfId="1702"/>
    <cellStyle name="40% - Accent5 29 2" xfId="1703"/>
    <cellStyle name="40% - Accent5 29 2 2" xfId="12557"/>
    <cellStyle name="40% - Accent5 3" xfId="22"/>
    <cellStyle name="40% - Accent5 3 2" xfId="1705"/>
    <cellStyle name="40% - Accent5 3 2 2" xfId="12245"/>
    <cellStyle name="40% - Accent5 3 3" xfId="1706"/>
    <cellStyle name="40% - Accent5 3 4" xfId="8394"/>
    <cellStyle name="40% - Accent5 3 5" xfId="1704"/>
    <cellStyle name="40% - Accent5 30" xfId="1707"/>
    <cellStyle name="40% - Accent5 30 2" xfId="1708"/>
    <cellStyle name="40% - Accent5 30 2 2" xfId="12569"/>
    <cellStyle name="40% - Accent5 31" xfId="1709"/>
    <cellStyle name="40% - Accent5 31 2" xfId="1710"/>
    <cellStyle name="40% - Accent5 31 2 2" xfId="12581"/>
    <cellStyle name="40% - Accent5 32" xfId="1711"/>
    <cellStyle name="40% - Accent5 32 2" xfId="1712"/>
    <cellStyle name="40% - Accent5 32 2 2" xfId="12593"/>
    <cellStyle name="40% - Accent5 33" xfId="1713"/>
    <cellStyle name="40% - Accent5 33 2" xfId="1714"/>
    <cellStyle name="40% - Accent5 33 2 2" xfId="12605"/>
    <cellStyle name="40% - Accent5 34" xfId="1715"/>
    <cellStyle name="40% - Accent5 34 2" xfId="1716"/>
    <cellStyle name="40% - Accent5 34 2 2" xfId="12617"/>
    <cellStyle name="40% - Accent5 35" xfId="1717"/>
    <cellStyle name="40% - Accent5 35 2" xfId="1718"/>
    <cellStyle name="40% - Accent5 35 2 2" xfId="12629"/>
    <cellStyle name="40% - Accent5 36" xfId="1719"/>
    <cellStyle name="40% - Accent5 36 2" xfId="1720"/>
    <cellStyle name="40% - Accent5 36 2 2" xfId="12641"/>
    <cellStyle name="40% - Accent5 37" xfId="1721"/>
    <cellStyle name="40% - Accent5 37 2" xfId="1722"/>
    <cellStyle name="40% - Accent5 37 2 2" xfId="12653"/>
    <cellStyle name="40% - Accent5 38" xfId="1723"/>
    <cellStyle name="40% - Accent5 38 2" xfId="1724"/>
    <cellStyle name="40% - Accent5 38 2 2" xfId="12665"/>
    <cellStyle name="40% - Accent5 39" xfId="1725"/>
    <cellStyle name="40% - Accent5 39 2" xfId="1726"/>
    <cellStyle name="40% - Accent5 39 2 2" xfId="12677"/>
    <cellStyle name="40% - Accent5 4" xfId="138"/>
    <cellStyle name="40% - Accent5 4 2" xfId="1728"/>
    <cellStyle name="40% - Accent5 4 2 2" xfId="12257"/>
    <cellStyle name="40% - Accent5 4 3" xfId="8340"/>
    <cellStyle name="40% - Accent5 4 4" xfId="1727"/>
    <cellStyle name="40% - Accent5 40" xfId="1729"/>
    <cellStyle name="40% - Accent5 40 2" xfId="1730"/>
    <cellStyle name="40% - Accent5 40 2 2" xfId="12689"/>
    <cellStyle name="40% - Accent5 40 3" xfId="12215"/>
    <cellStyle name="40% - Accent5 41" xfId="1731"/>
    <cellStyle name="40% - Accent5 41 2" xfId="12701"/>
    <cellStyle name="40% - Accent5 42" xfId="1732"/>
    <cellStyle name="40% - Accent5 42 2" xfId="12713"/>
    <cellStyle name="40% - Accent5 43" xfId="1733"/>
    <cellStyle name="40% - Accent5 43 2" xfId="12725"/>
    <cellStyle name="40% - Accent5 44" xfId="1734"/>
    <cellStyle name="40% - Accent5 44 2" xfId="12737"/>
    <cellStyle name="40% - Accent5 45" xfId="1735"/>
    <cellStyle name="40% - Accent5 45 2" xfId="12749"/>
    <cellStyle name="40% - Accent5 46" xfId="1736"/>
    <cellStyle name="40% - Accent5 46 2" xfId="12761"/>
    <cellStyle name="40% - Accent5 47" xfId="1737"/>
    <cellStyle name="40% - Accent5 47 2" xfId="12773"/>
    <cellStyle name="40% - Accent5 48" xfId="1738"/>
    <cellStyle name="40% - Accent5 48 2" xfId="12785"/>
    <cellStyle name="40% - Accent5 49" xfId="1739"/>
    <cellStyle name="40% - Accent5 49 2" xfId="12797"/>
    <cellStyle name="40% - Accent5 5" xfId="1740"/>
    <cellStyle name="40% - Accent5 5 2" xfId="1741"/>
    <cellStyle name="40% - Accent5 5 2 2" xfId="12269"/>
    <cellStyle name="40% - Accent5 50" xfId="1742"/>
    <cellStyle name="40% - Accent5 50 2" xfId="12809"/>
    <cellStyle name="40% - Accent5 51" xfId="1743"/>
    <cellStyle name="40% - Accent5 51 2" xfId="12821"/>
    <cellStyle name="40% - Accent5 52" xfId="1744"/>
    <cellStyle name="40% - Accent5 52 2" xfId="12833"/>
    <cellStyle name="40% - Accent5 53" xfId="1745"/>
    <cellStyle name="40% - Accent5 53 2" xfId="12845"/>
    <cellStyle name="40% - Accent5 54" xfId="1746"/>
    <cellStyle name="40% - Accent5 54 2" xfId="12857"/>
    <cellStyle name="40% - Accent5 55" xfId="1747"/>
    <cellStyle name="40% - Accent5 55 2" xfId="12869"/>
    <cellStyle name="40% - Accent5 56" xfId="1748"/>
    <cellStyle name="40% - Accent5 56 2" xfId="12881"/>
    <cellStyle name="40% - Accent5 57" xfId="1749"/>
    <cellStyle name="40% - Accent5 57 2" xfId="12893"/>
    <cellStyle name="40% - Accent5 58" xfId="1750"/>
    <cellStyle name="40% - Accent5 58 2" xfId="12905"/>
    <cellStyle name="40% - Accent5 59" xfId="1751"/>
    <cellStyle name="40% - Accent5 59 2" xfId="12917"/>
    <cellStyle name="40% - Accent5 6" xfId="1752"/>
    <cellStyle name="40% - Accent5 6 2" xfId="1753"/>
    <cellStyle name="40% - Accent5 6 2 2" xfId="12281"/>
    <cellStyle name="40% - Accent5 60" xfId="1754"/>
    <cellStyle name="40% - Accent5 60 2" xfId="12929"/>
    <cellStyle name="40% - Accent5 61" xfId="1755"/>
    <cellStyle name="40% - Accent5 61 2" xfId="12941"/>
    <cellStyle name="40% - Accent5 62" xfId="1756"/>
    <cellStyle name="40% - Accent5 62 2" xfId="12953"/>
    <cellStyle name="40% - Accent5 63" xfId="1757"/>
    <cellStyle name="40% - Accent5 63 2" xfId="12965"/>
    <cellStyle name="40% - Accent5 64" xfId="1758"/>
    <cellStyle name="40% - Accent5 64 2" xfId="12977"/>
    <cellStyle name="40% - Accent5 65" xfId="1759"/>
    <cellStyle name="40% - Accent5 65 2" xfId="12989"/>
    <cellStyle name="40% - Accent5 66" xfId="1760"/>
    <cellStyle name="40% - Accent5 66 2" xfId="13001"/>
    <cellStyle name="40% - Accent5 67" xfId="1761"/>
    <cellStyle name="40% - Accent5 67 2" xfId="13013"/>
    <cellStyle name="40% - Accent5 68" xfId="1762"/>
    <cellStyle name="40% - Accent5 68 2" xfId="13025"/>
    <cellStyle name="40% - Accent5 69" xfId="1763"/>
    <cellStyle name="40% - Accent5 69 2" xfId="13037"/>
    <cellStyle name="40% - Accent5 7" xfId="1764"/>
    <cellStyle name="40% - Accent5 7 2" xfId="1765"/>
    <cellStyle name="40% - Accent5 7 2 2" xfId="12293"/>
    <cellStyle name="40% - Accent5 70" xfId="1766"/>
    <cellStyle name="40% - Accent5 70 2" xfId="13049"/>
    <cellStyle name="40% - Accent5 71" xfId="1767"/>
    <cellStyle name="40% - Accent5 71 2" xfId="13061"/>
    <cellStyle name="40% - Accent5 72" xfId="1768"/>
    <cellStyle name="40% - Accent5 72 2" xfId="13073"/>
    <cellStyle name="40% - Accent5 73" xfId="1769"/>
    <cellStyle name="40% - Accent5 73 2" xfId="13085"/>
    <cellStyle name="40% - Accent5 74" xfId="1770"/>
    <cellStyle name="40% - Accent5 74 2" xfId="13097"/>
    <cellStyle name="40% - Accent5 75" xfId="1771"/>
    <cellStyle name="40% - Accent5 75 2" xfId="13109"/>
    <cellStyle name="40% - Accent5 76" xfId="1772"/>
    <cellStyle name="40% - Accent5 76 2" xfId="13121"/>
    <cellStyle name="40% - Accent5 77" xfId="1773"/>
    <cellStyle name="40% - Accent5 77 2" xfId="13133"/>
    <cellStyle name="40% - Accent5 78" xfId="1774"/>
    <cellStyle name="40% - Accent5 78 2" xfId="13145"/>
    <cellStyle name="40% - Accent5 79" xfId="1775"/>
    <cellStyle name="40% - Accent5 79 2" xfId="13157"/>
    <cellStyle name="40% - Accent5 8" xfId="1776"/>
    <cellStyle name="40% - Accent5 8 2" xfId="1777"/>
    <cellStyle name="40% - Accent5 8 2 2" xfId="12305"/>
    <cellStyle name="40% - Accent5 80" xfId="1778"/>
    <cellStyle name="40% - Accent5 80 2" xfId="13169"/>
    <cellStyle name="40% - Accent5 81" xfId="1779"/>
    <cellStyle name="40% - Accent5 81 2" xfId="13181"/>
    <cellStyle name="40% - Accent5 82" xfId="1780"/>
    <cellStyle name="40% - Accent5 82 2" xfId="13193"/>
    <cellStyle name="40% - Accent5 83" xfId="1781"/>
    <cellStyle name="40% - Accent5 83 2" xfId="13205"/>
    <cellStyle name="40% - Accent5 84" xfId="1782"/>
    <cellStyle name="40% - Accent5 84 2" xfId="13217"/>
    <cellStyle name="40% - Accent5 85" xfId="1783"/>
    <cellStyle name="40% - Accent5 85 2" xfId="12119"/>
    <cellStyle name="40% - Accent5 86" xfId="1650"/>
    <cellStyle name="40% - Accent5 9" xfId="1784"/>
    <cellStyle name="40% - Accent5 9 2" xfId="1785"/>
    <cellStyle name="40% - Accent5 9 2 2" xfId="12317"/>
    <cellStyle name="40% - Accent6" xfId="125" builtinId="51" customBuiltin="1"/>
    <cellStyle name="40% - Accent6 10" xfId="1787"/>
    <cellStyle name="40% - Accent6 10 2" xfId="1788"/>
    <cellStyle name="40% - Accent6 10 2 2" xfId="12331"/>
    <cellStyle name="40% - Accent6 11" xfId="1789"/>
    <cellStyle name="40% - Accent6 11 2" xfId="1790"/>
    <cellStyle name="40% - Accent6 11 2 2" xfId="12343"/>
    <cellStyle name="40% - Accent6 12" xfId="1791"/>
    <cellStyle name="40% - Accent6 12 2" xfId="1792"/>
    <cellStyle name="40% - Accent6 12 2 2" xfId="12355"/>
    <cellStyle name="40% - Accent6 13" xfId="1793"/>
    <cellStyle name="40% - Accent6 13 2" xfId="1794"/>
    <cellStyle name="40% - Accent6 13 2 2" xfId="12367"/>
    <cellStyle name="40% - Accent6 14" xfId="1795"/>
    <cellStyle name="40% - Accent6 14 2" xfId="1796"/>
    <cellStyle name="40% - Accent6 14 2 2" xfId="12379"/>
    <cellStyle name="40% - Accent6 15" xfId="1797"/>
    <cellStyle name="40% - Accent6 15 2" xfId="1798"/>
    <cellStyle name="40% - Accent6 15 2 2" xfId="12391"/>
    <cellStyle name="40% - Accent6 16" xfId="1799"/>
    <cellStyle name="40% - Accent6 16 2" xfId="1800"/>
    <cellStyle name="40% - Accent6 16 2 2" xfId="12403"/>
    <cellStyle name="40% - Accent6 17" xfId="1801"/>
    <cellStyle name="40% - Accent6 17 2" xfId="1802"/>
    <cellStyle name="40% - Accent6 17 2 2" xfId="12415"/>
    <cellStyle name="40% - Accent6 18" xfId="1803"/>
    <cellStyle name="40% - Accent6 18 2" xfId="1804"/>
    <cellStyle name="40% - Accent6 18 2 2" xfId="12427"/>
    <cellStyle name="40% - Accent6 19" xfId="1805"/>
    <cellStyle name="40% - Accent6 19 2" xfId="1806"/>
    <cellStyle name="40% - Accent6 19 2 2" xfId="12439"/>
    <cellStyle name="40% - Accent6 2" xfId="23"/>
    <cellStyle name="40% - Accent6 2 10" xfId="1808"/>
    <cellStyle name="40% - Accent6 2 11" xfId="1809"/>
    <cellStyle name="40% - Accent6 2 12" xfId="1810"/>
    <cellStyle name="40% - Accent6 2 13" xfId="1807"/>
    <cellStyle name="40% - Accent6 2 2" xfId="1811"/>
    <cellStyle name="40% - Accent6 2 2 2" xfId="1812"/>
    <cellStyle name="40% - Accent6 2 2 2 2" xfId="12235"/>
    <cellStyle name="40% - Accent6 2 3" xfId="1813"/>
    <cellStyle name="40% - Accent6 2 4" xfId="1814"/>
    <cellStyle name="40% - Accent6 2 5" xfId="1815"/>
    <cellStyle name="40% - Accent6 2 6" xfId="1816"/>
    <cellStyle name="40% - Accent6 2 7" xfId="1817"/>
    <cellStyle name="40% - Accent6 2 8" xfId="1818"/>
    <cellStyle name="40% - Accent6 2 9" xfId="1819"/>
    <cellStyle name="40% - Accent6 20" xfId="1820"/>
    <cellStyle name="40% - Accent6 20 2" xfId="1821"/>
    <cellStyle name="40% - Accent6 20 2 2" xfId="12451"/>
    <cellStyle name="40% - Accent6 21" xfId="1822"/>
    <cellStyle name="40% - Accent6 21 2" xfId="1823"/>
    <cellStyle name="40% - Accent6 21 2 2" xfId="12463"/>
    <cellStyle name="40% - Accent6 22" xfId="1824"/>
    <cellStyle name="40% - Accent6 22 2" xfId="1825"/>
    <cellStyle name="40% - Accent6 22 2 2" xfId="12475"/>
    <cellStyle name="40% - Accent6 23" xfId="1826"/>
    <cellStyle name="40% - Accent6 23 2" xfId="1827"/>
    <cellStyle name="40% - Accent6 23 2 2" xfId="12487"/>
    <cellStyle name="40% - Accent6 24" xfId="1828"/>
    <cellStyle name="40% - Accent6 24 2" xfId="1829"/>
    <cellStyle name="40% - Accent6 24 2 2" xfId="12499"/>
    <cellStyle name="40% - Accent6 25" xfId="1830"/>
    <cellStyle name="40% - Accent6 25 2" xfId="1831"/>
    <cellStyle name="40% - Accent6 25 2 2" xfId="12511"/>
    <cellStyle name="40% - Accent6 26" xfId="1832"/>
    <cellStyle name="40% - Accent6 26 2" xfId="1833"/>
    <cellStyle name="40% - Accent6 26 2 2" xfId="12523"/>
    <cellStyle name="40% - Accent6 27" xfId="1834"/>
    <cellStyle name="40% - Accent6 27 2" xfId="1835"/>
    <cellStyle name="40% - Accent6 27 2 2" xfId="12535"/>
    <cellStyle name="40% - Accent6 28" xfId="1836"/>
    <cellStyle name="40% - Accent6 28 2" xfId="1837"/>
    <cellStyle name="40% - Accent6 28 2 2" xfId="12547"/>
    <cellStyle name="40% - Accent6 29" xfId="1838"/>
    <cellStyle name="40% - Accent6 29 2" xfId="1839"/>
    <cellStyle name="40% - Accent6 29 2 2" xfId="12559"/>
    <cellStyle name="40% - Accent6 3" xfId="24"/>
    <cellStyle name="40% - Accent6 3 2" xfId="1841"/>
    <cellStyle name="40% - Accent6 3 2 2" xfId="12247"/>
    <cellStyle name="40% - Accent6 3 3" xfId="1842"/>
    <cellStyle name="40% - Accent6 3 4" xfId="8393"/>
    <cellStyle name="40% - Accent6 3 5" xfId="1840"/>
    <cellStyle name="40% - Accent6 30" xfId="1843"/>
    <cellStyle name="40% - Accent6 30 2" xfId="1844"/>
    <cellStyle name="40% - Accent6 30 2 2" xfId="12571"/>
    <cellStyle name="40% - Accent6 31" xfId="1845"/>
    <cellStyle name="40% - Accent6 31 2" xfId="1846"/>
    <cellStyle name="40% - Accent6 31 2 2" xfId="12583"/>
    <cellStyle name="40% - Accent6 32" xfId="1847"/>
    <cellStyle name="40% - Accent6 32 2" xfId="1848"/>
    <cellStyle name="40% - Accent6 32 2 2" xfId="12595"/>
    <cellStyle name="40% - Accent6 33" xfId="1849"/>
    <cellStyle name="40% - Accent6 33 2" xfId="1850"/>
    <cellStyle name="40% - Accent6 33 2 2" xfId="12607"/>
    <cellStyle name="40% - Accent6 34" xfId="1851"/>
    <cellStyle name="40% - Accent6 34 2" xfId="1852"/>
    <cellStyle name="40% - Accent6 34 2 2" xfId="12619"/>
    <cellStyle name="40% - Accent6 35" xfId="1853"/>
    <cellStyle name="40% - Accent6 35 2" xfId="1854"/>
    <cellStyle name="40% - Accent6 35 2 2" xfId="12631"/>
    <cellStyle name="40% - Accent6 36" xfId="1855"/>
    <cellStyle name="40% - Accent6 36 2" xfId="1856"/>
    <cellStyle name="40% - Accent6 36 2 2" xfId="12643"/>
    <cellStyle name="40% - Accent6 37" xfId="1857"/>
    <cellStyle name="40% - Accent6 37 2" xfId="1858"/>
    <cellStyle name="40% - Accent6 37 2 2" xfId="12655"/>
    <cellStyle name="40% - Accent6 38" xfId="1859"/>
    <cellStyle name="40% - Accent6 38 2" xfId="1860"/>
    <cellStyle name="40% - Accent6 38 2 2" xfId="12667"/>
    <cellStyle name="40% - Accent6 39" xfId="1861"/>
    <cellStyle name="40% - Accent6 39 2" xfId="1862"/>
    <cellStyle name="40% - Accent6 39 2 2" xfId="12679"/>
    <cellStyle name="40% - Accent6 4" xfId="140"/>
    <cellStyle name="40% - Accent6 4 2" xfId="1864"/>
    <cellStyle name="40% - Accent6 4 2 2" xfId="12259"/>
    <cellStyle name="40% - Accent6 4 3" xfId="8338"/>
    <cellStyle name="40% - Accent6 4 4" xfId="1863"/>
    <cellStyle name="40% - Accent6 40" xfId="1865"/>
    <cellStyle name="40% - Accent6 40 2" xfId="1866"/>
    <cellStyle name="40% - Accent6 40 2 2" xfId="12691"/>
    <cellStyle name="40% - Accent6 40 3" xfId="12217"/>
    <cellStyle name="40% - Accent6 41" xfId="1867"/>
    <cellStyle name="40% - Accent6 41 2" xfId="12703"/>
    <cellStyle name="40% - Accent6 42" xfId="1868"/>
    <cellStyle name="40% - Accent6 42 2" xfId="12715"/>
    <cellStyle name="40% - Accent6 43" xfId="1869"/>
    <cellStyle name="40% - Accent6 43 2" xfId="12727"/>
    <cellStyle name="40% - Accent6 44" xfId="1870"/>
    <cellStyle name="40% - Accent6 44 2" xfId="12739"/>
    <cellStyle name="40% - Accent6 45" xfId="1871"/>
    <cellStyle name="40% - Accent6 45 2" xfId="12751"/>
    <cellStyle name="40% - Accent6 46" xfId="1872"/>
    <cellStyle name="40% - Accent6 46 2" xfId="12763"/>
    <cellStyle name="40% - Accent6 47" xfId="1873"/>
    <cellStyle name="40% - Accent6 47 2" xfId="12775"/>
    <cellStyle name="40% - Accent6 48" xfId="1874"/>
    <cellStyle name="40% - Accent6 48 2" xfId="12787"/>
    <cellStyle name="40% - Accent6 49" xfId="1875"/>
    <cellStyle name="40% - Accent6 49 2" xfId="12799"/>
    <cellStyle name="40% - Accent6 5" xfId="1876"/>
    <cellStyle name="40% - Accent6 5 2" xfId="1877"/>
    <cellStyle name="40% - Accent6 5 2 2" xfId="12271"/>
    <cellStyle name="40% - Accent6 50" xfId="1878"/>
    <cellStyle name="40% - Accent6 50 2" xfId="12811"/>
    <cellStyle name="40% - Accent6 51" xfId="1879"/>
    <cellStyle name="40% - Accent6 51 2" xfId="12823"/>
    <cellStyle name="40% - Accent6 52" xfId="1880"/>
    <cellStyle name="40% - Accent6 52 2" xfId="12835"/>
    <cellStyle name="40% - Accent6 53" xfId="1881"/>
    <cellStyle name="40% - Accent6 53 2" xfId="12847"/>
    <cellStyle name="40% - Accent6 54" xfId="1882"/>
    <cellStyle name="40% - Accent6 54 2" xfId="12859"/>
    <cellStyle name="40% - Accent6 55" xfId="1883"/>
    <cellStyle name="40% - Accent6 55 2" xfId="12871"/>
    <cellStyle name="40% - Accent6 56" xfId="1884"/>
    <cellStyle name="40% - Accent6 56 2" xfId="12883"/>
    <cellStyle name="40% - Accent6 57" xfId="1885"/>
    <cellStyle name="40% - Accent6 57 2" xfId="12895"/>
    <cellStyle name="40% - Accent6 58" xfId="1886"/>
    <cellStyle name="40% - Accent6 58 2" xfId="12907"/>
    <cellStyle name="40% - Accent6 59" xfId="1887"/>
    <cellStyle name="40% - Accent6 59 2" xfId="12919"/>
    <cellStyle name="40% - Accent6 6" xfId="1888"/>
    <cellStyle name="40% - Accent6 6 2" xfId="1889"/>
    <cellStyle name="40% - Accent6 6 2 2" xfId="12283"/>
    <cellStyle name="40% - Accent6 60" xfId="1890"/>
    <cellStyle name="40% - Accent6 60 2" xfId="12931"/>
    <cellStyle name="40% - Accent6 61" xfId="1891"/>
    <cellStyle name="40% - Accent6 61 2" xfId="12943"/>
    <cellStyle name="40% - Accent6 62" xfId="1892"/>
    <cellStyle name="40% - Accent6 62 2" xfId="12955"/>
    <cellStyle name="40% - Accent6 63" xfId="1893"/>
    <cellStyle name="40% - Accent6 63 2" xfId="12967"/>
    <cellStyle name="40% - Accent6 64" xfId="1894"/>
    <cellStyle name="40% - Accent6 64 2" xfId="12979"/>
    <cellStyle name="40% - Accent6 65" xfId="1895"/>
    <cellStyle name="40% - Accent6 65 2" xfId="12991"/>
    <cellStyle name="40% - Accent6 66" xfId="1896"/>
    <cellStyle name="40% - Accent6 66 2" xfId="13003"/>
    <cellStyle name="40% - Accent6 67" xfId="1897"/>
    <cellStyle name="40% - Accent6 67 2" xfId="13015"/>
    <cellStyle name="40% - Accent6 68" xfId="1898"/>
    <cellStyle name="40% - Accent6 68 2" xfId="13027"/>
    <cellStyle name="40% - Accent6 69" xfId="1899"/>
    <cellStyle name="40% - Accent6 69 2" xfId="13039"/>
    <cellStyle name="40% - Accent6 7" xfId="1900"/>
    <cellStyle name="40% - Accent6 7 2" xfId="1901"/>
    <cellStyle name="40% - Accent6 7 2 2" xfId="12295"/>
    <cellStyle name="40% - Accent6 70" xfId="1902"/>
    <cellStyle name="40% - Accent6 70 2" xfId="13051"/>
    <cellStyle name="40% - Accent6 71" xfId="1903"/>
    <cellStyle name="40% - Accent6 71 2" xfId="13063"/>
    <cellStyle name="40% - Accent6 72" xfId="1904"/>
    <cellStyle name="40% - Accent6 72 2" xfId="13075"/>
    <cellStyle name="40% - Accent6 73" xfId="1905"/>
    <cellStyle name="40% - Accent6 73 2" xfId="13087"/>
    <cellStyle name="40% - Accent6 74" xfId="1906"/>
    <cellStyle name="40% - Accent6 74 2" xfId="13099"/>
    <cellStyle name="40% - Accent6 75" xfId="1907"/>
    <cellStyle name="40% - Accent6 75 2" xfId="13111"/>
    <cellStyle name="40% - Accent6 76" xfId="1908"/>
    <cellStyle name="40% - Accent6 76 2" xfId="13123"/>
    <cellStyle name="40% - Accent6 77" xfId="1909"/>
    <cellStyle name="40% - Accent6 77 2" xfId="13135"/>
    <cellStyle name="40% - Accent6 78" xfId="1910"/>
    <cellStyle name="40% - Accent6 78 2" xfId="13147"/>
    <cellStyle name="40% - Accent6 79" xfId="1911"/>
    <cellStyle name="40% - Accent6 79 2" xfId="13159"/>
    <cellStyle name="40% - Accent6 8" xfId="1912"/>
    <cellStyle name="40% - Accent6 8 2" xfId="1913"/>
    <cellStyle name="40% - Accent6 8 2 2" xfId="12307"/>
    <cellStyle name="40% - Accent6 80" xfId="1914"/>
    <cellStyle name="40% - Accent6 80 2" xfId="13171"/>
    <cellStyle name="40% - Accent6 81" xfId="1915"/>
    <cellStyle name="40% - Accent6 81 2" xfId="13183"/>
    <cellStyle name="40% - Accent6 82" xfId="1916"/>
    <cellStyle name="40% - Accent6 82 2" xfId="13195"/>
    <cellStyle name="40% - Accent6 83" xfId="1917"/>
    <cellStyle name="40% - Accent6 83 2" xfId="13207"/>
    <cellStyle name="40% - Accent6 84" xfId="1918"/>
    <cellStyle name="40% - Accent6 84 2" xfId="13219"/>
    <cellStyle name="40% - Accent6 85" xfId="1919"/>
    <cellStyle name="40% - Accent6 85 2" xfId="12122"/>
    <cellStyle name="40% - Accent6 86" xfId="1786"/>
    <cellStyle name="40% - Accent6 9" xfId="1920"/>
    <cellStyle name="40% - Accent6 9 2" xfId="1921"/>
    <cellStyle name="40% - Accent6 9 2 2" xfId="12319"/>
    <cellStyle name="60% - Accent1" xfId="106" builtinId="32" customBuiltin="1"/>
    <cellStyle name="60% - Accent1 10" xfId="1923"/>
    <cellStyle name="60% - Accent1 10 2" xfId="1924"/>
    <cellStyle name="60% - Accent1 11" xfId="1925"/>
    <cellStyle name="60% - Accent1 11 2" xfId="1926"/>
    <cellStyle name="60% - Accent1 12" xfId="1927"/>
    <cellStyle name="60% - Accent1 12 2" xfId="1928"/>
    <cellStyle name="60% - Accent1 13" xfId="1929"/>
    <cellStyle name="60% - Accent1 13 2" xfId="1930"/>
    <cellStyle name="60% - Accent1 14" xfId="1931"/>
    <cellStyle name="60% - Accent1 14 2" xfId="1932"/>
    <cellStyle name="60% - Accent1 15" xfId="1933"/>
    <cellStyle name="60% - Accent1 15 2" xfId="1934"/>
    <cellStyle name="60% - Accent1 16" xfId="1935"/>
    <cellStyle name="60% - Accent1 16 2" xfId="1936"/>
    <cellStyle name="60% - Accent1 17" xfId="1937"/>
    <cellStyle name="60% - Accent1 17 2" xfId="1938"/>
    <cellStyle name="60% - Accent1 18" xfId="1939"/>
    <cellStyle name="60% - Accent1 18 2" xfId="1940"/>
    <cellStyle name="60% - Accent1 19" xfId="1941"/>
    <cellStyle name="60% - Accent1 19 2" xfId="1942"/>
    <cellStyle name="60% - Accent1 2" xfId="25"/>
    <cellStyle name="60% - Accent1 2 10" xfId="1944"/>
    <cellStyle name="60% - Accent1 2 11" xfId="1945"/>
    <cellStyle name="60% - Accent1 2 12" xfId="1946"/>
    <cellStyle name="60% - Accent1 2 13" xfId="1943"/>
    <cellStyle name="60% - Accent1 2 2" xfId="1947"/>
    <cellStyle name="60% - Accent1 2 2 2" xfId="1948"/>
    <cellStyle name="60% - Accent1 2 3" xfId="1949"/>
    <cellStyle name="60% - Accent1 2 4" xfId="1950"/>
    <cellStyle name="60% - Accent1 2 5" xfId="1951"/>
    <cellStyle name="60% - Accent1 2 6" xfId="1952"/>
    <cellStyle name="60% - Accent1 2 7" xfId="1953"/>
    <cellStyle name="60% - Accent1 2 8" xfId="1954"/>
    <cellStyle name="60% - Accent1 2 9" xfId="1955"/>
    <cellStyle name="60% - Accent1 20" xfId="1956"/>
    <cellStyle name="60% - Accent1 20 2" xfId="1957"/>
    <cellStyle name="60% - Accent1 21" xfId="1958"/>
    <cellStyle name="60% - Accent1 21 2" xfId="1959"/>
    <cellStyle name="60% - Accent1 22" xfId="1960"/>
    <cellStyle name="60% - Accent1 22 2" xfId="1961"/>
    <cellStyle name="60% - Accent1 23" xfId="1962"/>
    <cellStyle name="60% - Accent1 23 2" xfId="1963"/>
    <cellStyle name="60% - Accent1 24" xfId="1964"/>
    <cellStyle name="60% - Accent1 24 2" xfId="1965"/>
    <cellStyle name="60% - Accent1 25" xfId="1966"/>
    <cellStyle name="60% - Accent1 25 2" xfId="1967"/>
    <cellStyle name="60% - Accent1 26" xfId="1968"/>
    <cellStyle name="60% - Accent1 26 2" xfId="1969"/>
    <cellStyle name="60% - Accent1 27" xfId="1970"/>
    <cellStyle name="60% - Accent1 27 2" xfId="1971"/>
    <cellStyle name="60% - Accent1 28" xfId="1972"/>
    <cellStyle name="60% - Accent1 28 2" xfId="1973"/>
    <cellStyle name="60% - Accent1 29" xfId="1974"/>
    <cellStyle name="60% - Accent1 29 2" xfId="1975"/>
    <cellStyle name="60% - Accent1 3" xfId="26"/>
    <cellStyle name="60% - Accent1 3 2" xfId="1977"/>
    <cellStyle name="60% - Accent1 3 3" xfId="1978"/>
    <cellStyle name="60% - Accent1 3 4" xfId="8392"/>
    <cellStyle name="60% - Accent1 3 5" xfId="1976"/>
    <cellStyle name="60% - Accent1 30" xfId="1979"/>
    <cellStyle name="60% - Accent1 30 2" xfId="1980"/>
    <cellStyle name="60% - Accent1 31" xfId="1981"/>
    <cellStyle name="60% - Accent1 31 2" xfId="1982"/>
    <cellStyle name="60% - Accent1 32" xfId="1983"/>
    <cellStyle name="60% - Accent1 32 2" xfId="1984"/>
    <cellStyle name="60% - Accent1 33" xfId="1985"/>
    <cellStyle name="60% - Accent1 33 2" xfId="1986"/>
    <cellStyle name="60% - Accent1 34" xfId="1987"/>
    <cellStyle name="60% - Accent1 34 2" xfId="1988"/>
    <cellStyle name="60% - Accent1 35" xfId="1989"/>
    <cellStyle name="60% - Accent1 35 2" xfId="1990"/>
    <cellStyle name="60% - Accent1 36" xfId="1991"/>
    <cellStyle name="60% - Accent1 36 2" xfId="1992"/>
    <cellStyle name="60% - Accent1 37" xfId="1993"/>
    <cellStyle name="60% - Accent1 37 2" xfId="1994"/>
    <cellStyle name="60% - Accent1 38" xfId="1995"/>
    <cellStyle name="60% - Accent1 38 2" xfId="1996"/>
    <cellStyle name="60% - Accent1 39" xfId="1997"/>
    <cellStyle name="60% - Accent1 39 2" xfId="1998"/>
    <cellStyle name="60% - Accent1 4" xfId="1999"/>
    <cellStyle name="60% - Accent1 4 2" xfId="2000"/>
    <cellStyle name="60% - Accent1 40" xfId="2001"/>
    <cellStyle name="60% - Accent1 41" xfId="2002"/>
    <cellStyle name="60% - Accent1 42" xfId="2003"/>
    <cellStyle name="60% - Accent1 43" xfId="2004"/>
    <cellStyle name="60% - Accent1 44" xfId="2005"/>
    <cellStyle name="60% - Accent1 45" xfId="2006"/>
    <cellStyle name="60% - Accent1 46" xfId="2007"/>
    <cellStyle name="60% - Accent1 47" xfId="2008"/>
    <cellStyle name="60% - Accent1 48" xfId="2009"/>
    <cellStyle name="60% - Accent1 49" xfId="2010"/>
    <cellStyle name="60% - Accent1 5" xfId="2011"/>
    <cellStyle name="60% - Accent1 5 2" xfId="2012"/>
    <cellStyle name="60% - Accent1 50" xfId="2013"/>
    <cellStyle name="60% - Accent1 51" xfId="2014"/>
    <cellStyle name="60% - Accent1 52" xfId="2015"/>
    <cellStyle name="60% - Accent1 53" xfId="2016"/>
    <cellStyle name="60% - Accent1 54" xfId="2017"/>
    <cellStyle name="60% - Accent1 55" xfId="2018"/>
    <cellStyle name="60% - Accent1 56" xfId="2019"/>
    <cellStyle name="60% - Accent1 57" xfId="2020"/>
    <cellStyle name="60% - Accent1 58" xfId="2021"/>
    <cellStyle name="60% - Accent1 59" xfId="2022"/>
    <cellStyle name="60% - Accent1 6" xfId="2023"/>
    <cellStyle name="60% - Accent1 6 2" xfId="2024"/>
    <cellStyle name="60% - Accent1 60" xfId="2025"/>
    <cellStyle name="60% - Accent1 61" xfId="2026"/>
    <cellStyle name="60% - Accent1 62" xfId="2027"/>
    <cellStyle name="60% - Accent1 63" xfId="2028"/>
    <cellStyle name="60% - Accent1 64" xfId="2029"/>
    <cellStyle name="60% - Accent1 65" xfId="2030"/>
    <cellStyle name="60% - Accent1 66" xfId="2031"/>
    <cellStyle name="60% - Accent1 67" xfId="2032"/>
    <cellStyle name="60% - Accent1 68" xfId="2033"/>
    <cellStyle name="60% - Accent1 69" xfId="2034"/>
    <cellStyle name="60% - Accent1 7" xfId="2035"/>
    <cellStyle name="60% - Accent1 7 2" xfId="2036"/>
    <cellStyle name="60% - Accent1 70" xfId="2037"/>
    <cellStyle name="60% - Accent1 71" xfId="2038"/>
    <cellStyle name="60% - Accent1 72" xfId="2039"/>
    <cellStyle name="60% - Accent1 73" xfId="2040"/>
    <cellStyle name="60% - Accent1 74" xfId="2041"/>
    <cellStyle name="60% - Accent1 75" xfId="2042"/>
    <cellStyle name="60% - Accent1 76" xfId="2043"/>
    <cellStyle name="60% - Accent1 77" xfId="2044"/>
    <cellStyle name="60% - Accent1 78" xfId="2045"/>
    <cellStyle name="60% - Accent1 79" xfId="2046"/>
    <cellStyle name="60% - Accent1 8" xfId="2047"/>
    <cellStyle name="60% - Accent1 8 2" xfId="2048"/>
    <cellStyle name="60% - Accent1 80" xfId="2049"/>
    <cellStyle name="60% - Accent1 81" xfId="2050"/>
    <cellStyle name="60% - Accent1 82" xfId="2051"/>
    <cellStyle name="60% - Accent1 83" xfId="2052"/>
    <cellStyle name="60% - Accent1 84" xfId="2053"/>
    <cellStyle name="60% - Accent1 85" xfId="1922"/>
    <cellStyle name="60% - Accent1 9" xfId="2054"/>
    <cellStyle name="60% - Accent1 9 2" xfId="2055"/>
    <cellStyle name="60% - Accent2" xfId="110" builtinId="36" customBuiltin="1"/>
    <cellStyle name="60% - Accent2 10" xfId="2057"/>
    <cellStyle name="60% - Accent2 10 2" xfId="2058"/>
    <cellStyle name="60% - Accent2 11" xfId="2059"/>
    <cellStyle name="60% - Accent2 11 2" xfId="2060"/>
    <cellStyle name="60% - Accent2 12" xfId="2061"/>
    <cellStyle name="60% - Accent2 12 2" xfId="2062"/>
    <cellStyle name="60% - Accent2 13" xfId="2063"/>
    <cellStyle name="60% - Accent2 13 2" xfId="2064"/>
    <cellStyle name="60% - Accent2 14" xfId="2065"/>
    <cellStyle name="60% - Accent2 14 2" xfId="2066"/>
    <cellStyle name="60% - Accent2 15" xfId="2067"/>
    <cellStyle name="60% - Accent2 15 2" xfId="2068"/>
    <cellStyle name="60% - Accent2 16" xfId="2069"/>
    <cellStyle name="60% - Accent2 16 2" xfId="2070"/>
    <cellStyle name="60% - Accent2 17" xfId="2071"/>
    <cellStyle name="60% - Accent2 17 2" xfId="2072"/>
    <cellStyle name="60% - Accent2 18" xfId="2073"/>
    <cellStyle name="60% - Accent2 18 2" xfId="2074"/>
    <cellStyle name="60% - Accent2 19" xfId="2075"/>
    <cellStyle name="60% - Accent2 19 2" xfId="2076"/>
    <cellStyle name="60% - Accent2 2" xfId="27"/>
    <cellStyle name="60% - Accent2 2 10" xfId="2078"/>
    <cellStyle name="60% - Accent2 2 11" xfId="2079"/>
    <cellStyle name="60% - Accent2 2 12" xfId="2080"/>
    <cellStyle name="60% - Accent2 2 13" xfId="2077"/>
    <cellStyle name="60% - Accent2 2 2" xfId="2081"/>
    <cellStyle name="60% - Accent2 2 2 2" xfId="2082"/>
    <cellStyle name="60% - Accent2 2 3" xfId="2083"/>
    <cellStyle name="60% - Accent2 2 4" xfId="2084"/>
    <cellStyle name="60% - Accent2 2 5" xfId="2085"/>
    <cellStyle name="60% - Accent2 2 6" xfId="2086"/>
    <cellStyle name="60% - Accent2 2 7" xfId="2087"/>
    <cellStyle name="60% - Accent2 2 8" xfId="2088"/>
    <cellStyle name="60% - Accent2 2 9" xfId="2089"/>
    <cellStyle name="60% - Accent2 20" xfId="2090"/>
    <cellStyle name="60% - Accent2 20 2" xfId="2091"/>
    <cellStyle name="60% - Accent2 21" xfId="2092"/>
    <cellStyle name="60% - Accent2 21 2" xfId="2093"/>
    <cellStyle name="60% - Accent2 22" xfId="2094"/>
    <cellStyle name="60% - Accent2 22 2" xfId="2095"/>
    <cellStyle name="60% - Accent2 23" xfId="2096"/>
    <cellStyle name="60% - Accent2 23 2" xfId="2097"/>
    <cellStyle name="60% - Accent2 24" xfId="2098"/>
    <cellStyle name="60% - Accent2 24 2" xfId="2099"/>
    <cellStyle name="60% - Accent2 25" xfId="2100"/>
    <cellStyle name="60% - Accent2 25 2" xfId="2101"/>
    <cellStyle name="60% - Accent2 26" xfId="2102"/>
    <cellStyle name="60% - Accent2 26 2" xfId="2103"/>
    <cellStyle name="60% - Accent2 27" xfId="2104"/>
    <cellStyle name="60% - Accent2 27 2" xfId="2105"/>
    <cellStyle name="60% - Accent2 28" xfId="2106"/>
    <cellStyle name="60% - Accent2 28 2" xfId="2107"/>
    <cellStyle name="60% - Accent2 29" xfId="2108"/>
    <cellStyle name="60% - Accent2 29 2" xfId="2109"/>
    <cellStyle name="60% - Accent2 3" xfId="28"/>
    <cellStyle name="60% - Accent2 3 2" xfId="2111"/>
    <cellStyle name="60% - Accent2 3 3" xfId="2112"/>
    <cellStyle name="60% - Accent2 3 4" xfId="8391"/>
    <cellStyle name="60% - Accent2 3 5" xfId="2110"/>
    <cellStyle name="60% - Accent2 30" xfId="2113"/>
    <cellStyle name="60% - Accent2 30 2" xfId="2114"/>
    <cellStyle name="60% - Accent2 31" xfId="2115"/>
    <cellStyle name="60% - Accent2 31 2" xfId="2116"/>
    <cellStyle name="60% - Accent2 32" xfId="2117"/>
    <cellStyle name="60% - Accent2 32 2" xfId="2118"/>
    <cellStyle name="60% - Accent2 33" xfId="2119"/>
    <cellStyle name="60% - Accent2 33 2" xfId="2120"/>
    <cellStyle name="60% - Accent2 34" xfId="2121"/>
    <cellStyle name="60% - Accent2 34 2" xfId="2122"/>
    <cellStyle name="60% - Accent2 35" xfId="2123"/>
    <cellStyle name="60% - Accent2 35 2" xfId="2124"/>
    <cellStyle name="60% - Accent2 36" xfId="2125"/>
    <cellStyle name="60% - Accent2 36 2" xfId="2126"/>
    <cellStyle name="60% - Accent2 37" xfId="2127"/>
    <cellStyle name="60% - Accent2 37 2" xfId="2128"/>
    <cellStyle name="60% - Accent2 38" xfId="2129"/>
    <cellStyle name="60% - Accent2 38 2" xfId="2130"/>
    <cellStyle name="60% - Accent2 39" xfId="2131"/>
    <cellStyle name="60% - Accent2 39 2" xfId="2132"/>
    <cellStyle name="60% - Accent2 4" xfId="2133"/>
    <cellStyle name="60% - Accent2 4 2" xfId="2134"/>
    <cellStyle name="60% - Accent2 40" xfId="2135"/>
    <cellStyle name="60% - Accent2 41" xfId="2136"/>
    <cellStyle name="60% - Accent2 42" xfId="2137"/>
    <cellStyle name="60% - Accent2 43" xfId="2138"/>
    <cellStyle name="60% - Accent2 44" xfId="2139"/>
    <cellStyle name="60% - Accent2 45" xfId="2140"/>
    <cellStyle name="60% - Accent2 46" xfId="2141"/>
    <cellStyle name="60% - Accent2 47" xfId="2142"/>
    <cellStyle name="60% - Accent2 48" xfId="2143"/>
    <cellStyle name="60% - Accent2 49" xfId="2144"/>
    <cellStyle name="60% - Accent2 5" xfId="2145"/>
    <cellStyle name="60% - Accent2 5 2" xfId="2146"/>
    <cellStyle name="60% - Accent2 50" xfId="2147"/>
    <cellStyle name="60% - Accent2 51" xfId="2148"/>
    <cellStyle name="60% - Accent2 52" xfId="2149"/>
    <cellStyle name="60% - Accent2 53" xfId="2150"/>
    <cellStyle name="60% - Accent2 54" xfId="2151"/>
    <cellStyle name="60% - Accent2 55" xfId="2152"/>
    <cellStyle name="60% - Accent2 56" xfId="2153"/>
    <cellStyle name="60% - Accent2 57" xfId="2154"/>
    <cellStyle name="60% - Accent2 58" xfId="2155"/>
    <cellStyle name="60% - Accent2 59" xfId="2156"/>
    <cellStyle name="60% - Accent2 6" xfId="2157"/>
    <cellStyle name="60% - Accent2 6 2" xfId="2158"/>
    <cellStyle name="60% - Accent2 60" xfId="2159"/>
    <cellStyle name="60% - Accent2 61" xfId="2160"/>
    <cellStyle name="60% - Accent2 62" xfId="2161"/>
    <cellStyle name="60% - Accent2 63" xfId="2162"/>
    <cellStyle name="60% - Accent2 64" xfId="2163"/>
    <cellStyle name="60% - Accent2 65" xfId="2164"/>
    <cellStyle name="60% - Accent2 66" xfId="2165"/>
    <cellStyle name="60% - Accent2 67" xfId="2166"/>
    <cellStyle name="60% - Accent2 68" xfId="2167"/>
    <cellStyle name="60% - Accent2 69" xfId="2168"/>
    <cellStyle name="60% - Accent2 7" xfId="2169"/>
    <cellStyle name="60% - Accent2 7 2" xfId="2170"/>
    <cellStyle name="60% - Accent2 70" xfId="2171"/>
    <cellStyle name="60% - Accent2 71" xfId="2172"/>
    <cellStyle name="60% - Accent2 72" xfId="2173"/>
    <cellStyle name="60% - Accent2 73" xfId="2174"/>
    <cellStyle name="60% - Accent2 74" xfId="2175"/>
    <cellStyle name="60% - Accent2 75" xfId="2176"/>
    <cellStyle name="60% - Accent2 76" xfId="2177"/>
    <cellStyle name="60% - Accent2 77" xfId="2178"/>
    <cellStyle name="60% - Accent2 78" xfId="2179"/>
    <cellStyle name="60% - Accent2 79" xfId="2180"/>
    <cellStyle name="60% - Accent2 8" xfId="2181"/>
    <cellStyle name="60% - Accent2 8 2" xfId="2182"/>
    <cellStyle name="60% - Accent2 80" xfId="2183"/>
    <cellStyle name="60% - Accent2 81" xfId="2184"/>
    <cellStyle name="60% - Accent2 82" xfId="2185"/>
    <cellStyle name="60% - Accent2 83" xfId="2186"/>
    <cellStyle name="60% - Accent2 84" xfId="2187"/>
    <cellStyle name="60% - Accent2 85" xfId="2056"/>
    <cellStyle name="60% - Accent2 9" xfId="2188"/>
    <cellStyle name="60% - Accent2 9 2" xfId="2189"/>
    <cellStyle name="60% - Accent3" xfId="114" builtinId="40" customBuiltin="1"/>
    <cellStyle name="60% - Accent3 10" xfId="2191"/>
    <cellStyle name="60% - Accent3 10 2" xfId="2192"/>
    <cellStyle name="60% - Accent3 11" xfId="2193"/>
    <cellStyle name="60% - Accent3 11 2" xfId="2194"/>
    <cellStyle name="60% - Accent3 12" xfId="2195"/>
    <cellStyle name="60% - Accent3 12 2" xfId="2196"/>
    <cellStyle name="60% - Accent3 13" xfId="2197"/>
    <cellStyle name="60% - Accent3 13 2" xfId="2198"/>
    <cellStyle name="60% - Accent3 14" xfId="2199"/>
    <cellStyle name="60% - Accent3 14 2" xfId="2200"/>
    <cellStyle name="60% - Accent3 15" xfId="2201"/>
    <cellStyle name="60% - Accent3 15 2" xfId="2202"/>
    <cellStyle name="60% - Accent3 16" xfId="2203"/>
    <cellStyle name="60% - Accent3 16 2" xfId="2204"/>
    <cellStyle name="60% - Accent3 17" xfId="2205"/>
    <cellStyle name="60% - Accent3 17 2" xfId="2206"/>
    <cellStyle name="60% - Accent3 18" xfId="2207"/>
    <cellStyle name="60% - Accent3 18 2" xfId="2208"/>
    <cellStyle name="60% - Accent3 19" xfId="2209"/>
    <cellStyle name="60% - Accent3 19 2" xfId="2210"/>
    <cellStyle name="60% - Accent3 2" xfId="29"/>
    <cellStyle name="60% - Accent3 2 10" xfId="2212"/>
    <cellStyle name="60% - Accent3 2 11" xfId="2213"/>
    <cellStyle name="60% - Accent3 2 12" xfId="2214"/>
    <cellStyle name="60% - Accent3 2 13" xfId="2211"/>
    <cellStyle name="60% - Accent3 2 2" xfId="2215"/>
    <cellStyle name="60% - Accent3 2 2 2" xfId="2216"/>
    <cellStyle name="60% - Accent3 2 3" xfId="2217"/>
    <cellStyle name="60% - Accent3 2 4" xfId="2218"/>
    <cellStyle name="60% - Accent3 2 5" xfId="2219"/>
    <cellStyle name="60% - Accent3 2 6" xfId="2220"/>
    <cellStyle name="60% - Accent3 2 7" xfId="2221"/>
    <cellStyle name="60% - Accent3 2 8" xfId="2222"/>
    <cellStyle name="60% - Accent3 2 9" xfId="2223"/>
    <cellStyle name="60% - Accent3 20" xfId="2224"/>
    <cellStyle name="60% - Accent3 20 2" xfId="2225"/>
    <cellStyle name="60% - Accent3 21" xfId="2226"/>
    <cellStyle name="60% - Accent3 21 2" xfId="2227"/>
    <cellStyle name="60% - Accent3 22" xfId="2228"/>
    <cellStyle name="60% - Accent3 22 2" xfId="2229"/>
    <cellStyle name="60% - Accent3 23" xfId="2230"/>
    <cellStyle name="60% - Accent3 23 2" xfId="2231"/>
    <cellStyle name="60% - Accent3 24" xfId="2232"/>
    <cellStyle name="60% - Accent3 24 2" xfId="2233"/>
    <cellStyle name="60% - Accent3 25" xfId="2234"/>
    <cellStyle name="60% - Accent3 25 2" xfId="2235"/>
    <cellStyle name="60% - Accent3 26" xfId="2236"/>
    <cellStyle name="60% - Accent3 26 2" xfId="2237"/>
    <cellStyle name="60% - Accent3 27" xfId="2238"/>
    <cellStyle name="60% - Accent3 27 2" xfId="2239"/>
    <cellStyle name="60% - Accent3 28" xfId="2240"/>
    <cellStyle name="60% - Accent3 28 2" xfId="2241"/>
    <cellStyle name="60% - Accent3 29" xfId="2242"/>
    <cellStyle name="60% - Accent3 29 2" xfId="2243"/>
    <cellStyle name="60% - Accent3 3" xfId="30"/>
    <cellStyle name="60% - Accent3 3 2" xfId="2245"/>
    <cellStyle name="60% - Accent3 3 3" xfId="2246"/>
    <cellStyle name="60% - Accent3 3 4" xfId="8390"/>
    <cellStyle name="60% - Accent3 3 5" xfId="2244"/>
    <cellStyle name="60% - Accent3 30" xfId="2247"/>
    <cellStyle name="60% - Accent3 30 2" xfId="2248"/>
    <cellStyle name="60% - Accent3 31" xfId="2249"/>
    <cellStyle name="60% - Accent3 31 2" xfId="2250"/>
    <cellStyle name="60% - Accent3 32" xfId="2251"/>
    <cellStyle name="60% - Accent3 32 2" xfId="2252"/>
    <cellStyle name="60% - Accent3 33" xfId="2253"/>
    <cellStyle name="60% - Accent3 33 2" xfId="2254"/>
    <cellStyle name="60% - Accent3 34" xfId="2255"/>
    <cellStyle name="60% - Accent3 34 2" xfId="2256"/>
    <cellStyle name="60% - Accent3 35" xfId="2257"/>
    <cellStyle name="60% - Accent3 35 2" xfId="2258"/>
    <cellStyle name="60% - Accent3 36" xfId="2259"/>
    <cellStyle name="60% - Accent3 36 2" xfId="2260"/>
    <cellStyle name="60% - Accent3 37" xfId="2261"/>
    <cellStyle name="60% - Accent3 37 2" xfId="2262"/>
    <cellStyle name="60% - Accent3 38" xfId="2263"/>
    <cellStyle name="60% - Accent3 38 2" xfId="2264"/>
    <cellStyle name="60% - Accent3 39" xfId="2265"/>
    <cellStyle name="60% - Accent3 39 2" xfId="2266"/>
    <cellStyle name="60% - Accent3 4" xfId="2267"/>
    <cellStyle name="60% - Accent3 4 2" xfId="2268"/>
    <cellStyle name="60% - Accent3 40" xfId="2269"/>
    <cellStyle name="60% - Accent3 41" xfId="2270"/>
    <cellStyle name="60% - Accent3 42" xfId="2271"/>
    <cellStyle name="60% - Accent3 43" xfId="2272"/>
    <cellStyle name="60% - Accent3 44" xfId="2273"/>
    <cellStyle name="60% - Accent3 45" xfId="2274"/>
    <cellStyle name="60% - Accent3 46" xfId="2275"/>
    <cellStyle name="60% - Accent3 47" xfId="2276"/>
    <cellStyle name="60% - Accent3 48" xfId="2277"/>
    <cellStyle name="60% - Accent3 49" xfId="2278"/>
    <cellStyle name="60% - Accent3 5" xfId="2279"/>
    <cellStyle name="60% - Accent3 5 2" xfId="2280"/>
    <cellStyle name="60% - Accent3 50" xfId="2281"/>
    <cellStyle name="60% - Accent3 51" xfId="2282"/>
    <cellStyle name="60% - Accent3 52" xfId="2283"/>
    <cellStyle name="60% - Accent3 53" xfId="2284"/>
    <cellStyle name="60% - Accent3 54" xfId="2285"/>
    <cellStyle name="60% - Accent3 55" xfId="2286"/>
    <cellStyle name="60% - Accent3 56" xfId="2287"/>
    <cellStyle name="60% - Accent3 57" xfId="2288"/>
    <cellStyle name="60% - Accent3 58" xfId="2289"/>
    <cellStyle name="60% - Accent3 59" xfId="2290"/>
    <cellStyle name="60% - Accent3 6" xfId="2291"/>
    <cellStyle name="60% - Accent3 6 2" xfId="2292"/>
    <cellStyle name="60% - Accent3 60" xfId="2293"/>
    <cellStyle name="60% - Accent3 61" xfId="2294"/>
    <cellStyle name="60% - Accent3 62" xfId="2295"/>
    <cellStyle name="60% - Accent3 63" xfId="2296"/>
    <cellStyle name="60% - Accent3 64" xfId="2297"/>
    <cellStyle name="60% - Accent3 65" xfId="2298"/>
    <cellStyle name="60% - Accent3 66" xfId="2299"/>
    <cellStyle name="60% - Accent3 67" xfId="2300"/>
    <cellStyle name="60% - Accent3 68" xfId="2301"/>
    <cellStyle name="60% - Accent3 69" xfId="2302"/>
    <cellStyle name="60% - Accent3 7" xfId="2303"/>
    <cellStyle name="60% - Accent3 7 2" xfId="2304"/>
    <cellStyle name="60% - Accent3 70" xfId="2305"/>
    <cellStyle name="60% - Accent3 71" xfId="2306"/>
    <cellStyle name="60% - Accent3 72" xfId="2307"/>
    <cellStyle name="60% - Accent3 73" xfId="2308"/>
    <cellStyle name="60% - Accent3 74" xfId="2309"/>
    <cellStyle name="60% - Accent3 75" xfId="2310"/>
    <cellStyle name="60% - Accent3 76" xfId="2311"/>
    <cellStyle name="60% - Accent3 77" xfId="2312"/>
    <cellStyle name="60% - Accent3 78" xfId="2313"/>
    <cellStyle name="60% - Accent3 79" xfId="2314"/>
    <cellStyle name="60% - Accent3 8" xfId="2315"/>
    <cellStyle name="60% - Accent3 8 2" xfId="2316"/>
    <cellStyle name="60% - Accent3 80" xfId="2317"/>
    <cellStyle name="60% - Accent3 81" xfId="2318"/>
    <cellStyle name="60% - Accent3 82" xfId="2319"/>
    <cellStyle name="60% - Accent3 83" xfId="2320"/>
    <cellStyle name="60% - Accent3 84" xfId="2321"/>
    <cellStyle name="60% - Accent3 85" xfId="2190"/>
    <cellStyle name="60% - Accent3 9" xfId="2322"/>
    <cellStyle name="60% - Accent3 9 2" xfId="2323"/>
    <cellStyle name="60% - Accent4" xfId="118" builtinId="44" customBuiltin="1"/>
    <cellStyle name="60% - Accent4 10" xfId="2325"/>
    <cellStyle name="60% - Accent4 10 2" xfId="2326"/>
    <cellStyle name="60% - Accent4 11" xfId="2327"/>
    <cellStyle name="60% - Accent4 11 2" xfId="2328"/>
    <cellStyle name="60% - Accent4 12" xfId="2329"/>
    <cellStyle name="60% - Accent4 12 2" xfId="2330"/>
    <cellStyle name="60% - Accent4 13" xfId="2331"/>
    <cellStyle name="60% - Accent4 13 2" xfId="2332"/>
    <cellStyle name="60% - Accent4 14" xfId="2333"/>
    <cellStyle name="60% - Accent4 14 2" xfId="2334"/>
    <cellStyle name="60% - Accent4 15" xfId="2335"/>
    <cellStyle name="60% - Accent4 15 2" xfId="2336"/>
    <cellStyle name="60% - Accent4 16" xfId="2337"/>
    <cellStyle name="60% - Accent4 16 2" xfId="2338"/>
    <cellStyle name="60% - Accent4 17" xfId="2339"/>
    <cellStyle name="60% - Accent4 17 2" xfId="2340"/>
    <cellStyle name="60% - Accent4 18" xfId="2341"/>
    <cellStyle name="60% - Accent4 18 2" xfId="2342"/>
    <cellStyle name="60% - Accent4 19" xfId="2343"/>
    <cellStyle name="60% - Accent4 19 2" xfId="2344"/>
    <cellStyle name="60% - Accent4 2" xfId="31"/>
    <cellStyle name="60% - Accent4 2 10" xfId="2346"/>
    <cellStyle name="60% - Accent4 2 11" xfId="2347"/>
    <cellStyle name="60% - Accent4 2 12" xfId="2348"/>
    <cellStyle name="60% - Accent4 2 13" xfId="2345"/>
    <cellStyle name="60% - Accent4 2 2" xfId="2349"/>
    <cellStyle name="60% - Accent4 2 2 2" xfId="2350"/>
    <cellStyle name="60% - Accent4 2 3" xfId="2351"/>
    <cellStyle name="60% - Accent4 2 4" xfId="2352"/>
    <cellStyle name="60% - Accent4 2 5" xfId="2353"/>
    <cellStyle name="60% - Accent4 2 6" xfId="2354"/>
    <cellStyle name="60% - Accent4 2 7" xfId="2355"/>
    <cellStyle name="60% - Accent4 2 8" xfId="2356"/>
    <cellStyle name="60% - Accent4 2 9" xfId="2357"/>
    <cellStyle name="60% - Accent4 20" xfId="2358"/>
    <cellStyle name="60% - Accent4 20 2" xfId="2359"/>
    <cellStyle name="60% - Accent4 21" xfId="2360"/>
    <cellStyle name="60% - Accent4 21 2" xfId="2361"/>
    <cellStyle name="60% - Accent4 22" xfId="2362"/>
    <cellStyle name="60% - Accent4 22 2" xfId="2363"/>
    <cellStyle name="60% - Accent4 23" xfId="2364"/>
    <cellStyle name="60% - Accent4 23 2" xfId="2365"/>
    <cellStyle name="60% - Accent4 24" xfId="2366"/>
    <cellStyle name="60% - Accent4 24 2" xfId="2367"/>
    <cellStyle name="60% - Accent4 25" xfId="2368"/>
    <cellStyle name="60% - Accent4 25 2" xfId="2369"/>
    <cellStyle name="60% - Accent4 26" xfId="2370"/>
    <cellStyle name="60% - Accent4 26 2" xfId="2371"/>
    <cellStyle name="60% - Accent4 27" xfId="2372"/>
    <cellStyle name="60% - Accent4 27 2" xfId="2373"/>
    <cellStyle name="60% - Accent4 28" xfId="2374"/>
    <cellStyle name="60% - Accent4 28 2" xfId="2375"/>
    <cellStyle name="60% - Accent4 29" xfId="2376"/>
    <cellStyle name="60% - Accent4 29 2" xfId="2377"/>
    <cellStyle name="60% - Accent4 3" xfId="32"/>
    <cellStyle name="60% - Accent4 3 2" xfId="2379"/>
    <cellStyle name="60% - Accent4 3 3" xfId="2380"/>
    <cellStyle name="60% - Accent4 3 4" xfId="8389"/>
    <cellStyle name="60% - Accent4 3 5" xfId="2378"/>
    <cellStyle name="60% - Accent4 30" xfId="2381"/>
    <cellStyle name="60% - Accent4 30 2" xfId="2382"/>
    <cellStyle name="60% - Accent4 31" xfId="2383"/>
    <cellStyle name="60% - Accent4 31 2" xfId="2384"/>
    <cellStyle name="60% - Accent4 32" xfId="2385"/>
    <cellStyle name="60% - Accent4 32 2" xfId="2386"/>
    <cellStyle name="60% - Accent4 33" xfId="2387"/>
    <cellStyle name="60% - Accent4 33 2" xfId="2388"/>
    <cellStyle name="60% - Accent4 34" xfId="2389"/>
    <cellStyle name="60% - Accent4 34 2" xfId="2390"/>
    <cellStyle name="60% - Accent4 35" xfId="2391"/>
    <cellStyle name="60% - Accent4 35 2" xfId="2392"/>
    <cellStyle name="60% - Accent4 36" xfId="2393"/>
    <cellStyle name="60% - Accent4 36 2" xfId="2394"/>
    <cellStyle name="60% - Accent4 37" xfId="2395"/>
    <cellStyle name="60% - Accent4 37 2" xfId="2396"/>
    <cellStyle name="60% - Accent4 38" xfId="2397"/>
    <cellStyle name="60% - Accent4 38 2" xfId="2398"/>
    <cellStyle name="60% - Accent4 39" xfId="2399"/>
    <cellStyle name="60% - Accent4 39 2" xfId="2400"/>
    <cellStyle name="60% - Accent4 4" xfId="2401"/>
    <cellStyle name="60% - Accent4 4 2" xfId="2402"/>
    <cellStyle name="60% - Accent4 40" xfId="2403"/>
    <cellStyle name="60% - Accent4 41" xfId="2404"/>
    <cellStyle name="60% - Accent4 42" xfId="2405"/>
    <cellStyle name="60% - Accent4 43" xfId="2406"/>
    <cellStyle name="60% - Accent4 44" xfId="2407"/>
    <cellStyle name="60% - Accent4 45" xfId="2408"/>
    <cellStyle name="60% - Accent4 46" xfId="2409"/>
    <cellStyle name="60% - Accent4 47" xfId="2410"/>
    <cellStyle name="60% - Accent4 48" xfId="2411"/>
    <cellStyle name="60% - Accent4 49" xfId="2412"/>
    <cellStyle name="60% - Accent4 5" xfId="2413"/>
    <cellStyle name="60% - Accent4 5 2" xfId="2414"/>
    <cellStyle name="60% - Accent4 50" xfId="2415"/>
    <cellStyle name="60% - Accent4 51" xfId="2416"/>
    <cellStyle name="60% - Accent4 52" xfId="2417"/>
    <cellStyle name="60% - Accent4 53" xfId="2418"/>
    <cellStyle name="60% - Accent4 54" xfId="2419"/>
    <cellStyle name="60% - Accent4 55" xfId="2420"/>
    <cellStyle name="60% - Accent4 56" xfId="2421"/>
    <cellStyle name="60% - Accent4 57" xfId="2422"/>
    <cellStyle name="60% - Accent4 58" xfId="2423"/>
    <cellStyle name="60% - Accent4 59" xfId="2424"/>
    <cellStyle name="60% - Accent4 6" xfId="2425"/>
    <cellStyle name="60% - Accent4 6 2" xfId="2426"/>
    <cellStyle name="60% - Accent4 60" xfId="2427"/>
    <cellStyle name="60% - Accent4 61" xfId="2428"/>
    <cellStyle name="60% - Accent4 62" xfId="2429"/>
    <cellStyle name="60% - Accent4 63" xfId="2430"/>
    <cellStyle name="60% - Accent4 64" xfId="2431"/>
    <cellStyle name="60% - Accent4 65" xfId="2432"/>
    <cellStyle name="60% - Accent4 66" xfId="2433"/>
    <cellStyle name="60% - Accent4 67" xfId="2434"/>
    <cellStyle name="60% - Accent4 68" xfId="2435"/>
    <cellStyle name="60% - Accent4 69" xfId="2436"/>
    <cellStyle name="60% - Accent4 7" xfId="2437"/>
    <cellStyle name="60% - Accent4 7 2" xfId="2438"/>
    <cellStyle name="60% - Accent4 70" xfId="2439"/>
    <cellStyle name="60% - Accent4 71" xfId="2440"/>
    <cellStyle name="60% - Accent4 72" xfId="2441"/>
    <cellStyle name="60% - Accent4 73" xfId="2442"/>
    <cellStyle name="60% - Accent4 74" xfId="2443"/>
    <cellStyle name="60% - Accent4 75" xfId="2444"/>
    <cellStyle name="60% - Accent4 76" xfId="2445"/>
    <cellStyle name="60% - Accent4 77" xfId="2446"/>
    <cellStyle name="60% - Accent4 78" xfId="2447"/>
    <cellStyle name="60% - Accent4 79" xfId="2448"/>
    <cellStyle name="60% - Accent4 8" xfId="2449"/>
    <cellStyle name="60% - Accent4 8 2" xfId="2450"/>
    <cellStyle name="60% - Accent4 80" xfId="2451"/>
    <cellStyle name="60% - Accent4 81" xfId="2452"/>
    <cellStyle name="60% - Accent4 82" xfId="2453"/>
    <cellStyle name="60% - Accent4 83" xfId="2454"/>
    <cellStyle name="60% - Accent4 84" xfId="2455"/>
    <cellStyle name="60% - Accent4 85" xfId="2324"/>
    <cellStyle name="60% - Accent4 9" xfId="2456"/>
    <cellStyle name="60% - Accent4 9 2" xfId="2457"/>
    <cellStyle name="60% - Accent5" xfId="122" builtinId="48" customBuiltin="1"/>
    <cellStyle name="60% - Accent5 10" xfId="2459"/>
    <cellStyle name="60% - Accent5 10 2" xfId="2460"/>
    <cellStyle name="60% - Accent5 11" xfId="2461"/>
    <cellStyle name="60% - Accent5 11 2" xfId="2462"/>
    <cellStyle name="60% - Accent5 12" xfId="2463"/>
    <cellStyle name="60% - Accent5 12 2" xfId="2464"/>
    <cellStyle name="60% - Accent5 13" xfId="2465"/>
    <cellStyle name="60% - Accent5 13 2" xfId="2466"/>
    <cellStyle name="60% - Accent5 14" xfId="2467"/>
    <cellStyle name="60% - Accent5 14 2" xfId="2468"/>
    <cellStyle name="60% - Accent5 15" xfId="2469"/>
    <cellStyle name="60% - Accent5 15 2" xfId="2470"/>
    <cellStyle name="60% - Accent5 16" xfId="2471"/>
    <cellStyle name="60% - Accent5 16 2" xfId="2472"/>
    <cellStyle name="60% - Accent5 17" xfId="2473"/>
    <cellStyle name="60% - Accent5 17 2" xfId="2474"/>
    <cellStyle name="60% - Accent5 18" xfId="2475"/>
    <cellStyle name="60% - Accent5 18 2" xfId="2476"/>
    <cellStyle name="60% - Accent5 19" xfId="2477"/>
    <cellStyle name="60% - Accent5 19 2" xfId="2478"/>
    <cellStyle name="60% - Accent5 2" xfId="33"/>
    <cellStyle name="60% - Accent5 2 10" xfId="2480"/>
    <cellStyle name="60% - Accent5 2 11" xfId="2481"/>
    <cellStyle name="60% - Accent5 2 12" xfId="2482"/>
    <cellStyle name="60% - Accent5 2 13" xfId="2479"/>
    <cellStyle name="60% - Accent5 2 2" xfId="2483"/>
    <cellStyle name="60% - Accent5 2 2 2" xfId="2484"/>
    <cellStyle name="60% - Accent5 2 3" xfId="2485"/>
    <cellStyle name="60% - Accent5 2 4" xfId="2486"/>
    <cellStyle name="60% - Accent5 2 5" xfId="2487"/>
    <cellStyle name="60% - Accent5 2 6" xfId="2488"/>
    <cellStyle name="60% - Accent5 2 7" xfId="2489"/>
    <cellStyle name="60% - Accent5 2 8" xfId="2490"/>
    <cellStyle name="60% - Accent5 2 9" xfId="2491"/>
    <cellStyle name="60% - Accent5 20" xfId="2492"/>
    <cellStyle name="60% - Accent5 20 2" xfId="2493"/>
    <cellStyle name="60% - Accent5 21" xfId="2494"/>
    <cellStyle name="60% - Accent5 21 2" xfId="2495"/>
    <cellStyle name="60% - Accent5 22" xfId="2496"/>
    <cellStyle name="60% - Accent5 22 2" xfId="2497"/>
    <cellStyle name="60% - Accent5 23" xfId="2498"/>
    <cellStyle name="60% - Accent5 23 2" xfId="2499"/>
    <cellStyle name="60% - Accent5 24" xfId="2500"/>
    <cellStyle name="60% - Accent5 24 2" xfId="2501"/>
    <cellStyle name="60% - Accent5 25" xfId="2502"/>
    <cellStyle name="60% - Accent5 25 2" xfId="2503"/>
    <cellStyle name="60% - Accent5 26" xfId="2504"/>
    <cellStyle name="60% - Accent5 26 2" xfId="2505"/>
    <cellStyle name="60% - Accent5 27" xfId="2506"/>
    <cellStyle name="60% - Accent5 27 2" xfId="2507"/>
    <cellStyle name="60% - Accent5 28" xfId="2508"/>
    <cellStyle name="60% - Accent5 28 2" xfId="2509"/>
    <cellStyle name="60% - Accent5 29" xfId="2510"/>
    <cellStyle name="60% - Accent5 29 2" xfId="2511"/>
    <cellStyle name="60% - Accent5 3" xfId="34"/>
    <cellStyle name="60% - Accent5 3 2" xfId="2513"/>
    <cellStyle name="60% - Accent5 3 3" xfId="2514"/>
    <cellStyle name="60% - Accent5 3 4" xfId="8388"/>
    <cellStyle name="60% - Accent5 3 5" xfId="2512"/>
    <cellStyle name="60% - Accent5 30" xfId="2515"/>
    <cellStyle name="60% - Accent5 30 2" xfId="2516"/>
    <cellStyle name="60% - Accent5 31" xfId="2517"/>
    <cellStyle name="60% - Accent5 31 2" xfId="2518"/>
    <cellStyle name="60% - Accent5 32" xfId="2519"/>
    <cellStyle name="60% - Accent5 32 2" xfId="2520"/>
    <cellStyle name="60% - Accent5 33" xfId="2521"/>
    <cellStyle name="60% - Accent5 33 2" xfId="2522"/>
    <cellStyle name="60% - Accent5 34" xfId="2523"/>
    <cellStyle name="60% - Accent5 34 2" xfId="2524"/>
    <cellStyle name="60% - Accent5 35" xfId="2525"/>
    <cellStyle name="60% - Accent5 35 2" xfId="2526"/>
    <cellStyle name="60% - Accent5 36" xfId="2527"/>
    <cellStyle name="60% - Accent5 36 2" xfId="2528"/>
    <cellStyle name="60% - Accent5 37" xfId="2529"/>
    <cellStyle name="60% - Accent5 37 2" xfId="2530"/>
    <cellStyle name="60% - Accent5 38" xfId="2531"/>
    <cellStyle name="60% - Accent5 38 2" xfId="2532"/>
    <cellStyle name="60% - Accent5 39" xfId="2533"/>
    <cellStyle name="60% - Accent5 39 2" xfId="2534"/>
    <cellStyle name="60% - Accent5 4" xfId="2535"/>
    <cellStyle name="60% - Accent5 4 2" xfId="2536"/>
    <cellStyle name="60% - Accent5 40" xfId="2537"/>
    <cellStyle name="60% - Accent5 41" xfId="2538"/>
    <cellStyle name="60% - Accent5 42" xfId="2539"/>
    <cellStyle name="60% - Accent5 43" xfId="2540"/>
    <cellStyle name="60% - Accent5 44" xfId="2541"/>
    <cellStyle name="60% - Accent5 45" xfId="2542"/>
    <cellStyle name="60% - Accent5 46" xfId="2543"/>
    <cellStyle name="60% - Accent5 47" xfId="2544"/>
    <cellStyle name="60% - Accent5 48" xfId="2545"/>
    <cellStyle name="60% - Accent5 49" xfId="2546"/>
    <cellStyle name="60% - Accent5 5" xfId="2547"/>
    <cellStyle name="60% - Accent5 5 2" xfId="2548"/>
    <cellStyle name="60% - Accent5 50" xfId="2549"/>
    <cellStyle name="60% - Accent5 51" xfId="2550"/>
    <cellStyle name="60% - Accent5 52" xfId="2551"/>
    <cellStyle name="60% - Accent5 53" xfId="2552"/>
    <cellStyle name="60% - Accent5 54" xfId="2553"/>
    <cellStyle name="60% - Accent5 55" xfId="2554"/>
    <cellStyle name="60% - Accent5 56" xfId="2555"/>
    <cellStyle name="60% - Accent5 57" xfId="2556"/>
    <cellStyle name="60% - Accent5 58" xfId="2557"/>
    <cellStyle name="60% - Accent5 59" xfId="2558"/>
    <cellStyle name="60% - Accent5 6" xfId="2559"/>
    <cellStyle name="60% - Accent5 6 2" xfId="2560"/>
    <cellStyle name="60% - Accent5 60" xfId="2561"/>
    <cellStyle name="60% - Accent5 61" xfId="2562"/>
    <cellStyle name="60% - Accent5 62" xfId="2563"/>
    <cellStyle name="60% - Accent5 63" xfId="2564"/>
    <cellStyle name="60% - Accent5 64" xfId="2565"/>
    <cellStyle name="60% - Accent5 65" xfId="2566"/>
    <cellStyle name="60% - Accent5 66" xfId="2567"/>
    <cellStyle name="60% - Accent5 67" xfId="2568"/>
    <cellStyle name="60% - Accent5 68" xfId="2569"/>
    <cellStyle name="60% - Accent5 69" xfId="2570"/>
    <cellStyle name="60% - Accent5 7" xfId="2571"/>
    <cellStyle name="60% - Accent5 7 2" xfId="2572"/>
    <cellStyle name="60% - Accent5 70" xfId="2573"/>
    <cellStyle name="60% - Accent5 71" xfId="2574"/>
    <cellStyle name="60% - Accent5 72" xfId="2575"/>
    <cellStyle name="60% - Accent5 73" xfId="2576"/>
    <cellStyle name="60% - Accent5 74" xfId="2577"/>
    <cellStyle name="60% - Accent5 75" xfId="2578"/>
    <cellStyle name="60% - Accent5 76" xfId="2579"/>
    <cellStyle name="60% - Accent5 77" xfId="2580"/>
    <cellStyle name="60% - Accent5 78" xfId="2581"/>
    <cellStyle name="60% - Accent5 79" xfId="2582"/>
    <cellStyle name="60% - Accent5 8" xfId="2583"/>
    <cellStyle name="60% - Accent5 8 2" xfId="2584"/>
    <cellStyle name="60% - Accent5 80" xfId="2585"/>
    <cellStyle name="60% - Accent5 81" xfId="2586"/>
    <cellStyle name="60% - Accent5 82" xfId="2587"/>
    <cellStyle name="60% - Accent5 83" xfId="2588"/>
    <cellStyle name="60% - Accent5 84" xfId="2589"/>
    <cellStyle name="60% - Accent5 85" xfId="2458"/>
    <cellStyle name="60% - Accent5 9" xfId="2590"/>
    <cellStyle name="60% - Accent5 9 2" xfId="2591"/>
    <cellStyle name="60% - Accent6" xfId="126" builtinId="52" customBuiltin="1"/>
    <cellStyle name="60% - Accent6 10" xfId="2593"/>
    <cellStyle name="60% - Accent6 10 2" xfId="2594"/>
    <cellStyle name="60% - Accent6 11" xfId="2595"/>
    <cellStyle name="60% - Accent6 11 2" xfId="2596"/>
    <cellStyle name="60% - Accent6 12" xfId="2597"/>
    <cellStyle name="60% - Accent6 12 2" xfId="2598"/>
    <cellStyle name="60% - Accent6 13" xfId="2599"/>
    <cellStyle name="60% - Accent6 13 2" xfId="2600"/>
    <cellStyle name="60% - Accent6 14" xfId="2601"/>
    <cellStyle name="60% - Accent6 14 2" xfId="2602"/>
    <cellStyle name="60% - Accent6 15" xfId="2603"/>
    <cellStyle name="60% - Accent6 15 2" xfId="2604"/>
    <cellStyle name="60% - Accent6 16" xfId="2605"/>
    <cellStyle name="60% - Accent6 16 2" xfId="2606"/>
    <cellStyle name="60% - Accent6 17" xfId="2607"/>
    <cellStyle name="60% - Accent6 17 2" xfId="2608"/>
    <cellStyle name="60% - Accent6 18" xfId="2609"/>
    <cellStyle name="60% - Accent6 18 2" xfId="2610"/>
    <cellStyle name="60% - Accent6 19" xfId="2611"/>
    <cellStyle name="60% - Accent6 19 2" xfId="2612"/>
    <cellStyle name="60% - Accent6 2" xfId="35"/>
    <cellStyle name="60% - Accent6 2 10" xfId="2614"/>
    <cellStyle name="60% - Accent6 2 11" xfId="2615"/>
    <cellStyle name="60% - Accent6 2 12" xfId="2616"/>
    <cellStyle name="60% - Accent6 2 13" xfId="2617"/>
    <cellStyle name="60% - Accent6 2 14" xfId="2618"/>
    <cellStyle name="60% - Accent6 2 15" xfId="2619"/>
    <cellStyle name="60% - Accent6 2 16" xfId="2620"/>
    <cellStyle name="60% - Accent6 2 17" xfId="2621"/>
    <cellStyle name="60% - Accent6 2 18" xfId="2622"/>
    <cellStyle name="60% - Accent6 2 19" xfId="2623"/>
    <cellStyle name="60% - Accent6 2 2" xfId="2624"/>
    <cellStyle name="60% - Accent6 2 2 2" xfId="2625"/>
    <cellStyle name="60% - Accent6 2 20" xfId="2626"/>
    <cellStyle name="60% - Accent6 2 21" xfId="2627"/>
    <cellStyle name="60% - Accent6 2 22" xfId="2628"/>
    <cellStyle name="60% - Accent6 2 23" xfId="2629"/>
    <cellStyle name="60% - Accent6 2 24" xfId="2630"/>
    <cellStyle name="60% - Accent6 2 25" xfId="2631"/>
    <cellStyle name="60% - Accent6 2 26" xfId="2632"/>
    <cellStyle name="60% - Accent6 2 27" xfId="2633"/>
    <cellStyle name="60% - Accent6 2 28" xfId="2634"/>
    <cellStyle name="60% - Accent6 2 29" xfId="2635"/>
    <cellStyle name="60% - Accent6 2 3" xfId="2636"/>
    <cellStyle name="60% - Accent6 2 30" xfId="2637"/>
    <cellStyle name="60% - Accent6 2 31" xfId="2638"/>
    <cellStyle name="60% - Accent6 2 32" xfId="2639"/>
    <cellStyle name="60% - Accent6 2 33" xfId="2640"/>
    <cellStyle name="60% - Accent6 2 34" xfId="2641"/>
    <cellStyle name="60% - Accent6 2 35" xfId="2642"/>
    <cellStyle name="60% - Accent6 2 36" xfId="2643"/>
    <cellStyle name="60% - Accent6 2 37" xfId="2644"/>
    <cellStyle name="60% - Accent6 2 38" xfId="2645"/>
    <cellStyle name="60% - Accent6 2 39" xfId="2646"/>
    <cellStyle name="60% - Accent6 2 4" xfId="2647"/>
    <cellStyle name="60% - Accent6 2 40" xfId="2648"/>
    <cellStyle name="60% - Accent6 2 41" xfId="2649"/>
    <cellStyle name="60% - Accent6 2 42" xfId="2650"/>
    <cellStyle name="60% - Accent6 2 43" xfId="2651"/>
    <cellStyle name="60% - Accent6 2 44" xfId="2613"/>
    <cellStyle name="60% - Accent6 2 5" xfId="2652"/>
    <cellStyle name="60% - Accent6 2 6" xfId="2653"/>
    <cellStyle name="60% - Accent6 2 7" xfId="2654"/>
    <cellStyle name="60% - Accent6 2 8" xfId="2655"/>
    <cellStyle name="60% - Accent6 2 8 2" xfId="2656"/>
    <cellStyle name="60% - Accent6 2 8 3" xfId="2657"/>
    <cellStyle name="60% - Accent6 2 8 4" xfId="2658"/>
    <cellStyle name="60% - Accent6 2 8 5" xfId="2659"/>
    <cellStyle name="60% - Accent6 2 8 6" xfId="2660"/>
    <cellStyle name="60% - Accent6 2 8 7" xfId="2661"/>
    <cellStyle name="60% - Accent6 2 8_Doubt Log" xfId="2662"/>
    <cellStyle name="60% - Accent6 2 9" xfId="2663"/>
    <cellStyle name="60% - Accent6 2_Doubt Log" xfId="2664"/>
    <cellStyle name="60% - Accent6 20" xfId="2665"/>
    <cellStyle name="60% - Accent6 20 2" xfId="2666"/>
    <cellStyle name="60% - Accent6 21" xfId="2667"/>
    <cellStyle name="60% - Accent6 21 2" xfId="2668"/>
    <cellStyle name="60% - Accent6 22" xfId="2669"/>
    <cellStyle name="60% - Accent6 22 2" xfId="2670"/>
    <cellStyle name="60% - Accent6 23" xfId="2671"/>
    <cellStyle name="60% - Accent6 23 2" xfId="2672"/>
    <cellStyle name="60% - Accent6 24" xfId="2673"/>
    <cellStyle name="60% - Accent6 24 2" xfId="2674"/>
    <cellStyle name="60% - Accent6 25" xfId="2675"/>
    <cellStyle name="60% - Accent6 25 2" xfId="2676"/>
    <cellStyle name="60% - Accent6 26" xfId="2677"/>
    <cellStyle name="60% - Accent6 26 2" xfId="2678"/>
    <cellStyle name="60% - Accent6 27" xfId="2679"/>
    <cellStyle name="60% - Accent6 27 2" xfId="2680"/>
    <cellStyle name="60% - Accent6 28" xfId="2681"/>
    <cellStyle name="60% - Accent6 28 2" xfId="2682"/>
    <cellStyle name="60% - Accent6 29" xfId="2683"/>
    <cellStyle name="60% - Accent6 29 2" xfId="2684"/>
    <cellStyle name="60% - Accent6 3" xfId="36"/>
    <cellStyle name="60% - Accent6 3 10" xfId="2686"/>
    <cellStyle name="60% - Accent6 3 11" xfId="2687"/>
    <cellStyle name="60% - Accent6 3 12" xfId="2688"/>
    <cellStyle name="60% - Accent6 3 13" xfId="2689"/>
    <cellStyle name="60% - Accent6 3 14" xfId="2690"/>
    <cellStyle name="60% - Accent6 3 15" xfId="2691"/>
    <cellStyle name="60% - Accent6 3 16" xfId="2692"/>
    <cellStyle name="60% - Accent6 3 17" xfId="2693"/>
    <cellStyle name="60% - Accent6 3 18" xfId="2694"/>
    <cellStyle name="60% - Accent6 3 19" xfId="2695"/>
    <cellStyle name="60% - Accent6 3 2" xfId="2696"/>
    <cellStyle name="60% - Accent6 3 2 2" xfId="2697"/>
    <cellStyle name="60% - Accent6 3 20" xfId="2698"/>
    <cellStyle name="60% - Accent6 3 21" xfId="2699"/>
    <cellStyle name="60% - Accent6 3 22" xfId="2700"/>
    <cellStyle name="60% - Accent6 3 23" xfId="2701"/>
    <cellStyle name="60% - Accent6 3 24" xfId="2702"/>
    <cellStyle name="60% - Accent6 3 25" xfId="2703"/>
    <cellStyle name="60% - Accent6 3 26" xfId="2704"/>
    <cellStyle name="60% - Accent6 3 27" xfId="2705"/>
    <cellStyle name="60% - Accent6 3 28" xfId="2706"/>
    <cellStyle name="60% - Accent6 3 29" xfId="2707"/>
    <cellStyle name="60% - Accent6 3 3" xfId="2708"/>
    <cellStyle name="60% - Accent6 3 30" xfId="2709"/>
    <cellStyle name="60% - Accent6 3 31" xfId="2710"/>
    <cellStyle name="60% - Accent6 3 32" xfId="2711"/>
    <cellStyle name="60% - Accent6 3 33" xfId="2712"/>
    <cellStyle name="60% - Accent6 3 34" xfId="2713"/>
    <cellStyle name="60% - Accent6 3 35" xfId="8387"/>
    <cellStyle name="60% - Accent6 3 36" xfId="2685"/>
    <cellStyle name="60% - Accent6 3 4" xfId="2714"/>
    <cellStyle name="60% - Accent6 3 5" xfId="2715"/>
    <cellStyle name="60% - Accent6 3 6" xfId="2716"/>
    <cellStyle name="60% - Accent6 3 7" xfId="2717"/>
    <cellStyle name="60% - Accent6 3 8" xfId="2718"/>
    <cellStyle name="60% - Accent6 3 8 2" xfId="2719"/>
    <cellStyle name="60% - Accent6 3 8 3" xfId="2720"/>
    <cellStyle name="60% - Accent6 3 8 4" xfId="2721"/>
    <cellStyle name="60% - Accent6 3 8 5" xfId="2722"/>
    <cellStyle name="60% - Accent6 3 8 6" xfId="2723"/>
    <cellStyle name="60% - Accent6 3 8 7" xfId="2724"/>
    <cellStyle name="60% - Accent6 3 8_Doubt Log" xfId="2725"/>
    <cellStyle name="60% - Accent6 3 9" xfId="2726"/>
    <cellStyle name="60% - Accent6 3_Doubt Log" xfId="2727"/>
    <cellStyle name="60% - Accent6 30" xfId="2728"/>
    <cellStyle name="60% - Accent6 30 2" xfId="2729"/>
    <cellStyle name="60% - Accent6 31" xfId="2730"/>
    <cellStyle name="60% - Accent6 31 2" xfId="2731"/>
    <cellStyle name="60% - Accent6 32" xfId="2732"/>
    <cellStyle name="60% - Accent6 32 2" xfId="2733"/>
    <cellStyle name="60% - Accent6 33" xfId="2734"/>
    <cellStyle name="60% - Accent6 33 2" xfId="2735"/>
    <cellStyle name="60% - Accent6 34" xfId="2736"/>
    <cellStyle name="60% - Accent6 34 2" xfId="2737"/>
    <cellStyle name="60% - Accent6 35" xfId="2738"/>
    <cellStyle name="60% - Accent6 35 2" xfId="2739"/>
    <cellStyle name="60% - Accent6 36" xfId="2740"/>
    <cellStyle name="60% - Accent6 36 2" xfId="2741"/>
    <cellStyle name="60% - Accent6 37" xfId="2742"/>
    <cellStyle name="60% - Accent6 37 2" xfId="2743"/>
    <cellStyle name="60% - Accent6 38" xfId="2744"/>
    <cellStyle name="60% - Accent6 38 2" xfId="2745"/>
    <cellStyle name="60% - Accent6 39" xfId="2746"/>
    <cellStyle name="60% - Accent6 39 2" xfId="2747"/>
    <cellStyle name="60% - Accent6 4" xfId="2748"/>
    <cellStyle name="60% - Accent6 4 10" xfId="2749"/>
    <cellStyle name="60% - Accent6 4 11" xfId="2750"/>
    <cellStyle name="60% - Accent6 4 12" xfId="2751"/>
    <cellStyle name="60% - Accent6 4 13" xfId="2752"/>
    <cellStyle name="60% - Accent6 4 14" xfId="2753"/>
    <cellStyle name="60% - Accent6 4 15" xfId="2754"/>
    <cellStyle name="60% - Accent6 4 16" xfId="2755"/>
    <cellStyle name="60% - Accent6 4 17" xfId="2756"/>
    <cellStyle name="60% - Accent6 4 18" xfId="2757"/>
    <cellStyle name="60% - Accent6 4 19" xfId="2758"/>
    <cellStyle name="60% - Accent6 4 2" xfId="2759"/>
    <cellStyle name="60% - Accent6 4 20" xfId="2760"/>
    <cellStyle name="60% - Accent6 4 21" xfId="2761"/>
    <cellStyle name="60% - Accent6 4 22" xfId="2762"/>
    <cellStyle name="60% - Accent6 4 23" xfId="2763"/>
    <cellStyle name="60% - Accent6 4 24" xfId="2764"/>
    <cellStyle name="60% - Accent6 4 25" xfId="2765"/>
    <cellStyle name="60% - Accent6 4 26" xfId="2766"/>
    <cellStyle name="60% - Accent6 4 27" xfId="2767"/>
    <cellStyle name="60% - Accent6 4 28" xfId="2768"/>
    <cellStyle name="60% - Accent6 4 29" xfId="2769"/>
    <cellStyle name="60% - Accent6 4 3" xfId="2770"/>
    <cellStyle name="60% - Accent6 4 30" xfId="2771"/>
    <cellStyle name="60% - Accent6 4 31" xfId="2772"/>
    <cellStyle name="60% - Accent6 4 32" xfId="2773"/>
    <cellStyle name="60% - Accent6 4 33" xfId="2774"/>
    <cellStyle name="60% - Accent6 4 34" xfId="2775"/>
    <cellStyle name="60% - Accent6 4 4" xfId="2776"/>
    <cellStyle name="60% - Accent6 4 5" xfId="2777"/>
    <cellStyle name="60% - Accent6 4 6" xfId="2778"/>
    <cellStyle name="60% - Accent6 4 7" xfId="2779"/>
    <cellStyle name="60% - Accent6 4 8" xfId="2780"/>
    <cellStyle name="60% - Accent6 4 8 2" xfId="2781"/>
    <cellStyle name="60% - Accent6 4 8 3" xfId="2782"/>
    <cellStyle name="60% - Accent6 4 8 4" xfId="2783"/>
    <cellStyle name="60% - Accent6 4 8 5" xfId="2784"/>
    <cellStyle name="60% - Accent6 4 8 6" xfId="2785"/>
    <cellStyle name="60% - Accent6 4 8 7" xfId="2786"/>
    <cellStyle name="60% - Accent6 4 8_Doubt Log" xfId="2787"/>
    <cellStyle name="60% - Accent6 4 9" xfId="2788"/>
    <cellStyle name="60% - Accent6 4_Doubt Log" xfId="2789"/>
    <cellStyle name="60% - Accent6 40" xfId="2790"/>
    <cellStyle name="60% - Accent6 41" xfId="2791"/>
    <cellStyle name="60% - Accent6 42" xfId="2792"/>
    <cellStyle name="60% - Accent6 43" xfId="2793"/>
    <cellStyle name="60% - Accent6 44" xfId="2794"/>
    <cellStyle name="60% - Accent6 45" xfId="2795"/>
    <cellStyle name="60% - Accent6 46" xfId="2796"/>
    <cellStyle name="60% - Accent6 47" xfId="2797"/>
    <cellStyle name="60% - Accent6 48" xfId="2798"/>
    <cellStyle name="60% - Accent6 49" xfId="2799"/>
    <cellStyle name="60% - Accent6 5" xfId="2800"/>
    <cellStyle name="60% - Accent6 5 2" xfId="2801"/>
    <cellStyle name="60% - Accent6 50" xfId="2802"/>
    <cellStyle name="60% - Accent6 51" xfId="2803"/>
    <cellStyle name="60% - Accent6 52" xfId="2804"/>
    <cellStyle name="60% - Accent6 53" xfId="2805"/>
    <cellStyle name="60% - Accent6 54" xfId="2806"/>
    <cellStyle name="60% - Accent6 55" xfId="2807"/>
    <cellStyle name="60% - Accent6 56" xfId="2808"/>
    <cellStyle name="60% - Accent6 57" xfId="2809"/>
    <cellStyle name="60% - Accent6 58" xfId="2810"/>
    <cellStyle name="60% - Accent6 59" xfId="2811"/>
    <cellStyle name="60% - Accent6 6" xfId="2812"/>
    <cellStyle name="60% - Accent6 6 2" xfId="2813"/>
    <cellStyle name="60% - Accent6 60" xfId="2814"/>
    <cellStyle name="60% - Accent6 61" xfId="2815"/>
    <cellStyle name="60% - Accent6 62" xfId="2816"/>
    <cellStyle name="60% - Accent6 63" xfId="2817"/>
    <cellStyle name="60% - Accent6 64" xfId="2818"/>
    <cellStyle name="60% - Accent6 65" xfId="2819"/>
    <cellStyle name="60% - Accent6 66" xfId="2820"/>
    <cellStyle name="60% - Accent6 67" xfId="2821"/>
    <cellStyle name="60% - Accent6 68" xfId="2822"/>
    <cellStyle name="60% - Accent6 69" xfId="2823"/>
    <cellStyle name="60% - Accent6 7" xfId="2824"/>
    <cellStyle name="60% - Accent6 7 2" xfId="2825"/>
    <cellStyle name="60% - Accent6 70" xfId="2826"/>
    <cellStyle name="60% - Accent6 71" xfId="2827"/>
    <cellStyle name="60% - Accent6 72" xfId="2828"/>
    <cellStyle name="60% - Accent6 73" xfId="2829"/>
    <cellStyle name="60% - Accent6 74" xfId="2830"/>
    <cellStyle name="60% - Accent6 75" xfId="2831"/>
    <cellStyle name="60% - Accent6 76" xfId="2832"/>
    <cellStyle name="60% - Accent6 77" xfId="2833"/>
    <cellStyle name="60% - Accent6 78" xfId="2834"/>
    <cellStyle name="60% - Accent6 79" xfId="2835"/>
    <cellStyle name="60% - Accent6 8" xfId="2836"/>
    <cellStyle name="60% - Accent6 8 2" xfId="2837"/>
    <cellStyle name="60% - Accent6 80" xfId="2838"/>
    <cellStyle name="60% - Accent6 81" xfId="2839"/>
    <cellStyle name="60% - Accent6 82" xfId="2840"/>
    <cellStyle name="60% - Accent6 83" xfId="2841"/>
    <cellStyle name="60% - Accent6 84" xfId="2842"/>
    <cellStyle name="60% - Accent6 85" xfId="2592"/>
    <cellStyle name="60% - Accent6 86" xfId="8327"/>
    <cellStyle name="60% - Accent6 87" xfId="8332"/>
    <cellStyle name="60% - Accent6 88" xfId="8411"/>
    <cellStyle name="60% - Accent6 89" xfId="12095"/>
    <cellStyle name="60% - Accent6 9" xfId="2843"/>
    <cellStyle name="60% - Accent6 9 2" xfId="2844"/>
    <cellStyle name="60% - Accent6 90" xfId="12162"/>
    <cellStyle name="60% - Accent6 91" xfId="12171"/>
    <cellStyle name="60% - Accent6 92" xfId="12170"/>
    <cellStyle name="Accent1" xfId="103" builtinId="29" customBuiltin="1"/>
    <cellStyle name="Accent1 10" xfId="2846"/>
    <cellStyle name="Accent1 10 2" xfId="2847"/>
    <cellStyle name="Accent1 11" xfId="2848"/>
    <cellStyle name="Accent1 11 2" xfId="2849"/>
    <cellStyle name="Accent1 12" xfId="2850"/>
    <cellStyle name="Accent1 12 2" xfId="2851"/>
    <cellStyle name="Accent1 13" xfId="2852"/>
    <cellStyle name="Accent1 13 2" xfId="2853"/>
    <cellStyle name="Accent1 14" xfId="2854"/>
    <cellStyle name="Accent1 14 2" xfId="2855"/>
    <cellStyle name="Accent1 15" xfId="2856"/>
    <cellStyle name="Accent1 15 2" xfId="2857"/>
    <cellStyle name="Accent1 16" xfId="2858"/>
    <cellStyle name="Accent1 16 2" xfId="2859"/>
    <cellStyle name="Accent1 17" xfId="2860"/>
    <cellStyle name="Accent1 17 2" xfId="2861"/>
    <cellStyle name="Accent1 18" xfId="2862"/>
    <cellStyle name="Accent1 18 2" xfId="2863"/>
    <cellStyle name="Accent1 19" xfId="2864"/>
    <cellStyle name="Accent1 19 2" xfId="2865"/>
    <cellStyle name="Accent1 2" xfId="37"/>
    <cellStyle name="Accent1 2 10" xfId="2867"/>
    <cellStyle name="Accent1 2 11" xfId="2868"/>
    <cellStyle name="Accent1 2 12" xfId="2869"/>
    <cellStyle name="Accent1 2 13" xfId="2866"/>
    <cellStyle name="Accent1 2 2" xfId="2870"/>
    <cellStyle name="Accent1 2 2 2" xfId="2871"/>
    <cellStyle name="Accent1 2 3" xfId="2872"/>
    <cellStyle name="Accent1 2 4" xfId="2873"/>
    <cellStyle name="Accent1 2 5" xfId="2874"/>
    <cellStyle name="Accent1 2 6" xfId="2875"/>
    <cellStyle name="Accent1 2 7" xfId="2876"/>
    <cellStyle name="Accent1 2 8" xfId="2877"/>
    <cellStyle name="Accent1 2 9" xfId="2878"/>
    <cellStyle name="Accent1 20" xfId="2879"/>
    <cellStyle name="Accent1 20 2" xfId="2880"/>
    <cellStyle name="Accent1 21" xfId="2881"/>
    <cellStyle name="Accent1 21 2" xfId="2882"/>
    <cellStyle name="Accent1 22" xfId="2883"/>
    <cellStyle name="Accent1 22 2" xfId="2884"/>
    <cellStyle name="Accent1 23" xfId="2885"/>
    <cellStyle name="Accent1 23 2" xfId="2886"/>
    <cellStyle name="Accent1 24" xfId="2887"/>
    <cellStyle name="Accent1 24 2" xfId="2888"/>
    <cellStyle name="Accent1 25" xfId="2889"/>
    <cellStyle name="Accent1 25 2" xfId="2890"/>
    <cellStyle name="Accent1 26" xfId="2891"/>
    <cellStyle name="Accent1 26 2" xfId="2892"/>
    <cellStyle name="Accent1 27" xfId="2893"/>
    <cellStyle name="Accent1 27 2" xfId="2894"/>
    <cellStyle name="Accent1 28" xfId="2895"/>
    <cellStyle name="Accent1 28 2" xfId="2896"/>
    <cellStyle name="Accent1 29" xfId="2897"/>
    <cellStyle name="Accent1 29 2" xfId="2898"/>
    <cellStyle name="Accent1 3" xfId="38"/>
    <cellStyle name="Accent1 3 2" xfId="2900"/>
    <cellStyle name="Accent1 3 3" xfId="2901"/>
    <cellStyle name="Accent1 3 4" xfId="8386"/>
    <cellStyle name="Accent1 3 5" xfId="2899"/>
    <cellStyle name="Accent1 30" xfId="2902"/>
    <cellStyle name="Accent1 30 2" xfId="2903"/>
    <cellStyle name="Accent1 31" xfId="2904"/>
    <cellStyle name="Accent1 31 2" xfId="2905"/>
    <cellStyle name="Accent1 32" xfId="2906"/>
    <cellStyle name="Accent1 32 2" xfId="2907"/>
    <cellStyle name="Accent1 33" xfId="2908"/>
    <cellStyle name="Accent1 33 2" xfId="2909"/>
    <cellStyle name="Accent1 34" xfId="2910"/>
    <cellStyle name="Accent1 34 2" xfId="2911"/>
    <cellStyle name="Accent1 35" xfId="2912"/>
    <cellStyle name="Accent1 35 2" xfId="2913"/>
    <cellStyle name="Accent1 36" xfId="2914"/>
    <cellStyle name="Accent1 36 2" xfId="2915"/>
    <cellStyle name="Accent1 37" xfId="2916"/>
    <cellStyle name="Accent1 37 2" xfId="2917"/>
    <cellStyle name="Accent1 38" xfId="2918"/>
    <cellStyle name="Accent1 38 2" xfId="2919"/>
    <cellStyle name="Accent1 39" xfId="2920"/>
    <cellStyle name="Accent1 39 2" xfId="2921"/>
    <cellStyle name="Accent1 4" xfId="2922"/>
    <cellStyle name="Accent1 4 2" xfId="2923"/>
    <cellStyle name="Accent1 40" xfId="2924"/>
    <cellStyle name="Accent1 41" xfId="2925"/>
    <cellStyle name="Accent1 42" xfId="2926"/>
    <cellStyle name="Accent1 43" xfId="2927"/>
    <cellStyle name="Accent1 44" xfId="2928"/>
    <cellStyle name="Accent1 45" xfId="2929"/>
    <cellStyle name="Accent1 46" xfId="2930"/>
    <cellStyle name="Accent1 47" xfId="2931"/>
    <cellStyle name="Accent1 48" xfId="2932"/>
    <cellStyle name="Accent1 49" xfId="2933"/>
    <cellStyle name="Accent1 5" xfId="2934"/>
    <cellStyle name="Accent1 5 2" xfId="2935"/>
    <cellStyle name="Accent1 50" xfId="2936"/>
    <cellStyle name="Accent1 51" xfId="2937"/>
    <cellStyle name="Accent1 52" xfId="2938"/>
    <cellStyle name="Accent1 53" xfId="2939"/>
    <cellStyle name="Accent1 54" xfId="2940"/>
    <cellStyle name="Accent1 55" xfId="2941"/>
    <cellStyle name="Accent1 56" xfId="2942"/>
    <cellStyle name="Accent1 57" xfId="2943"/>
    <cellStyle name="Accent1 58" xfId="2944"/>
    <cellStyle name="Accent1 59" xfId="2945"/>
    <cellStyle name="Accent1 6" xfId="2946"/>
    <cellStyle name="Accent1 6 2" xfId="2947"/>
    <cellStyle name="Accent1 60" xfId="2948"/>
    <cellStyle name="Accent1 61" xfId="2949"/>
    <cellStyle name="Accent1 62" xfId="2950"/>
    <cellStyle name="Accent1 63" xfId="2951"/>
    <cellStyle name="Accent1 64" xfId="2952"/>
    <cellStyle name="Accent1 65" xfId="2953"/>
    <cellStyle name="Accent1 66" xfId="2954"/>
    <cellStyle name="Accent1 67" xfId="2955"/>
    <cellStyle name="Accent1 68" xfId="2956"/>
    <cellStyle name="Accent1 69" xfId="2957"/>
    <cellStyle name="Accent1 7" xfId="2958"/>
    <cellStyle name="Accent1 7 2" xfId="2959"/>
    <cellStyle name="Accent1 70" xfId="2960"/>
    <cellStyle name="Accent1 71" xfId="2961"/>
    <cellStyle name="Accent1 72" xfId="2962"/>
    <cellStyle name="Accent1 73" xfId="2963"/>
    <cellStyle name="Accent1 74" xfId="2964"/>
    <cellStyle name="Accent1 75" xfId="2965"/>
    <cellStyle name="Accent1 76" xfId="2966"/>
    <cellStyle name="Accent1 77" xfId="2967"/>
    <cellStyle name="Accent1 78" xfId="2968"/>
    <cellStyle name="Accent1 79" xfId="2969"/>
    <cellStyle name="Accent1 8" xfId="2970"/>
    <cellStyle name="Accent1 8 2" xfId="2971"/>
    <cellStyle name="Accent1 80" xfId="2972"/>
    <cellStyle name="Accent1 81" xfId="2973"/>
    <cellStyle name="Accent1 82" xfId="2974"/>
    <cellStyle name="Accent1 83" xfId="2975"/>
    <cellStyle name="Accent1 84" xfId="2976"/>
    <cellStyle name="Accent1 85" xfId="2845"/>
    <cellStyle name="Accent1 9" xfId="2977"/>
    <cellStyle name="Accent1 9 2" xfId="2978"/>
    <cellStyle name="Accent2" xfId="107" builtinId="33" customBuiltin="1"/>
    <cellStyle name="Accent2 10" xfId="2980"/>
    <cellStyle name="Accent2 10 2" xfId="2981"/>
    <cellStyle name="Accent2 11" xfId="2982"/>
    <cellStyle name="Accent2 11 2" xfId="2983"/>
    <cellStyle name="Accent2 12" xfId="2984"/>
    <cellStyle name="Accent2 12 2" xfId="2985"/>
    <cellStyle name="Accent2 13" xfId="2986"/>
    <cellStyle name="Accent2 13 2" xfId="2987"/>
    <cellStyle name="Accent2 14" xfId="2988"/>
    <cellStyle name="Accent2 14 2" xfId="2989"/>
    <cellStyle name="Accent2 15" xfId="2990"/>
    <cellStyle name="Accent2 15 2" xfId="2991"/>
    <cellStyle name="Accent2 16" xfId="2992"/>
    <cellStyle name="Accent2 16 2" xfId="2993"/>
    <cellStyle name="Accent2 17" xfId="2994"/>
    <cellStyle name="Accent2 17 2" xfId="2995"/>
    <cellStyle name="Accent2 18" xfId="2996"/>
    <cellStyle name="Accent2 18 2" xfId="2997"/>
    <cellStyle name="Accent2 19" xfId="2998"/>
    <cellStyle name="Accent2 19 2" xfId="2999"/>
    <cellStyle name="Accent2 2" xfId="39"/>
    <cellStyle name="Accent2 2 10" xfId="3001"/>
    <cellStyle name="Accent2 2 11" xfId="3002"/>
    <cellStyle name="Accent2 2 12" xfId="3003"/>
    <cellStyle name="Accent2 2 13" xfId="3000"/>
    <cellStyle name="Accent2 2 2" xfId="3004"/>
    <cellStyle name="Accent2 2 2 2" xfId="3005"/>
    <cellStyle name="Accent2 2 3" xfId="3006"/>
    <cellStyle name="Accent2 2 4" xfId="3007"/>
    <cellStyle name="Accent2 2 5" xfId="3008"/>
    <cellStyle name="Accent2 2 6" xfId="3009"/>
    <cellStyle name="Accent2 2 7" xfId="3010"/>
    <cellStyle name="Accent2 2 8" xfId="3011"/>
    <cellStyle name="Accent2 2 9" xfId="3012"/>
    <cellStyle name="Accent2 20" xfId="3013"/>
    <cellStyle name="Accent2 20 2" xfId="3014"/>
    <cellStyle name="Accent2 21" xfId="3015"/>
    <cellStyle name="Accent2 21 2" xfId="3016"/>
    <cellStyle name="Accent2 22" xfId="3017"/>
    <cellStyle name="Accent2 22 2" xfId="3018"/>
    <cellStyle name="Accent2 23" xfId="3019"/>
    <cellStyle name="Accent2 23 2" xfId="3020"/>
    <cellStyle name="Accent2 24" xfId="3021"/>
    <cellStyle name="Accent2 24 2" xfId="3022"/>
    <cellStyle name="Accent2 25" xfId="3023"/>
    <cellStyle name="Accent2 25 2" xfId="3024"/>
    <cellStyle name="Accent2 26" xfId="3025"/>
    <cellStyle name="Accent2 26 2" xfId="3026"/>
    <cellStyle name="Accent2 27" xfId="3027"/>
    <cellStyle name="Accent2 27 2" xfId="3028"/>
    <cellStyle name="Accent2 28" xfId="3029"/>
    <cellStyle name="Accent2 28 2" xfId="3030"/>
    <cellStyle name="Accent2 29" xfId="3031"/>
    <cellStyle name="Accent2 29 2" xfId="3032"/>
    <cellStyle name="Accent2 3" xfId="40"/>
    <cellStyle name="Accent2 3 2" xfId="3034"/>
    <cellStyle name="Accent2 3 3" xfId="3035"/>
    <cellStyle name="Accent2 3 4" xfId="8385"/>
    <cellStyle name="Accent2 3 5" xfId="3033"/>
    <cellStyle name="Accent2 30" xfId="3036"/>
    <cellStyle name="Accent2 30 2" xfId="3037"/>
    <cellStyle name="Accent2 31" xfId="3038"/>
    <cellStyle name="Accent2 31 2" xfId="3039"/>
    <cellStyle name="Accent2 32" xfId="3040"/>
    <cellStyle name="Accent2 32 2" xfId="3041"/>
    <cellStyle name="Accent2 33" xfId="3042"/>
    <cellStyle name="Accent2 33 2" xfId="3043"/>
    <cellStyle name="Accent2 34" xfId="3044"/>
    <cellStyle name="Accent2 34 2" xfId="3045"/>
    <cellStyle name="Accent2 35" xfId="3046"/>
    <cellStyle name="Accent2 35 2" xfId="3047"/>
    <cellStyle name="Accent2 36" xfId="3048"/>
    <cellStyle name="Accent2 36 2" xfId="3049"/>
    <cellStyle name="Accent2 37" xfId="3050"/>
    <cellStyle name="Accent2 37 2" xfId="3051"/>
    <cellStyle name="Accent2 38" xfId="3052"/>
    <cellStyle name="Accent2 38 2" xfId="3053"/>
    <cellStyle name="Accent2 39" xfId="3054"/>
    <cellStyle name="Accent2 39 2" xfId="3055"/>
    <cellStyle name="Accent2 4" xfId="3056"/>
    <cellStyle name="Accent2 4 2" xfId="3057"/>
    <cellStyle name="Accent2 40" xfId="3058"/>
    <cellStyle name="Accent2 41" xfId="3059"/>
    <cellStyle name="Accent2 42" xfId="3060"/>
    <cellStyle name="Accent2 43" xfId="3061"/>
    <cellStyle name="Accent2 44" xfId="3062"/>
    <cellStyle name="Accent2 45" xfId="3063"/>
    <cellStyle name="Accent2 46" xfId="3064"/>
    <cellStyle name="Accent2 47" xfId="3065"/>
    <cellStyle name="Accent2 48" xfId="3066"/>
    <cellStyle name="Accent2 49" xfId="3067"/>
    <cellStyle name="Accent2 5" xfId="3068"/>
    <cellStyle name="Accent2 5 2" xfId="3069"/>
    <cellStyle name="Accent2 50" xfId="3070"/>
    <cellStyle name="Accent2 51" xfId="3071"/>
    <cellStyle name="Accent2 52" xfId="3072"/>
    <cellStyle name="Accent2 53" xfId="3073"/>
    <cellStyle name="Accent2 54" xfId="3074"/>
    <cellStyle name="Accent2 55" xfId="3075"/>
    <cellStyle name="Accent2 56" xfId="3076"/>
    <cellStyle name="Accent2 57" xfId="3077"/>
    <cellStyle name="Accent2 58" xfId="3078"/>
    <cellStyle name="Accent2 59" xfId="3079"/>
    <cellStyle name="Accent2 6" xfId="3080"/>
    <cellStyle name="Accent2 6 2" xfId="3081"/>
    <cellStyle name="Accent2 60" xfId="3082"/>
    <cellStyle name="Accent2 61" xfId="3083"/>
    <cellStyle name="Accent2 62" xfId="3084"/>
    <cellStyle name="Accent2 63" xfId="3085"/>
    <cellStyle name="Accent2 64" xfId="3086"/>
    <cellStyle name="Accent2 65" xfId="3087"/>
    <cellStyle name="Accent2 66" xfId="3088"/>
    <cellStyle name="Accent2 67" xfId="3089"/>
    <cellStyle name="Accent2 68" xfId="3090"/>
    <cellStyle name="Accent2 69" xfId="3091"/>
    <cellStyle name="Accent2 7" xfId="3092"/>
    <cellStyle name="Accent2 7 2" xfId="3093"/>
    <cellStyle name="Accent2 70" xfId="3094"/>
    <cellStyle name="Accent2 71" xfId="3095"/>
    <cellStyle name="Accent2 72" xfId="3096"/>
    <cellStyle name="Accent2 73" xfId="3097"/>
    <cellStyle name="Accent2 74" xfId="3098"/>
    <cellStyle name="Accent2 75" xfId="3099"/>
    <cellStyle name="Accent2 76" xfId="3100"/>
    <cellStyle name="Accent2 77" xfId="3101"/>
    <cellStyle name="Accent2 78" xfId="3102"/>
    <cellStyle name="Accent2 79" xfId="3103"/>
    <cellStyle name="Accent2 8" xfId="3104"/>
    <cellStyle name="Accent2 8 2" xfId="3105"/>
    <cellStyle name="Accent2 80" xfId="3106"/>
    <cellStyle name="Accent2 81" xfId="3107"/>
    <cellStyle name="Accent2 82" xfId="3108"/>
    <cellStyle name="Accent2 83" xfId="3109"/>
    <cellStyle name="Accent2 84" xfId="3110"/>
    <cellStyle name="Accent2 85" xfId="2979"/>
    <cellStyle name="Accent2 9" xfId="3111"/>
    <cellStyle name="Accent2 9 2" xfId="3112"/>
    <cellStyle name="Accent3" xfId="111" builtinId="37" customBuiltin="1"/>
    <cellStyle name="Accent3 10" xfId="3114"/>
    <cellStyle name="Accent3 10 2" xfId="3115"/>
    <cellStyle name="Accent3 11" xfId="3116"/>
    <cellStyle name="Accent3 11 2" xfId="3117"/>
    <cellStyle name="Accent3 12" xfId="3118"/>
    <cellStyle name="Accent3 12 2" xfId="3119"/>
    <cellStyle name="Accent3 13" xfId="3120"/>
    <cellStyle name="Accent3 13 2" xfId="3121"/>
    <cellStyle name="Accent3 14" xfId="3122"/>
    <cellStyle name="Accent3 14 2" xfId="3123"/>
    <cellStyle name="Accent3 15" xfId="3124"/>
    <cellStyle name="Accent3 15 2" xfId="3125"/>
    <cellStyle name="Accent3 16" xfId="3126"/>
    <cellStyle name="Accent3 16 2" xfId="3127"/>
    <cellStyle name="Accent3 17" xfId="3128"/>
    <cellStyle name="Accent3 17 2" xfId="3129"/>
    <cellStyle name="Accent3 18" xfId="3130"/>
    <cellStyle name="Accent3 18 2" xfId="3131"/>
    <cellStyle name="Accent3 19" xfId="3132"/>
    <cellStyle name="Accent3 19 2" xfId="3133"/>
    <cellStyle name="Accent3 2" xfId="41"/>
    <cellStyle name="Accent3 2 10" xfId="3135"/>
    <cellStyle name="Accent3 2 11" xfId="3136"/>
    <cellStyle name="Accent3 2 12" xfId="3137"/>
    <cellStyle name="Accent3 2 13" xfId="3134"/>
    <cellStyle name="Accent3 2 2" xfId="3138"/>
    <cellStyle name="Accent3 2 2 2" xfId="3139"/>
    <cellStyle name="Accent3 2 3" xfId="3140"/>
    <cellStyle name="Accent3 2 4" xfId="3141"/>
    <cellStyle name="Accent3 2 5" xfId="3142"/>
    <cellStyle name="Accent3 2 6" xfId="3143"/>
    <cellStyle name="Accent3 2 7" xfId="3144"/>
    <cellStyle name="Accent3 2 8" xfId="3145"/>
    <cellStyle name="Accent3 2 9" xfId="3146"/>
    <cellStyle name="Accent3 20" xfId="3147"/>
    <cellStyle name="Accent3 20 2" xfId="3148"/>
    <cellStyle name="Accent3 21" xfId="3149"/>
    <cellStyle name="Accent3 21 2" xfId="3150"/>
    <cellStyle name="Accent3 22" xfId="3151"/>
    <cellStyle name="Accent3 22 2" xfId="3152"/>
    <cellStyle name="Accent3 23" xfId="3153"/>
    <cellStyle name="Accent3 23 2" xfId="3154"/>
    <cellStyle name="Accent3 24" xfId="3155"/>
    <cellStyle name="Accent3 24 2" xfId="3156"/>
    <cellStyle name="Accent3 25" xfId="3157"/>
    <cellStyle name="Accent3 25 2" xfId="3158"/>
    <cellStyle name="Accent3 26" xfId="3159"/>
    <cellStyle name="Accent3 26 2" xfId="3160"/>
    <cellStyle name="Accent3 27" xfId="3161"/>
    <cellStyle name="Accent3 27 2" xfId="3162"/>
    <cellStyle name="Accent3 28" xfId="3163"/>
    <cellStyle name="Accent3 28 2" xfId="3164"/>
    <cellStyle name="Accent3 29" xfId="3165"/>
    <cellStyle name="Accent3 29 2" xfId="3166"/>
    <cellStyle name="Accent3 3" xfId="42"/>
    <cellStyle name="Accent3 3 2" xfId="3168"/>
    <cellStyle name="Accent3 3 3" xfId="3169"/>
    <cellStyle name="Accent3 3 4" xfId="8384"/>
    <cellStyle name="Accent3 3 5" xfId="3167"/>
    <cellStyle name="Accent3 30" xfId="3170"/>
    <cellStyle name="Accent3 30 2" xfId="3171"/>
    <cellStyle name="Accent3 31" xfId="3172"/>
    <cellStyle name="Accent3 31 2" xfId="3173"/>
    <cellStyle name="Accent3 32" xfId="3174"/>
    <cellStyle name="Accent3 32 2" xfId="3175"/>
    <cellStyle name="Accent3 33" xfId="3176"/>
    <cellStyle name="Accent3 33 2" xfId="3177"/>
    <cellStyle name="Accent3 34" xfId="3178"/>
    <cellStyle name="Accent3 34 2" xfId="3179"/>
    <cellStyle name="Accent3 35" xfId="3180"/>
    <cellStyle name="Accent3 35 2" xfId="3181"/>
    <cellStyle name="Accent3 36" xfId="3182"/>
    <cellStyle name="Accent3 36 2" xfId="3183"/>
    <cellStyle name="Accent3 37" xfId="3184"/>
    <cellStyle name="Accent3 37 2" xfId="3185"/>
    <cellStyle name="Accent3 38" xfId="3186"/>
    <cellStyle name="Accent3 38 2" xfId="3187"/>
    <cellStyle name="Accent3 39" xfId="3188"/>
    <cellStyle name="Accent3 39 2" xfId="3189"/>
    <cellStyle name="Accent3 4" xfId="3190"/>
    <cellStyle name="Accent3 4 2" xfId="3191"/>
    <cellStyle name="Accent3 40" xfId="3192"/>
    <cellStyle name="Accent3 41" xfId="3193"/>
    <cellStyle name="Accent3 42" xfId="3194"/>
    <cellStyle name="Accent3 43" xfId="3195"/>
    <cellStyle name="Accent3 44" xfId="3196"/>
    <cellStyle name="Accent3 45" xfId="3197"/>
    <cellStyle name="Accent3 46" xfId="3198"/>
    <cellStyle name="Accent3 47" xfId="3199"/>
    <cellStyle name="Accent3 48" xfId="3200"/>
    <cellStyle name="Accent3 49" xfId="3201"/>
    <cellStyle name="Accent3 5" xfId="3202"/>
    <cellStyle name="Accent3 5 2" xfId="3203"/>
    <cellStyle name="Accent3 50" xfId="3204"/>
    <cellStyle name="Accent3 51" xfId="3205"/>
    <cellStyle name="Accent3 52" xfId="3206"/>
    <cellStyle name="Accent3 53" xfId="3207"/>
    <cellStyle name="Accent3 54" xfId="3208"/>
    <cellStyle name="Accent3 55" xfId="3209"/>
    <cellStyle name="Accent3 56" xfId="3210"/>
    <cellStyle name="Accent3 57" xfId="3211"/>
    <cellStyle name="Accent3 58" xfId="3212"/>
    <cellStyle name="Accent3 59" xfId="3213"/>
    <cellStyle name="Accent3 6" xfId="3214"/>
    <cellStyle name="Accent3 6 2" xfId="3215"/>
    <cellStyle name="Accent3 60" xfId="3216"/>
    <cellStyle name="Accent3 61" xfId="3217"/>
    <cellStyle name="Accent3 62" xfId="3218"/>
    <cellStyle name="Accent3 63" xfId="3219"/>
    <cellStyle name="Accent3 64" xfId="3220"/>
    <cellStyle name="Accent3 65" xfId="3221"/>
    <cellStyle name="Accent3 66" xfId="3222"/>
    <cellStyle name="Accent3 67" xfId="3223"/>
    <cellStyle name="Accent3 68" xfId="3224"/>
    <cellStyle name="Accent3 69" xfId="3225"/>
    <cellStyle name="Accent3 7" xfId="3226"/>
    <cellStyle name="Accent3 7 2" xfId="3227"/>
    <cellStyle name="Accent3 70" xfId="3228"/>
    <cellStyle name="Accent3 71" xfId="3229"/>
    <cellStyle name="Accent3 72" xfId="3230"/>
    <cellStyle name="Accent3 73" xfId="3231"/>
    <cellStyle name="Accent3 74" xfId="3232"/>
    <cellStyle name="Accent3 75" xfId="3233"/>
    <cellStyle name="Accent3 76" xfId="3234"/>
    <cellStyle name="Accent3 77" xfId="3235"/>
    <cellStyle name="Accent3 78" xfId="3236"/>
    <cellStyle name="Accent3 79" xfId="3237"/>
    <cellStyle name="Accent3 8" xfId="3238"/>
    <cellStyle name="Accent3 8 2" xfId="3239"/>
    <cellStyle name="Accent3 80" xfId="3240"/>
    <cellStyle name="Accent3 81" xfId="3241"/>
    <cellStyle name="Accent3 82" xfId="3242"/>
    <cellStyle name="Accent3 83" xfId="3243"/>
    <cellStyle name="Accent3 84" xfId="3244"/>
    <cellStyle name="Accent3 85" xfId="3113"/>
    <cellStyle name="Accent3 9" xfId="3245"/>
    <cellStyle name="Accent3 9 2" xfId="3246"/>
    <cellStyle name="Accent4" xfId="115" builtinId="41" customBuiltin="1"/>
    <cellStyle name="Accent4 10" xfId="3248"/>
    <cellStyle name="Accent4 10 2" xfId="3249"/>
    <cellStyle name="Accent4 11" xfId="3250"/>
    <cellStyle name="Accent4 11 2" xfId="3251"/>
    <cellStyle name="Accent4 12" xfId="3252"/>
    <cellStyle name="Accent4 12 2" xfId="3253"/>
    <cellStyle name="Accent4 13" xfId="3254"/>
    <cellStyle name="Accent4 13 2" xfId="3255"/>
    <cellStyle name="Accent4 14" xfId="3256"/>
    <cellStyle name="Accent4 14 2" xfId="3257"/>
    <cellStyle name="Accent4 15" xfId="3258"/>
    <cellStyle name="Accent4 15 2" xfId="3259"/>
    <cellStyle name="Accent4 16" xfId="3260"/>
    <cellStyle name="Accent4 16 2" xfId="3261"/>
    <cellStyle name="Accent4 17" xfId="3262"/>
    <cellStyle name="Accent4 17 2" xfId="3263"/>
    <cellStyle name="Accent4 18" xfId="3264"/>
    <cellStyle name="Accent4 18 2" xfId="3265"/>
    <cellStyle name="Accent4 19" xfId="3266"/>
    <cellStyle name="Accent4 19 2" xfId="3267"/>
    <cellStyle name="Accent4 2" xfId="43"/>
    <cellStyle name="Accent4 2 10" xfId="3269"/>
    <cellStyle name="Accent4 2 11" xfId="3270"/>
    <cellStyle name="Accent4 2 12" xfId="3271"/>
    <cellStyle name="Accent4 2 13" xfId="3268"/>
    <cellStyle name="Accent4 2 2" xfId="3272"/>
    <cellStyle name="Accent4 2 2 2" xfId="3273"/>
    <cellStyle name="Accent4 2 3" xfId="3274"/>
    <cellStyle name="Accent4 2 4" xfId="3275"/>
    <cellStyle name="Accent4 2 5" xfId="3276"/>
    <cellStyle name="Accent4 2 6" xfId="3277"/>
    <cellStyle name="Accent4 2 7" xfId="3278"/>
    <cellStyle name="Accent4 2 8" xfId="3279"/>
    <cellStyle name="Accent4 2 9" xfId="3280"/>
    <cellStyle name="Accent4 20" xfId="3281"/>
    <cellStyle name="Accent4 20 2" xfId="3282"/>
    <cellStyle name="Accent4 21" xfId="3283"/>
    <cellStyle name="Accent4 21 2" xfId="3284"/>
    <cellStyle name="Accent4 22" xfId="3285"/>
    <cellStyle name="Accent4 22 2" xfId="3286"/>
    <cellStyle name="Accent4 23" xfId="3287"/>
    <cellStyle name="Accent4 23 2" xfId="3288"/>
    <cellStyle name="Accent4 24" xfId="3289"/>
    <cellStyle name="Accent4 24 2" xfId="3290"/>
    <cellStyle name="Accent4 25" xfId="3291"/>
    <cellStyle name="Accent4 25 2" xfId="3292"/>
    <cellStyle name="Accent4 26" xfId="3293"/>
    <cellStyle name="Accent4 26 2" xfId="3294"/>
    <cellStyle name="Accent4 27" xfId="3295"/>
    <cellStyle name="Accent4 27 2" xfId="3296"/>
    <cellStyle name="Accent4 28" xfId="3297"/>
    <cellStyle name="Accent4 28 2" xfId="3298"/>
    <cellStyle name="Accent4 29" xfId="3299"/>
    <cellStyle name="Accent4 29 2" xfId="3300"/>
    <cellStyle name="Accent4 3" xfId="44"/>
    <cellStyle name="Accent4 3 2" xfId="3302"/>
    <cellStyle name="Accent4 3 3" xfId="3303"/>
    <cellStyle name="Accent4 3 4" xfId="8383"/>
    <cellStyle name="Accent4 3 5" xfId="3301"/>
    <cellStyle name="Accent4 30" xfId="3304"/>
    <cellStyle name="Accent4 30 2" xfId="3305"/>
    <cellStyle name="Accent4 31" xfId="3306"/>
    <cellStyle name="Accent4 31 2" xfId="3307"/>
    <cellStyle name="Accent4 32" xfId="3308"/>
    <cellStyle name="Accent4 32 2" xfId="3309"/>
    <cellStyle name="Accent4 33" xfId="3310"/>
    <cellStyle name="Accent4 33 2" xfId="3311"/>
    <cellStyle name="Accent4 34" xfId="3312"/>
    <cellStyle name="Accent4 34 2" xfId="3313"/>
    <cellStyle name="Accent4 35" xfId="3314"/>
    <cellStyle name="Accent4 35 2" xfId="3315"/>
    <cellStyle name="Accent4 36" xfId="3316"/>
    <cellStyle name="Accent4 36 2" xfId="3317"/>
    <cellStyle name="Accent4 37" xfId="3318"/>
    <cellStyle name="Accent4 37 2" xfId="3319"/>
    <cellStyle name="Accent4 38" xfId="3320"/>
    <cellStyle name="Accent4 38 2" xfId="3321"/>
    <cellStyle name="Accent4 39" xfId="3322"/>
    <cellStyle name="Accent4 39 2" xfId="3323"/>
    <cellStyle name="Accent4 4" xfId="3324"/>
    <cellStyle name="Accent4 4 2" xfId="3325"/>
    <cellStyle name="Accent4 40" xfId="3326"/>
    <cellStyle name="Accent4 41" xfId="3327"/>
    <cellStyle name="Accent4 42" xfId="3328"/>
    <cellStyle name="Accent4 43" xfId="3329"/>
    <cellStyle name="Accent4 44" xfId="3330"/>
    <cellStyle name="Accent4 45" xfId="3331"/>
    <cellStyle name="Accent4 46" xfId="3332"/>
    <cellStyle name="Accent4 47" xfId="3333"/>
    <cellStyle name="Accent4 48" xfId="3334"/>
    <cellStyle name="Accent4 49" xfId="3335"/>
    <cellStyle name="Accent4 5" xfId="3336"/>
    <cellStyle name="Accent4 5 2" xfId="3337"/>
    <cellStyle name="Accent4 50" xfId="3338"/>
    <cellStyle name="Accent4 51" xfId="3339"/>
    <cellStyle name="Accent4 52" xfId="3340"/>
    <cellStyle name="Accent4 53" xfId="3341"/>
    <cellStyle name="Accent4 54" xfId="3342"/>
    <cellStyle name="Accent4 55" xfId="3343"/>
    <cellStyle name="Accent4 56" xfId="3344"/>
    <cellStyle name="Accent4 57" xfId="3345"/>
    <cellStyle name="Accent4 58" xfId="3346"/>
    <cellStyle name="Accent4 59" xfId="3347"/>
    <cellStyle name="Accent4 6" xfId="3348"/>
    <cellStyle name="Accent4 6 2" xfId="3349"/>
    <cellStyle name="Accent4 60" xfId="3350"/>
    <cellStyle name="Accent4 61" xfId="3351"/>
    <cellStyle name="Accent4 62" xfId="3352"/>
    <cellStyle name="Accent4 63" xfId="3353"/>
    <cellStyle name="Accent4 64" xfId="3354"/>
    <cellStyle name="Accent4 65" xfId="3355"/>
    <cellStyle name="Accent4 66" xfId="3356"/>
    <cellStyle name="Accent4 67" xfId="3357"/>
    <cellStyle name="Accent4 68" xfId="3358"/>
    <cellStyle name="Accent4 69" xfId="3359"/>
    <cellStyle name="Accent4 7" xfId="3360"/>
    <cellStyle name="Accent4 7 2" xfId="3361"/>
    <cellStyle name="Accent4 70" xfId="3362"/>
    <cellStyle name="Accent4 71" xfId="3363"/>
    <cellStyle name="Accent4 72" xfId="3364"/>
    <cellStyle name="Accent4 73" xfId="3365"/>
    <cellStyle name="Accent4 74" xfId="3366"/>
    <cellStyle name="Accent4 75" xfId="3367"/>
    <cellStyle name="Accent4 76" xfId="3368"/>
    <cellStyle name="Accent4 77" xfId="3369"/>
    <cellStyle name="Accent4 78" xfId="3370"/>
    <cellStyle name="Accent4 79" xfId="3371"/>
    <cellStyle name="Accent4 8" xfId="3372"/>
    <cellStyle name="Accent4 8 2" xfId="3373"/>
    <cellStyle name="Accent4 80" xfId="3374"/>
    <cellStyle name="Accent4 81" xfId="3375"/>
    <cellStyle name="Accent4 82" xfId="3376"/>
    <cellStyle name="Accent4 83" xfId="3377"/>
    <cellStyle name="Accent4 84" xfId="3378"/>
    <cellStyle name="Accent4 85" xfId="3247"/>
    <cellStyle name="Accent4 9" xfId="3379"/>
    <cellStyle name="Accent4 9 2" xfId="3380"/>
    <cellStyle name="Accent5" xfId="119" builtinId="45" customBuiltin="1"/>
    <cellStyle name="Accent5 10" xfId="3382"/>
    <cellStyle name="Accent5 10 2" xfId="3383"/>
    <cellStyle name="Accent5 11" xfId="3384"/>
    <cellStyle name="Accent5 11 2" xfId="3385"/>
    <cellStyle name="Accent5 12" xfId="3386"/>
    <cellStyle name="Accent5 12 2" xfId="3387"/>
    <cellStyle name="Accent5 13" xfId="3388"/>
    <cellStyle name="Accent5 13 2" xfId="3389"/>
    <cellStyle name="Accent5 14" xfId="3390"/>
    <cellStyle name="Accent5 14 2" xfId="3391"/>
    <cellStyle name="Accent5 15" xfId="3392"/>
    <cellStyle name="Accent5 15 2" xfId="3393"/>
    <cellStyle name="Accent5 16" xfId="3394"/>
    <cellStyle name="Accent5 16 2" xfId="3395"/>
    <cellStyle name="Accent5 17" xfId="3396"/>
    <cellStyle name="Accent5 17 2" xfId="3397"/>
    <cellStyle name="Accent5 18" xfId="3398"/>
    <cellStyle name="Accent5 18 2" xfId="3399"/>
    <cellStyle name="Accent5 19" xfId="3400"/>
    <cellStyle name="Accent5 19 2" xfId="3401"/>
    <cellStyle name="Accent5 2" xfId="45"/>
    <cellStyle name="Accent5 2 10" xfId="3403"/>
    <cellStyle name="Accent5 2 11" xfId="3404"/>
    <cellStyle name="Accent5 2 12" xfId="3405"/>
    <cellStyle name="Accent5 2 13" xfId="3402"/>
    <cellStyle name="Accent5 2 2" xfId="3406"/>
    <cellStyle name="Accent5 2 2 2" xfId="3407"/>
    <cellStyle name="Accent5 2 3" xfId="3408"/>
    <cellStyle name="Accent5 2 4" xfId="3409"/>
    <cellStyle name="Accent5 2 5" xfId="3410"/>
    <cellStyle name="Accent5 2 6" xfId="3411"/>
    <cellStyle name="Accent5 2 7" xfId="3412"/>
    <cellStyle name="Accent5 2 8" xfId="3413"/>
    <cellStyle name="Accent5 2 9" xfId="3414"/>
    <cellStyle name="Accent5 20" xfId="3415"/>
    <cellStyle name="Accent5 20 2" xfId="3416"/>
    <cellStyle name="Accent5 21" xfId="3417"/>
    <cellStyle name="Accent5 21 2" xfId="3418"/>
    <cellStyle name="Accent5 22" xfId="3419"/>
    <cellStyle name="Accent5 22 2" xfId="3420"/>
    <cellStyle name="Accent5 23" xfId="3421"/>
    <cellStyle name="Accent5 23 2" xfId="3422"/>
    <cellStyle name="Accent5 24" xfId="3423"/>
    <cellStyle name="Accent5 24 2" xfId="3424"/>
    <cellStyle name="Accent5 25" xfId="3425"/>
    <cellStyle name="Accent5 25 2" xfId="3426"/>
    <cellStyle name="Accent5 26" xfId="3427"/>
    <cellStyle name="Accent5 26 2" xfId="3428"/>
    <cellStyle name="Accent5 27" xfId="3429"/>
    <cellStyle name="Accent5 27 2" xfId="3430"/>
    <cellStyle name="Accent5 28" xfId="3431"/>
    <cellStyle name="Accent5 28 2" xfId="3432"/>
    <cellStyle name="Accent5 29" xfId="3433"/>
    <cellStyle name="Accent5 29 2" xfId="3434"/>
    <cellStyle name="Accent5 3" xfId="46"/>
    <cellStyle name="Accent5 3 2" xfId="3436"/>
    <cellStyle name="Accent5 3 3" xfId="3437"/>
    <cellStyle name="Accent5 3 4" xfId="8380"/>
    <cellStyle name="Accent5 3 5" xfId="3435"/>
    <cellStyle name="Accent5 30" xfId="3438"/>
    <cellStyle name="Accent5 30 2" xfId="3439"/>
    <cellStyle name="Accent5 31" xfId="3440"/>
    <cellStyle name="Accent5 31 2" xfId="3441"/>
    <cellStyle name="Accent5 32" xfId="3442"/>
    <cellStyle name="Accent5 32 2" xfId="3443"/>
    <cellStyle name="Accent5 33" xfId="3444"/>
    <cellStyle name="Accent5 33 2" xfId="3445"/>
    <cellStyle name="Accent5 34" xfId="3446"/>
    <cellStyle name="Accent5 34 2" xfId="3447"/>
    <cellStyle name="Accent5 35" xfId="3448"/>
    <cellStyle name="Accent5 35 2" xfId="3449"/>
    <cellStyle name="Accent5 36" xfId="3450"/>
    <cellStyle name="Accent5 36 2" xfId="3451"/>
    <cellStyle name="Accent5 37" xfId="3452"/>
    <cellStyle name="Accent5 37 2" xfId="3453"/>
    <cellStyle name="Accent5 38" xfId="3454"/>
    <cellStyle name="Accent5 38 2" xfId="3455"/>
    <cellStyle name="Accent5 39" xfId="3456"/>
    <cellStyle name="Accent5 39 2" xfId="3457"/>
    <cellStyle name="Accent5 4" xfId="3458"/>
    <cellStyle name="Accent5 4 2" xfId="3459"/>
    <cellStyle name="Accent5 40" xfId="3460"/>
    <cellStyle name="Accent5 41" xfId="3461"/>
    <cellStyle name="Accent5 42" xfId="3462"/>
    <cellStyle name="Accent5 43" xfId="3463"/>
    <cellStyle name="Accent5 44" xfId="3464"/>
    <cellStyle name="Accent5 45" xfId="3465"/>
    <cellStyle name="Accent5 46" xfId="3466"/>
    <cellStyle name="Accent5 47" xfId="3467"/>
    <cellStyle name="Accent5 48" xfId="3468"/>
    <cellStyle name="Accent5 49" xfId="3469"/>
    <cellStyle name="Accent5 5" xfId="3470"/>
    <cellStyle name="Accent5 5 2" xfId="3471"/>
    <cellStyle name="Accent5 50" xfId="3472"/>
    <cellStyle name="Accent5 51" xfId="3473"/>
    <cellStyle name="Accent5 52" xfId="3474"/>
    <cellStyle name="Accent5 53" xfId="3475"/>
    <cellStyle name="Accent5 54" xfId="3476"/>
    <cellStyle name="Accent5 55" xfId="3477"/>
    <cellStyle name="Accent5 56" xfId="3478"/>
    <cellStyle name="Accent5 57" xfId="3479"/>
    <cellStyle name="Accent5 58" xfId="3480"/>
    <cellStyle name="Accent5 59" xfId="3481"/>
    <cellStyle name="Accent5 6" xfId="3482"/>
    <cellStyle name="Accent5 6 2" xfId="3483"/>
    <cellStyle name="Accent5 60" xfId="3484"/>
    <cellStyle name="Accent5 61" xfId="3485"/>
    <cellStyle name="Accent5 62" xfId="3486"/>
    <cellStyle name="Accent5 63" xfId="3487"/>
    <cellStyle name="Accent5 64" xfId="3488"/>
    <cellStyle name="Accent5 65" xfId="3489"/>
    <cellStyle name="Accent5 66" xfId="3490"/>
    <cellStyle name="Accent5 67" xfId="3491"/>
    <cellStyle name="Accent5 68" xfId="3492"/>
    <cellStyle name="Accent5 69" xfId="3493"/>
    <cellStyle name="Accent5 7" xfId="3494"/>
    <cellStyle name="Accent5 7 2" xfId="3495"/>
    <cellStyle name="Accent5 70" xfId="3496"/>
    <cellStyle name="Accent5 71" xfId="3497"/>
    <cellStyle name="Accent5 72" xfId="3498"/>
    <cellStyle name="Accent5 73" xfId="3499"/>
    <cellStyle name="Accent5 74" xfId="3500"/>
    <cellStyle name="Accent5 75" xfId="3501"/>
    <cellStyle name="Accent5 76" xfId="3502"/>
    <cellStyle name="Accent5 77" xfId="3503"/>
    <cellStyle name="Accent5 78" xfId="3504"/>
    <cellStyle name="Accent5 79" xfId="3505"/>
    <cellStyle name="Accent5 8" xfId="3506"/>
    <cellStyle name="Accent5 8 2" xfId="3507"/>
    <cellStyle name="Accent5 80" xfId="3508"/>
    <cellStyle name="Accent5 81" xfId="3509"/>
    <cellStyle name="Accent5 82" xfId="3510"/>
    <cellStyle name="Accent5 83" xfId="3511"/>
    <cellStyle name="Accent5 84" xfId="3512"/>
    <cellStyle name="Accent5 85" xfId="3381"/>
    <cellStyle name="Accent5 9" xfId="3513"/>
    <cellStyle name="Accent5 9 2" xfId="3514"/>
    <cellStyle name="Accent6" xfId="123" builtinId="49" customBuiltin="1"/>
    <cellStyle name="Accent6 10" xfId="3516"/>
    <cellStyle name="Accent6 10 2" xfId="3517"/>
    <cellStyle name="Accent6 11" xfId="3518"/>
    <cellStyle name="Accent6 11 2" xfId="3519"/>
    <cellStyle name="Accent6 12" xfId="3520"/>
    <cellStyle name="Accent6 12 2" xfId="3521"/>
    <cellStyle name="Accent6 13" xfId="3522"/>
    <cellStyle name="Accent6 13 2" xfId="3523"/>
    <cellStyle name="Accent6 14" xfId="3524"/>
    <cellStyle name="Accent6 14 2" xfId="3525"/>
    <cellStyle name="Accent6 15" xfId="3526"/>
    <cellStyle name="Accent6 15 2" xfId="3527"/>
    <cellStyle name="Accent6 16" xfId="3528"/>
    <cellStyle name="Accent6 16 2" xfId="3529"/>
    <cellStyle name="Accent6 17" xfId="3530"/>
    <cellStyle name="Accent6 17 2" xfId="3531"/>
    <cellStyle name="Accent6 18" xfId="3532"/>
    <cellStyle name="Accent6 18 2" xfId="3533"/>
    <cellStyle name="Accent6 19" xfId="3534"/>
    <cellStyle name="Accent6 19 2" xfId="3535"/>
    <cellStyle name="Accent6 2" xfId="47"/>
    <cellStyle name="Accent6 2 10" xfId="3537"/>
    <cellStyle name="Accent6 2 11" xfId="3538"/>
    <cellStyle name="Accent6 2 12" xfId="3539"/>
    <cellStyle name="Accent6 2 13" xfId="3540"/>
    <cellStyle name="Accent6 2 14" xfId="3541"/>
    <cellStyle name="Accent6 2 15" xfId="3542"/>
    <cellStyle name="Accent6 2 16" xfId="3543"/>
    <cellStyle name="Accent6 2 17" xfId="3544"/>
    <cellStyle name="Accent6 2 18" xfId="3545"/>
    <cellStyle name="Accent6 2 19" xfId="3546"/>
    <cellStyle name="Accent6 2 2" xfId="3547"/>
    <cellStyle name="Accent6 2 2 2" xfId="3548"/>
    <cellStyle name="Accent6 2 20" xfId="3549"/>
    <cellStyle name="Accent6 2 21" xfId="3550"/>
    <cellStyle name="Accent6 2 22" xfId="3551"/>
    <cellStyle name="Accent6 2 23" xfId="3552"/>
    <cellStyle name="Accent6 2 24" xfId="3553"/>
    <cellStyle name="Accent6 2 25" xfId="3554"/>
    <cellStyle name="Accent6 2 26" xfId="3555"/>
    <cellStyle name="Accent6 2 27" xfId="3556"/>
    <cellStyle name="Accent6 2 28" xfId="3557"/>
    <cellStyle name="Accent6 2 29" xfId="3558"/>
    <cellStyle name="Accent6 2 3" xfId="3559"/>
    <cellStyle name="Accent6 2 30" xfId="3560"/>
    <cellStyle name="Accent6 2 31" xfId="3561"/>
    <cellStyle name="Accent6 2 32" xfId="3562"/>
    <cellStyle name="Accent6 2 33" xfId="3563"/>
    <cellStyle name="Accent6 2 34" xfId="3564"/>
    <cellStyle name="Accent6 2 35" xfId="3565"/>
    <cellStyle name="Accent6 2 36" xfId="3566"/>
    <cellStyle name="Accent6 2 37" xfId="3567"/>
    <cellStyle name="Accent6 2 38" xfId="3568"/>
    <cellStyle name="Accent6 2 39" xfId="3569"/>
    <cellStyle name="Accent6 2 4" xfId="3570"/>
    <cellStyle name="Accent6 2 40" xfId="3571"/>
    <cellStyle name="Accent6 2 41" xfId="3572"/>
    <cellStyle name="Accent6 2 42" xfId="3573"/>
    <cellStyle name="Accent6 2 43" xfId="3574"/>
    <cellStyle name="Accent6 2 44" xfId="3536"/>
    <cellStyle name="Accent6 2 5" xfId="3575"/>
    <cellStyle name="Accent6 2 6" xfId="3576"/>
    <cellStyle name="Accent6 2 7" xfId="3577"/>
    <cellStyle name="Accent6 2 8" xfId="3578"/>
    <cellStyle name="Accent6 2 8 2" xfId="3579"/>
    <cellStyle name="Accent6 2 8 3" xfId="3580"/>
    <cellStyle name="Accent6 2 8 4" xfId="3581"/>
    <cellStyle name="Accent6 2 8 5" xfId="3582"/>
    <cellStyle name="Accent6 2 8 6" xfId="3583"/>
    <cellStyle name="Accent6 2 8 7" xfId="3584"/>
    <cellStyle name="Accent6 2 8_Doubt Log" xfId="3585"/>
    <cellStyle name="Accent6 2 9" xfId="3586"/>
    <cellStyle name="Accent6 2_Doubt Log" xfId="3587"/>
    <cellStyle name="Accent6 20" xfId="3588"/>
    <cellStyle name="Accent6 20 2" xfId="3589"/>
    <cellStyle name="Accent6 21" xfId="3590"/>
    <cellStyle name="Accent6 21 2" xfId="3591"/>
    <cellStyle name="Accent6 22" xfId="3592"/>
    <cellStyle name="Accent6 22 2" xfId="3593"/>
    <cellStyle name="Accent6 23" xfId="3594"/>
    <cellStyle name="Accent6 23 2" xfId="3595"/>
    <cellStyle name="Accent6 24" xfId="3596"/>
    <cellStyle name="Accent6 24 2" xfId="3597"/>
    <cellStyle name="Accent6 25" xfId="3598"/>
    <cellStyle name="Accent6 25 2" xfId="3599"/>
    <cellStyle name="Accent6 26" xfId="3600"/>
    <cellStyle name="Accent6 26 2" xfId="3601"/>
    <cellStyle name="Accent6 27" xfId="3602"/>
    <cellStyle name="Accent6 27 2" xfId="3603"/>
    <cellStyle name="Accent6 28" xfId="3604"/>
    <cellStyle name="Accent6 28 2" xfId="3605"/>
    <cellStyle name="Accent6 29" xfId="3606"/>
    <cellStyle name="Accent6 29 2" xfId="3607"/>
    <cellStyle name="Accent6 3" xfId="48"/>
    <cellStyle name="Accent6 3 10" xfId="3609"/>
    <cellStyle name="Accent6 3 11" xfId="3610"/>
    <cellStyle name="Accent6 3 12" xfId="3611"/>
    <cellStyle name="Accent6 3 13" xfId="3612"/>
    <cellStyle name="Accent6 3 14" xfId="3613"/>
    <cellStyle name="Accent6 3 15" xfId="3614"/>
    <cellStyle name="Accent6 3 16" xfId="3615"/>
    <cellStyle name="Accent6 3 17" xfId="3616"/>
    <cellStyle name="Accent6 3 18" xfId="3617"/>
    <cellStyle name="Accent6 3 19" xfId="3618"/>
    <cellStyle name="Accent6 3 2" xfId="3619"/>
    <cellStyle name="Accent6 3 2 2" xfId="3620"/>
    <cellStyle name="Accent6 3 20" xfId="3621"/>
    <cellStyle name="Accent6 3 21" xfId="3622"/>
    <cellStyle name="Accent6 3 22" xfId="3623"/>
    <cellStyle name="Accent6 3 23" xfId="3624"/>
    <cellStyle name="Accent6 3 24" xfId="3625"/>
    <cellStyle name="Accent6 3 25" xfId="3626"/>
    <cellStyle name="Accent6 3 26" xfId="3627"/>
    <cellStyle name="Accent6 3 27" xfId="3628"/>
    <cellStyle name="Accent6 3 28" xfId="3629"/>
    <cellStyle name="Accent6 3 29" xfId="3630"/>
    <cellStyle name="Accent6 3 3" xfId="3631"/>
    <cellStyle name="Accent6 3 30" xfId="3632"/>
    <cellStyle name="Accent6 3 31" xfId="3633"/>
    <cellStyle name="Accent6 3 32" xfId="3634"/>
    <cellStyle name="Accent6 3 33" xfId="3635"/>
    <cellStyle name="Accent6 3 34" xfId="3636"/>
    <cellStyle name="Accent6 3 35" xfId="8382"/>
    <cellStyle name="Accent6 3 36" xfId="3608"/>
    <cellStyle name="Accent6 3 4" xfId="3637"/>
    <cellStyle name="Accent6 3 5" xfId="3638"/>
    <cellStyle name="Accent6 3 6" xfId="3639"/>
    <cellStyle name="Accent6 3 7" xfId="3640"/>
    <cellStyle name="Accent6 3 8" xfId="3641"/>
    <cellStyle name="Accent6 3 8 2" xfId="3642"/>
    <cellStyle name="Accent6 3 8 3" xfId="3643"/>
    <cellStyle name="Accent6 3 8 4" xfId="3644"/>
    <cellStyle name="Accent6 3 8 5" xfId="3645"/>
    <cellStyle name="Accent6 3 8 6" xfId="3646"/>
    <cellStyle name="Accent6 3 8 7" xfId="3647"/>
    <cellStyle name="Accent6 3 8_Doubt Log" xfId="3648"/>
    <cellStyle name="Accent6 3 9" xfId="3649"/>
    <cellStyle name="Accent6 3_Doubt Log" xfId="3650"/>
    <cellStyle name="Accent6 30" xfId="3651"/>
    <cellStyle name="Accent6 30 2" xfId="3652"/>
    <cellStyle name="Accent6 31" xfId="3653"/>
    <cellStyle name="Accent6 31 2" xfId="3654"/>
    <cellStyle name="Accent6 32" xfId="3655"/>
    <cellStyle name="Accent6 32 2" xfId="3656"/>
    <cellStyle name="Accent6 33" xfId="3657"/>
    <cellStyle name="Accent6 33 2" xfId="3658"/>
    <cellStyle name="Accent6 34" xfId="3659"/>
    <cellStyle name="Accent6 34 2" xfId="3660"/>
    <cellStyle name="Accent6 35" xfId="3661"/>
    <cellStyle name="Accent6 35 2" xfId="3662"/>
    <cellStyle name="Accent6 36" xfId="3663"/>
    <cellStyle name="Accent6 36 2" xfId="3664"/>
    <cellStyle name="Accent6 37" xfId="3665"/>
    <cellStyle name="Accent6 37 2" xfId="3666"/>
    <cellStyle name="Accent6 38" xfId="3667"/>
    <cellStyle name="Accent6 38 2" xfId="3668"/>
    <cellStyle name="Accent6 39" xfId="3669"/>
    <cellStyle name="Accent6 39 2" xfId="3670"/>
    <cellStyle name="Accent6 4" xfId="3671"/>
    <cellStyle name="Accent6 4 10" xfId="3672"/>
    <cellStyle name="Accent6 4 11" xfId="3673"/>
    <cellStyle name="Accent6 4 12" xfId="3674"/>
    <cellStyle name="Accent6 4 13" xfId="3675"/>
    <cellStyle name="Accent6 4 14" xfId="3676"/>
    <cellStyle name="Accent6 4 15" xfId="3677"/>
    <cellStyle name="Accent6 4 16" xfId="3678"/>
    <cellStyle name="Accent6 4 17" xfId="3679"/>
    <cellStyle name="Accent6 4 18" xfId="3680"/>
    <cellStyle name="Accent6 4 19" xfId="3681"/>
    <cellStyle name="Accent6 4 2" xfId="3682"/>
    <cellStyle name="Accent6 4 20" xfId="3683"/>
    <cellStyle name="Accent6 4 21" xfId="3684"/>
    <cellStyle name="Accent6 4 22" xfId="3685"/>
    <cellStyle name="Accent6 4 23" xfId="3686"/>
    <cellStyle name="Accent6 4 24" xfId="3687"/>
    <cellStyle name="Accent6 4 25" xfId="3688"/>
    <cellStyle name="Accent6 4 26" xfId="3689"/>
    <cellStyle name="Accent6 4 27" xfId="3690"/>
    <cellStyle name="Accent6 4 28" xfId="3691"/>
    <cellStyle name="Accent6 4 29" xfId="3692"/>
    <cellStyle name="Accent6 4 3" xfId="3693"/>
    <cellStyle name="Accent6 4 30" xfId="3694"/>
    <cellStyle name="Accent6 4 31" xfId="3695"/>
    <cellStyle name="Accent6 4 32" xfId="3696"/>
    <cellStyle name="Accent6 4 33" xfId="3697"/>
    <cellStyle name="Accent6 4 34" xfId="3698"/>
    <cellStyle name="Accent6 4 4" xfId="3699"/>
    <cellStyle name="Accent6 4 5" xfId="3700"/>
    <cellStyle name="Accent6 4 6" xfId="3701"/>
    <cellStyle name="Accent6 4 7" xfId="3702"/>
    <cellStyle name="Accent6 4 8" xfId="3703"/>
    <cellStyle name="Accent6 4 8 2" xfId="3704"/>
    <cellStyle name="Accent6 4 8 3" xfId="3705"/>
    <cellStyle name="Accent6 4 8 4" xfId="3706"/>
    <cellStyle name="Accent6 4 8 5" xfId="3707"/>
    <cellStyle name="Accent6 4 8 6" xfId="3708"/>
    <cellStyle name="Accent6 4 8 7" xfId="3709"/>
    <cellStyle name="Accent6 4 8_Doubt Log" xfId="3710"/>
    <cellStyle name="Accent6 4 9" xfId="3711"/>
    <cellStyle name="Accent6 4_Doubt Log" xfId="3712"/>
    <cellStyle name="Accent6 40" xfId="3713"/>
    <cellStyle name="Accent6 41" xfId="3714"/>
    <cellStyle name="Accent6 42" xfId="3715"/>
    <cellStyle name="Accent6 43" xfId="3716"/>
    <cellStyle name="Accent6 44" xfId="3717"/>
    <cellStyle name="Accent6 45" xfId="3718"/>
    <cellStyle name="Accent6 46" xfId="3719"/>
    <cellStyle name="Accent6 47" xfId="3720"/>
    <cellStyle name="Accent6 48" xfId="3721"/>
    <cellStyle name="Accent6 49" xfId="3722"/>
    <cellStyle name="Accent6 5" xfId="3723"/>
    <cellStyle name="Accent6 5 2" xfId="3724"/>
    <cellStyle name="Accent6 50" xfId="3725"/>
    <cellStyle name="Accent6 51" xfId="3726"/>
    <cellStyle name="Accent6 52" xfId="3727"/>
    <cellStyle name="Accent6 53" xfId="3728"/>
    <cellStyle name="Accent6 54" xfId="3729"/>
    <cellStyle name="Accent6 55" xfId="3730"/>
    <cellStyle name="Accent6 56" xfId="3731"/>
    <cellStyle name="Accent6 57" xfId="3732"/>
    <cellStyle name="Accent6 58" xfId="3733"/>
    <cellStyle name="Accent6 59" xfId="3734"/>
    <cellStyle name="Accent6 6" xfId="3735"/>
    <cellStyle name="Accent6 6 2" xfId="3736"/>
    <cellStyle name="Accent6 60" xfId="3737"/>
    <cellStyle name="Accent6 61" xfId="3738"/>
    <cellStyle name="Accent6 62" xfId="3739"/>
    <cellStyle name="Accent6 63" xfId="3740"/>
    <cellStyle name="Accent6 64" xfId="3741"/>
    <cellStyle name="Accent6 65" xfId="3742"/>
    <cellStyle name="Accent6 66" xfId="3743"/>
    <cellStyle name="Accent6 67" xfId="3744"/>
    <cellStyle name="Accent6 68" xfId="3745"/>
    <cellStyle name="Accent6 69" xfId="3746"/>
    <cellStyle name="Accent6 7" xfId="3747"/>
    <cellStyle name="Accent6 7 2" xfId="3748"/>
    <cellStyle name="Accent6 70" xfId="3749"/>
    <cellStyle name="Accent6 71" xfId="3750"/>
    <cellStyle name="Accent6 72" xfId="3751"/>
    <cellStyle name="Accent6 73" xfId="3752"/>
    <cellStyle name="Accent6 74" xfId="3753"/>
    <cellStyle name="Accent6 75" xfId="3754"/>
    <cellStyle name="Accent6 76" xfId="3755"/>
    <cellStyle name="Accent6 77" xfId="3756"/>
    <cellStyle name="Accent6 78" xfId="3757"/>
    <cellStyle name="Accent6 79" xfId="3758"/>
    <cellStyle name="Accent6 8" xfId="3759"/>
    <cellStyle name="Accent6 8 2" xfId="3760"/>
    <cellStyle name="Accent6 80" xfId="3761"/>
    <cellStyle name="Accent6 81" xfId="3762"/>
    <cellStyle name="Accent6 82" xfId="3763"/>
    <cellStyle name="Accent6 83" xfId="3764"/>
    <cellStyle name="Accent6 84" xfId="3765"/>
    <cellStyle name="Accent6 85" xfId="3515"/>
    <cellStyle name="Accent6 86" xfId="8328"/>
    <cellStyle name="Accent6 87" xfId="8331"/>
    <cellStyle name="Accent6 88" xfId="8409"/>
    <cellStyle name="Accent6 89" xfId="12093"/>
    <cellStyle name="Accent6 9" xfId="3766"/>
    <cellStyle name="Accent6 9 2" xfId="3767"/>
    <cellStyle name="Accent6 90" xfId="12160"/>
    <cellStyle name="Accent6 91" xfId="12173"/>
    <cellStyle name="Accent6 92" xfId="12165"/>
    <cellStyle name="Bad" xfId="92" builtinId="27" customBuiltin="1"/>
    <cellStyle name="Bad 10" xfId="3769"/>
    <cellStyle name="Bad 10 2" xfId="3770"/>
    <cellStyle name="Bad 11" xfId="3771"/>
    <cellStyle name="Bad 11 2" xfId="3772"/>
    <cellStyle name="Bad 11 3" xfId="3773"/>
    <cellStyle name="Bad 11 4" xfId="3774"/>
    <cellStyle name="Bad 11 5" xfId="3775"/>
    <cellStyle name="Bad 11 6" xfId="3776"/>
    <cellStyle name="Bad 11 7" xfId="3777"/>
    <cellStyle name="Bad 11 8" xfId="3778"/>
    <cellStyle name="Bad 12" xfId="3779"/>
    <cellStyle name="Bad 12 2" xfId="3780"/>
    <cellStyle name="Bad 13" xfId="3781"/>
    <cellStyle name="Bad 13 2" xfId="3782"/>
    <cellStyle name="Bad 14" xfId="3783"/>
    <cellStyle name="Bad 14 2" xfId="3784"/>
    <cellStyle name="Bad 15" xfId="3785"/>
    <cellStyle name="Bad 15 2" xfId="3786"/>
    <cellStyle name="Bad 16" xfId="3787"/>
    <cellStyle name="Bad 16 2" xfId="3788"/>
    <cellStyle name="Bad 17" xfId="3789"/>
    <cellStyle name="Bad 17 2" xfId="3790"/>
    <cellStyle name="Bad 18" xfId="3791"/>
    <cellStyle name="Bad 18 2" xfId="3792"/>
    <cellStyle name="Bad 19" xfId="3793"/>
    <cellStyle name="Bad 19 2" xfId="3794"/>
    <cellStyle name="Bad 2" xfId="49"/>
    <cellStyle name="Bad 2 10" xfId="3796"/>
    <cellStyle name="Bad 2 11" xfId="3797"/>
    <cellStyle name="Bad 2 12" xfId="3798"/>
    <cellStyle name="Bad 2 13" xfId="3795"/>
    <cellStyle name="Bad 2 2" xfId="3799"/>
    <cellStyle name="Bad 2 2 2" xfId="3800"/>
    <cellStyle name="Bad 2 3" xfId="3801"/>
    <cellStyle name="Bad 2 4" xfId="3802"/>
    <cellStyle name="Bad 2 5" xfId="3803"/>
    <cellStyle name="Bad 2 6" xfId="3804"/>
    <cellStyle name="Bad 2 7" xfId="3805"/>
    <cellStyle name="Bad 2 8" xfId="3806"/>
    <cellStyle name="Bad 2 9" xfId="3807"/>
    <cellStyle name="Bad 20" xfId="3808"/>
    <cellStyle name="Bad 20 2" xfId="3809"/>
    <cellStyle name="Bad 21" xfId="3810"/>
    <cellStyle name="Bad 21 2" xfId="3811"/>
    <cellStyle name="Bad 22" xfId="3812"/>
    <cellStyle name="Bad 22 2" xfId="3813"/>
    <cellStyle name="Bad 23" xfId="3814"/>
    <cellStyle name="Bad 23 2" xfId="3815"/>
    <cellStyle name="Bad 24" xfId="3816"/>
    <cellStyle name="Bad 24 2" xfId="3817"/>
    <cellStyle name="Bad 25" xfId="3818"/>
    <cellStyle name="Bad 25 2" xfId="3819"/>
    <cellStyle name="Bad 26" xfId="3820"/>
    <cellStyle name="Bad 26 2" xfId="3821"/>
    <cellStyle name="Bad 27" xfId="3822"/>
    <cellStyle name="Bad 27 2" xfId="3823"/>
    <cellStyle name="Bad 28" xfId="3824"/>
    <cellStyle name="Bad 28 2" xfId="3825"/>
    <cellStyle name="Bad 29" xfId="3826"/>
    <cellStyle name="Bad 29 2" xfId="3827"/>
    <cellStyle name="Bad 3" xfId="50"/>
    <cellStyle name="Bad 3 2" xfId="3829"/>
    <cellStyle name="Bad 3 3" xfId="3830"/>
    <cellStyle name="Bad 3 4" xfId="8381"/>
    <cellStyle name="Bad 3 5" xfId="3828"/>
    <cellStyle name="Bad 30" xfId="3831"/>
    <cellStyle name="Bad 30 2" xfId="3832"/>
    <cellStyle name="Bad 31" xfId="3833"/>
    <cellStyle name="Bad 31 2" xfId="3834"/>
    <cellStyle name="Bad 32" xfId="3835"/>
    <cellStyle name="Bad 32 2" xfId="3836"/>
    <cellStyle name="Bad 33" xfId="3837"/>
    <cellStyle name="Bad 33 2" xfId="3838"/>
    <cellStyle name="Bad 34" xfId="3839"/>
    <cellStyle name="Bad 34 2" xfId="3840"/>
    <cellStyle name="Bad 35" xfId="3841"/>
    <cellStyle name="Bad 35 2" xfId="3842"/>
    <cellStyle name="Bad 36" xfId="3843"/>
    <cellStyle name="Bad 36 2" xfId="3844"/>
    <cellStyle name="Bad 37" xfId="3845"/>
    <cellStyle name="Bad 37 2" xfId="3846"/>
    <cellStyle name="Bad 38" xfId="3847"/>
    <cellStyle name="Bad 38 2" xfId="3848"/>
    <cellStyle name="Bad 39" xfId="3849"/>
    <cellStyle name="Bad 39 2" xfId="3850"/>
    <cellStyle name="Bad 4" xfId="3851"/>
    <cellStyle name="Bad 4 2" xfId="3852"/>
    <cellStyle name="Bad 40" xfId="3853"/>
    <cellStyle name="Bad 40 2" xfId="3854"/>
    <cellStyle name="Bad 41" xfId="3855"/>
    <cellStyle name="Bad 41 2" xfId="3856"/>
    <cellStyle name="Bad 42" xfId="3857"/>
    <cellStyle name="Bad 42 2" xfId="3858"/>
    <cellStyle name="Bad 43" xfId="3859"/>
    <cellStyle name="Bad 43 2" xfId="3860"/>
    <cellStyle name="Bad 44" xfId="3861"/>
    <cellStyle name="Bad 44 2" xfId="3862"/>
    <cellStyle name="Bad 45" xfId="3863"/>
    <cellStyle name="Bad 45 2" xfId="3864"/>
    <cellStyle name="Bad 46" xfId="3865"/>
    <cellStyle name="Bad 46 2" xfId="3866"/>
    <cellStyle name="Bad 47" xfId="3867"/>
    <cellStyle name="Bad 47 2" xfId="3868"/>
    <cellStyle name="Bad 48" xfId="3869"/>
    <cellStyle name="Bad 48 2" xfId="3870"/>
    <cellStyle name="Bad 49" xfId="3871"/>
    <cellStyle name="Bad 49 2" xfId="3872"/>
    <cellStyle name="Bad 5" xfId="3873"/>
    <cellStyle name="Bad 5 10" xfId="3874"/>
    <cellStyle name="Bad 5 11" xfId="3875"/>
    <cellStyle name="Bad 5 12" xfId="3876"/>
    <cellStyle name="Bad 5 13" xfId="3877"/>
    <cellStyle name="Bad 5 14" xfId="3878"/>
    <cellStyle name="Bad 5 15" xfId="3879"/>
    <cellStyle name="Bad 5 16" xfId="3880"/>
    <cellStyle name="Bad 5 17" xfId="3881"/>
    <cellStyle name="Bad 5 18" xfId="3882"/>
    <cellStyle name="Bad 5 19" xfId="3883"/>
    <cellStyle name="Bad 5 2" xfId="3884"/>
    <cellStyle name="Bad 5 2 2" xfId="3885"/>
    <cellStyle name="Bad 5 2 3" xfId="3886"/>
    <cellStyle name="Bad 5 2 4" xfId="3887"/>
    <cellStyle name="Bad 5 2 5" xfId="3888"/>
    <cellStyle name="Bad 5 2 6" xfId="3889"/>
    <cellStyle name="Bad 5 2 7" xfId="3890"/>
    <cellStyle name="Bad 5 20" xfId="3891"/>
    <cellStyle name="Bad 5 21" xfId="3892"/>
    <cellStyle name="Bad 5 22" xfId="3893"/>
    <cellStyle name="Bad 5 23" xfId="3894"/>
    <cellStyle name="Bad 5 24" xfId="3895"/>
    <cellStyle name="Bad 5 25" xfId="3896"/>
    <cellStyle name="Bad 5 26" xfId="3897"/>
    <cellStyle name="Bad 5 27" xfId="3898"/>
    <cellStyle name="Bad 5 28" xfId="3899"/>
    <cellStyle name="Bad 5 29" xfId="3900"/>
    <cellStyle name="Bad 5 3" xfId="3901"/>
    <cellStyle name="Bad 5 4" xfId="3902"/>
    <cellStyle name="Bad 5 5" xfId="3903"/>
    <cellStyle name="Bad 5 6" xfId="3904"/>
    <cellStyle name="Bad 5 7" xfId="3905"/>
    <cellStyle name="Bad 5 8" xfId="3906"/>
    <cellStyle name="Bad 5 9" xfId="3907"/>
    <cellStyle name="Bad 50" xfId="3908"/>
    <cellStyle name="Bad 51" xfId="3909"/>
    <cellStyle name="Bad 52" xfId="3910"/>
    <cellStyle name="Bad 53" xfId="3911"/>
    <cellStyle name="Bad 54" xfId="3912"/>
    <cellStyle name="Bad 55" xfId="3913"/>
    <cellStyle name="Bad 56" xfId="3914"/>
    <cellStyle name="Bad 57" xfId="3915"/>
    <cellStyle name="Bad 58" xfId="3916"/>
    <cellStyle name="Bad 59" xfId="3917"/>
    <cellStyle name="Bad 6" xfId="3918"/>
    <cellStyle name="Bad 6 2" xfId="3919"/>
    <cellStyle name="Bad 60" xfId="3920"/>
    <cellStyle name="Bad 61" xfId="3921"/>
    <cellStyle name="Bad 62" xfId="3922"/>
    <cellStyle name="Bad 63" xfId="3923"/>
    <cellStyle name="Bad 64" xfId="3924"/>
    <cellStyle name="Bad 65" xfId="3925"/>
    <cellStyle name="Bad 66" xfId="3926"/>
    <cellStyle name="Bad 67" xfId="3927"/>
    <cellStyle name="Bad 68" xfId="3928"/>
    <cellStyle name="Bad 69" xfId="3929"/>
    <cellStyle name="Bad 7" xfId="3930"/>
    <cellStyle name="Bad 7 2" xfId="3931"/>
    <cellStyle name="Bad 70" xfId="3932"/>
    <cellStyle name="Bad 71" xfId="3933"/>
    <cellStyle name="Bad 72" xfId="3934"/>
    <cellStyle name="Bad 73" xfId="3935"/>
    <cellStyle name="Bad 74" xfId="3936"/>
    <cellStyle name="Bad 75" xfId="3937"/>
    <cellStyle name="Bad 76" xfId="3938"/>
    <cellStyle name="Bad 77" xfId="3939"/>
    <cellStyle name="Bad 78" xfId="3940"/>
    <cellStyle name="Bad 79" xfId="3941"/>
    <cellStyle name="Bad 8" xfId="3942"/>
    <cellStyle name="Bad 8 2" xfId="3943"/>
    <cellStyle name="Bad 80" xfId="3944"/>
    <cellStyle name="Bad 81" xfId="3945"/>
    <cellStyle name="Bad 82" xfId="3946"/>
    <cellStyle name="Bad 83" xfId="3947"/>
    <cellStyle name="Bad 84" xfId="3948"/>
    <cellStyle name="Bad 85" xfId="3768"/>
    <cellStyle name="Bad 9" xfId="3949"/>
    <cellStyle name="Bad 9 2" xfId="3950"/>
    <cellStyle name="Calculation" xfId="96" builtinId="22" customBuiltin="1"/>
    <cellStyle name="Calculation 10" xfId="3952"/>
    <cellStyle name="Calculation 10 2" xfId="3953"/>
    <cellStyle name="Calculation 11" xfId="3954"/>
    <cellStyle name="Calculation 11 2" xfId="3955"/>
    <cellStyle name="Calculation 12" xfId="3956"/>
    <cellStyle name="Calculation 12 2" xfId="3957"/>
    <cellStyle name="Calculation 13" xfId="3958"/>
    <cellStyle name="Calculation 13 2" xfId="3959"/>
    <cellStyle name="Calculation 14" xfId="3960"/>
    <cellStyle name="Calculation 14 2" xfId="3961"/>
    <cellStyle name="Calculation 15" xfId="3962"/>
    <cellStyle name="Calculation 15 2" xfId="3963"/>
    <cellStyle name="Calculation 16" xfId="3964"/>
    <cellStyle name="Calculation 16 2" xfId="3965"/>
    <cellStyle name="Calculation 17" xfId="3966"/>
    <cellStyle name="Calculation 17 2" xfId="3967"/>
    <cellStyle name="Calculation 18" xfId="3968"/>
    <cellStyle name="Calculation 18 2" xfId="3969"/>
    <cellStyle name="Calculation 19" xfId="3970"/>
    <cellStyle name="Calculation 19 2" xfId="3971"/>
    <cellStyle name="Calculation 2" xfId="51"/>
    <cellStyle name="Calculation 2 10" xfId="3973"/>
    <cellStyle name="Calculation 2 11" xfId="3974"/>
    <cellStyle name="Calculation 2 12" xfId="3975"/>
    <cellStyle name="Calculation 2 13" xfId="3972"/>
    <cellStyle name="Calculation 2 2" xfId="3976"/>
    <cellStyle name="Calculation 2 2 2" xfId="3977"/>
    <cellStyle name="Calculation 2 3" xfId="3978"/>
    <cellStyle name="Calculation 2 4" xfId="3979"/>
    <cellStyle name="Calculation 2 5" xfId="3980"/>
    <cellStyle name="Calculation 2 6" xfId="3981"/>
    <cellStyle name="Calculation 2 7" xfId="3982"/>
    <cellStyle name="Calculation 2 8" xfId="3983"/>
    <cellStyle name="Calculation 2 9" xfId="3984"/>
    <cellStyle name="Calculation 2_Q410 Novosibirsk" xfId="3985"/>
    <cellStyle name="Calculation 20" xfId="3986"/>
    <cellStyle name="Calculation 20 2" xfId="3987"/>
    <cellStyle name="Calculation 21" xfId="3988"/>
    <cellStyle name="Calculation 21 2" xfId="3989"/>
    <cellStyle name="Calculation 22" xfId="3990"/>
    <cellStyle name="Calculation 22 2" xfId="3991"/>
    <cellStyle name="Calculation 23" xfId="3992"/>
    <cellStyle name="Calculation 23 2" xfId="3993"/>
    <cellStyle name="Calculation 24" xfId="3994"/>
    <cellStyle name="Calculation 24 2" xfId="3995"/>
    <cellStyle name="Calculation 25" xfId="3996"/>
    <cellStyle name="Calculation 25 2" xfId="3997"/>
    <cellStyle name="Calculation 26" xfId="3998"/>
    <cellStyle name="Calculation 26 2" xfId="3999"/>
    <cellStyle name="Calculation 27" xfId="4000"/>
    <cellStyle name="Calculation 27 2" xfId="4001"/>
    <cellStyle name="Calculation 28" xfId="4002"/>
    <cellStyle name="Calculation 28 2" xfId="4003"/>
    <cellStyle name="Calculation 29" xfId="4004"/>
    <cellStyle name="Calculation 29 2" xfId="4005"/>
    <cellStyle name="Calculation 3" xfId="52"/>
    <cellStyle name="Calculation 3 2" xfId="4007"/>
    <cellStyle name="Calculation 3 3" xfId="4008"/>
    <cellStyle name="Calculation 3 4" xfId="8379"/>
    <cellStyle name="Calculation 3 5" xfId="4006"/>
    <cellStyle name="Calculation 30" xfId="4009"/>
    <cellStyle name="Calculation 30 2" xfId="4010"/>
    <cellStyle name="Calculation 31" xfId="4011"/>
    <cellStyle name="Calculation 31 2" xfId="4012"/>
    <cellStyle name="Calculation 32" xfId="4013"/>
    <cellStyle name="Calculation 32 2" xfId="4014"/>
    <cellStyle name="Calculation 33" xfId="4015"/>
    <cellStyle name="Calculation 33 2" xfId="4016"/>
    <cellStyle name="Calculation 34" xfId="4017"/>
    <cellStyle name="Calculation 34 2" xfId="4018"/>
    <cellStyle name="Calculation 35" xfId="4019"/>
    <cellStyle name="Calculation 35 2" xfId="4020"/>
    <cellStyle name="Calculation 36" xfId="4021"/>
    <cellStyle name="Calculation 36 2" xfId="4022"/>
    <cellStyle name="Calculation 37" xfId="4023"/>
    <cellStyle name="Calculation 37 2" xfId="4024"/>
    <cellStyle name="Calculation 38" xfId="4025"/>
    <cellStyle name="Calculation 38 2" xfId="4026"/>
    <cellStyle name="Calculation 39" xfId="4027"/>
    <cellStyle name="Calculation 39 2" xfId="4028"/>
    <cellStyle name="Calculation 4" xfId="4029"/>
    <cellStyle name="Calculation 4 2" xfId="4030"/>
    <cellStyle name="Calculation 40" xfId="4031"/>
    <cellStyle name="Calculation 41" xfId="4032"/>
    <cellStyle name="Calculation 42" xfId="4033"/>
    <cellStyle name="Calculation 43" xfId="4034"/>
    <cellStyle name="Calculation 44" xfId="4035"/>
    <cellStyle name="Calculation 45" xfId="4036"/>
    <cellStyle name="Calculation 46" xfId="4037"/>
    <cellStyle name="Calculation 47" xfId="4038"/>
    <cellStyle name="Calculation 48" xfId="4039"/>
    <cellStyle name="Calculation 49" xfId="4040"/>
    <cellStyle name="Calculation 5" xfId="4041"/>
    <cellStyle name="Calculation 5 2" xfId="4042"/>
    <cellStyle name="Calculation 50" xfId="4043"/>
    <cellStyle name="Calculation 51" xfId="4044"/>
    <cellStyle name="Calculation 52" xfId="4045"/>
    <cellStyle name="Calculation 53" xfId="4046"/>
    <cellStyle name="Calculation 54" xfId="4047"/>
    <cellStyle name="Calculation 55" xfId="4048"/>
    <cellStyle name="Calculation 56" xfId="4049"/>
    <cellStyle name="Calculation 57" xfId="4050"/>
    <cellStyle name="Calculation 58" xfId="4051"/>
    <cellStyle name="Calculation 59" xfId="4052"/>
    <cellStyle name="Calculation 6" xfId="4053"/>
    <cellStyle name="Calculation 6 2" xfId="4054"/>
    <cellStyle name="Calculation 60" xfId="4055"/>
    <cellStyle name="Calculation 61" xfId="4056"/>
    <cellStyle name="Calculation 62" xfId="4057"/>
    <cellStyle name="Calculation 63" xfId="4058"/>
    <cellStyle name="Calculation 64" xfId="4059"/>
    <cellStyle name="Calculation 65" xfId="4060"/>
    <cellStyle name="Calculation 66" xfId="4061"/>
    <cellStyle name="Calculation 67" xfId="4062"/>
    <cellStyle name="Calculation 68" xfId="4063"/>
    <cellStyle name="Calculation 69" xfId="4064"/>
    <cellStyle name="Calculation 7" xfId="4065"/>
    <cellStyle name="Calculation 7 2" xfId="4066"/>
    <cellStyle name="Calculation 70" xfId="4067"/>
    <cellStyle name="Calculation 71" xfId="4068"/>
    <cellStyle name="Calculation 72" xfId="4069"/>
    <cellStyle name="Calculation 73" xfId="4070"/>
    <cellStyle name="Calculation 74" xfId="4071"/>
    <cellStyle name="Calculation 75" xfId="4072"/>
    <cellStyle name="Calculation 76" xfId="4073"/>
    <cellStyle name="Calculation 77" xfId="4074"/>
    <cellStyle name="Calculation 78" xfId="4075"/>
    <cellStyle name="Calculation 79" xfId="4076"/>
    <cellStyle name="Calculation 8" xfId="4077"/>
    <cellStyle name="Calculation 8 2" xfId="4078"/>
    <cellStyle name="Calculation 80" xfId="4079"/>
    <cellStyle name="Calculation 81" xfId="4080"/>
    <cellStyle name="Calculation 82" xfId="4081"/>
    <cellStyle name="Calculation 83" xfId="4082"/>
    <cellStyle name="Calculation 84" xfId="4083"/>
    <cellStyle name="Calculation 85" xfId="3951"/>
    <cellStyle name="Calculation 86" xfId="8329"/>
    <cellStyle name="Calculation 87" xfId="8330"/>
    <cellStyle name="Calculation 88" xfId="8405"/>
    <cellStyle name="Calculation 89" xfId="12089"/>
    <cellStyle name="Calculation 9" xfId="4084"/>
    <cellStyle name="Calculation 9 2" xfId="4085"/>
    <cellStyle name="Calculation 90" xfId="12156"/>
    <cellStyle name="Calculation 91" xfId="12167"/>
    <cellStyle name="Calculation 92" xfId="12163"/>
    <cellStyle name="Check Cell" xfId="98" builtinId="23" customBuiltin="1"/>
    <cellStyle name="Check Cell 10" xfId="4087"/>
    <cellStyle name="Check Cell 10 2" xfId="4088"/>
    <cellStyle name="Check Cell 11" xfId="4089"/>
    <cellStyle name="Check Cell 11 2" xfId="4090"/>
    <cellStyle name="Check Cell 12" xfId="4091"/>
    <cellStyle name="Check Cell 12 2" xfId="4092"/>
    <cellStyle name="Check Cell 13" xfId="4093"/>
    <cellStyle name="Check Cell 13 2" xfId="4094"/>
    <cellStyle name="Check Cell 14" xfId="4095"/>
    <cellStyle name="Check Cell 14 2" xfId="4096"/>
    <cellStyle name="Check Cell 15" xfId="4097"/>
    <cellStyle name="Check Cell 15 2" xfId="4098"/>
    <cellStyle name="Check Cell 16" xfId="4099"/>
    <cellStyle name="Check Cell 16 2" xfId="4100"/>
    <cellStyle name="Check Cell 17" xfId="4101"/>
    <cellStyle name="Check Cell 17 2" xfId="4102"/>
    <cellStyle name="Check Cell 18" xfId="4103"/>
    <cellStyle name="Check Cell 18 2" xfId="4104"/>
    <cellStyle name="Check Cell 19" xfId="4105"/>
    <cellStyle name="Check Cell 19 2" xfId="4106"/>
    <cellStyle name="Check Cell 2" xfId="53"/>
    <cellStyle name="Check Cell 2 10" xfId="4108"/>
    <cellStyle name="Check Cell 2 11" xfId="4109"/>
    <cellStyle name="Check Cell 2 12" xfId="4110"/>
    <cellStyle name="Check Cell 2 13" xfId="4107"/>
    <cellStyle name="Check Cell 2 2" xfId="4111"/>
    <cellStyle name="Check Cell 2 2 2" xfId="4112"/>
    <cellStyle name="Check Cell 2 3" xfId="4113"/>
    <cellStyle name="Check Cell 2 4" xfId="4114"/>
    <cellStyle name="Check Cell 2 5" xfId="4115"/>
    <cellStyle name="Check Cell 2 6" xfId="4116"/>
    <cellStyle name="Check Cell 2 7" xfId="4117"/>
    <cellStyle name="Check Cell 2 8" xfId="4118"/>
    <cellStyle name="Check Cell 2 9" xfId="4119"/>
    <cellStyle name="Check Cell 20" xfId="4120"/>
    <cellStyle name="Check Cell 20 2" xfId="4121"/>
    <cellStyle name="Check Cell 21" xfId="4122"/>
    <cellStyle name="Check Cell 21 2" xfId="4123"/>
    <cellStyle name="Check Cell 22" xfId="4124"/>
    <cellStyle name="Check Cell 22 2" xfId="4125"/>
    <cellStyle name="Check Cell 23" xfId="4126"/>
    <cellStyle name="Check Cell 23 2" xfId="4127"/>
    <cellStyle name="Check Cell 24" xfId="4128"/>
    <cellStyle name="Check Cell 24 2" xfId="4129"/>
    <cellStyle name="Check Cell 25" xfId="4130"/>
    <cellStyle name="Check Cell 25 2" xfId="4131"/>
    <cellStyle name="Check Cell 26" xfId="4132"/>
    <cellStyle name="Check Cell 26 2" xfId="4133"/>
    <cellStyle name="Check Cell 27" xfId="4134"/>
    <cellStyle name="Check Cell 27 2" xfId="4135"/>
    <cellStyle name="Check Cell 28" xfId="4136"/>
    <cellStyle name="Check Cell 28 2" xfId="4137"/>
    <cellStyle name="Check Cell 29" xfId="4138"/>
    <cellStyle name="Check Cell 29 2" xfId="4139"/>
    <cellStyle name="Check Cell 3" xfId="54"/>
    <cellStyle name="Check Cell 3 2" xfId="4141"/>
    <cellStyle name="Check Cell 3 3" xfId="4142"/>
    <cellStyle name="Check Cell 3 4" xfId="8378"/>
    <cellStyle name="Check Cell 3 5" xfId="4140"/>
    <cellStyle name="Check Cell 30" xfId="4143"/>
    <cellStyle name="Check Cell 30 2" xfId="4144"/>
    <cellStyle name="Check Cell 31" xfId="4145"/>
    <cellStyle name="Check Cell 31 2" xfId="4146"/>
    <cellStyle name="Check Cell 32" xfId="4147"/>
    <cellStyle name="Check Cell 32 2" xfId="4148"/>
    <cellStyle name="Check Cell 33" xfId="4149"/>
    <cellStyle name="Check Cell 33 2" xfId="4150"/>
    <cellStyle name="Check Cell 34" xfId="4151"/>
    <cellStyle name="Check Cell 34 2" xfId="4152"/>
    <cellStyle name="Check Cell 35" xfId="4153"/>
    <cellStyle name="Check Cell 35 2" xfId="4154"/>
    <cellStyle name="Check Cell 36" xfId="4155"/>
    <cellStyle name="Check Cell 36 2" xfId="4156"/>
    <cellStyle name="Check Cell 37" xfId="4157"/>
    <cellStyle name="Check Cell 37 2" xfId="4158"/>
    <cellStyle name="Check Cell 38" xfId="4159"/>
    <cellStyle name="Check Cell 38 2" xfId="4160"/>
    <cellStyle name="Check Cell 39" xfId="4161"/>
    <cellStyle name="Check Cell 39 2" xfId="4162"/>
    <cellStyle name="Check Cell 4" xfId="4163"/>
    <cellStyle name="Check Cell 4 2" xfId="4164"/>
    <cellStyle name="Check Cell 40" xfId="4165"/>
    <cellStyle name="Check Cell 41" xfId="4166"/>
    <cellStyle name="Check Cell 42" xfId="4167"/>
    <cellStyle name="Check Cell 43" xfId="4168"/>
    <cellStyle name="Check Cell 44" xfId="4169"/>
    <cellStyle name="Check Cell 45" xfId="4170"/>
    <cellStyle name="Check Cell 46" xfId="4171"/>
    <cellStyle name="Check Cell 47" xfId="4172"/>
    <cellStyle name="Check Cell 48" xfId="4173"/>
    <cellStyle name="Check Cell 49" xfId="4174"/>
    <cellStyle name="Check Cell 5" xfId="4175"/>
    <cellStyle name="Check Cell 5 2" xfId="4176"/>
    <cellStyle name="Check Cell 50" xfId="4177"/>
    <cellStyle name="Check Cell 51" xfId="4178"/>
    <cellStyle name="Check Cell 52" xfId="4179"/>
    <cellStyle name="Check Cell 53" xfId="4180"/>
    <cellStyle name="Check Cell 54" xfId="4181"/>
    <cellStyle name="Check Cell 55" xfId="4182"/>
    <cellStyle name="Check Cell 56" xfId="4183"/>
    <cellStyle name="Check Cell 57" xfId="4184"/>
    <cellStyle name="Check Cell 58" xfId="4185"/>
    <cellStyle name="Check Cell 59" xfId="4186"/>
    <cellStyle name="Check Cell 6" xfId="4187"/>
    <cellStyle name="Check Cell 6 2" xfId="4188"/>
    <cellStyle name="Check Cell 60" xfId="4189"/>
    <cellStyle name="Check Cell 61" xfId="4190"/>
    <cellStyle name="Check Cell 62" xfId="4191"/>
    <cellStyle name="Check Cell 63" xfId="4192"/>
    <cellStyle name="Check Cell 64" xfId="4193"/>
    <cellStyle name="Check Cell 65" xfId="4194"/>
    <cellStyle name="Check Cell 66" xfId="4195"/>
    <cellStyle name="Check Cell 67" xfId="4196"/>
    <cellStyle name="Check Cell 68" xfId="4197"/>
    <cellStyle name="Check Cell 69" xfId="4198"/>
    <cellStyle name="Check Cell 7" xfId="4199"/>
    <cellStyle name="Check Cell 7 2" xfId="4200"/>
    <cellStyle name="Check Cell 70" xfId="4201"/>
    <cellStyle name="Check Cell 71" xfId="4202"/>
    <cellStyle name="Check Cell 72" xfId="4203"/>
    <cellStyle name="Check Cell 73" xfId="4204"/>
    <cellStyle name="Check Cell 74" xfId="4205"/>
    <cellStyle name="Check Cell 75" xfId="4206"/>
    <cellStyle name="Check Cell 76" xfId="4207"/>
    <cellStyle name="Check Cell 77" xfId="4208"/>
    <cellStyle name="Check Cell 78" xfId="4209"/>
    <cellStyle name="Check Cell 79" xfId="4210"/>
    <cellStyle name="Check Cell 8" xfId="4211"/>
    <cellStyle name="Check Cell 8 2" xfId="4212"/>
    <cellStyle name="Check Cell 80" xfId="4213"/>
    <cellStyle name="Check Cell 81" xfId="4214"/>
    <cellStyle name="Check Cell 82" xfId="4215"/>
    <cellStyle name="Check Cell 83" xfId="4216"/>
    <cellStyle name="Check Cell 84" xfId="4217"/>
    <cellStyle name="Check Cell 85" xfId="4086"/>
    <cellStyle name="Check Cell 9" xfId="4218"/>
    <cellStyle name="Check Cell 9 2" xfId="4219"/>
    <cellStyle name="Excel Built-in Normal" xfId="144"/>
    <cellStyle name="Explanatory Text" xfId="101" builtinId="53" customBuiltin="1"/>
    <cellStyle name="Explanatory Text 10" xfId="4221"/>
    <cellStyle name="Explanatory Text 11" xfId="4222"/>
    <cellStyle name="Explanatory Text 12" xfId="4223"/>
    <cellStyle name="Explanatory Text 13" xfId="4224"/>
    <cellStyle name="Explanatory Text 14" xfId="4225"/>
    <cellStyle name="Explanatory Text 15" xfId="4226"/>
    <cellStyle name="Explanatory Text 16" xfId="4227"/>
    <cellStyle name="Explanatory Text 17" xfId="4228"/>
    <cellStyle name="Explanatory Text 18" xfId="4229"/>
    <cellStyle name="Explanatory Text 19" xfId="4230"/>
    <cellStyle name="Explanatory Text 2" xfId="55"/>
    <cellStyle name="Explanatory Text 2 2" xfId="4232"/>
    <cellStyle name="Explanatory Text 2 3" xfId="4233"/>
    <cellStyle name="Explanatory Text 2 4" xfId="4231"/>
    <cellStyle name="Explanatory Text 20" xfId="4234"/>
    <cellStyle name="Explanatory Text 21" xfId="4235"/>
    <cellStyle name="Explanatory Text 22" xfId="4236"/>
    <cellStyle name="Explanatory Text 23" xfId="4237"/>
    <cellStyle name="Explanatory Text 24" xfId="4238"/>
    <cellStyle name="Explanatory Text 25" xfId="4239"/>
    <cellStyle name="Explanatory Text 26" xfId="4240"/>
    <cellStyle name="Explanatory Text 27" xfId="4241"/>
    <cellStyle name="Explanatory Text 28" xfId="4242"/>
    <cellStyle name="Explanatory Text 29" xfId="4243"/>
    <cellStyle name="Explanatory Text 3" xfId="56"/>
    <cellStyle name="Explanatory Text 3 2" xfId="4245"/>
    <cellStyle name="Explanatory Text 3 3" xfId="4246"/>
    <cellStyle name="Explanatory Text 3 4" xfId="8377"/>
    <cellStyle name="Explanatory Text 3 5" xfId="4244"/>
    <cellStyle name="Explanatory Text 30" xfId="4247"/>
    <cellStyle name="Explanatory Text 31" xfId="4248"/>
    <cellStyle name="Explanatory Text 32" xfId="4249"/>
    <cellStyle name="Explanatory Text 33" xfId="4250"/>
    <cellStyle name="Explanatory Text 34" xfId="4251"/>
    <cellStyle name="Explanatory Text 35" xfId="4252"/>
    <cellStyle name="Explanatory Text 36" xfId="4253"/>
    <cellStyle name="Explanatory Text 37" xfId="4254"/>
    <cellStyle name="Explanatory Text 38" xfId="4255"/>
    <cellStyle name="Explanatory Text 39" xfId="4256"/>
    <cellStyle name="Explanatory Text 4" xfId="4257"/>
    <cellStyle name="Explanatory Text 4 2" xfId="4258"/>
    <cellStyle name="Explanatory Text 40" xfId="4259"/>
    <cellStyle name="Explanatory Text 41" xfId="4260"/>
    <cellStyle name="Explanatory Text 42" xfId="4261"/>
    <cellStyle name="Explanatory Text 43" xfId="4262"/>
    <cellStyle name="Explanatory Text 44" xfId="4263"/>
    <cellStyle name="Explanatory Text 45" xfId="4264"/>
    <cellStyle name="Explanatory Text 46" xfId="4265"/>
    <cellStyle name="Explanatory Text 47" xfId="4266"/>
    <cellStyle name="Explanatory Text 48" xfId="4267"/>
    <cellStyle name="Explanatory Text 49" xfId="4268"/>
    <cellStyle name="Explanatory Text 5" xfId="4269"/>
    <cellStyle name="Explanatory Text 5 2" xfId="4270"/>
    <cellStyle name="Explanatory Text 50" xfId="4271"/>
    <cellStyle name="Explanatory Text 51" xfId="4272"/>
    <cellStyle name="Explanatory Text 52" xfId="4273"/>
    <cellStyle name="Explanatory Text 53" xfId="4274"/>
    <cellStyle name="Explanatory Text 54" xfId="4275"/>
    <cellStyle name="Explanatory Text 55" xfId="4276"/>
    <cellStyle name="Explanatory Text 56" xfId="4277"/>
    <cellStyle name="Explanatory Text 57" xfId="4278"/>
    <cellStyle name="Explanatory Text 58" xfId="4279"/>
    <cellStyle name="Explanatory Text 59" xfId="4280"/>
    <cellStyle name="Explanatory Text 6" xfId="4281"/>
    <cellStyle name="Explanatory Text 60" xfId="4282"/>
    <cellStyle name="Explanatory Text 61" xfId="4283"/>
    <cellStyle name="Explanatory Text 62" xfId="4284"/>
    <cellStyle name="Explanatory Text 63" xfId="4285"/>
    <cellStyle name="Explanatory Text 64" xfId="4286"/>
    <cellStyle name="Explanatory Text 65" xfId="4287"/>
    <cellStyle name="Explanatory Text 66" xfId="4288"/>
    <cellStyle name="Explanatory Text 67" xfId="4289"/>
    <cellStyle name="Explanatory Text 68" xfId="4290"/>
    <cellStyle name="Explanatory Text 69" xfId="4291"/>
    <cellStyle name="Explanatory Text 7" xfId="4292"/>
    <cellStyle name="Explanatory Text 70" xfId="4293"/>
    <cellStyle name="Explanatory Text 71" xfId="4294"/>
    <cellStyle name="Explanatory Text 72" xfId="4295"/>
    <cellStyle name="Explanatory Text 73" xfId="4296"/>
    <cellStyle name="Explanatory Text 74" xfId="4297"/>
    <cellStyle name="Explanatory Text 75" xfId="4298"/>
    <cellStyle name="Explanatory Text 76" xfId="4299"/>
    <cellStyle name="Explanatory Text 77" xfId="4300"/>
    <cellStyle name="Explanatory Text 78" xfId="4301"/>
    <cellStyle name="Explanatory Text 78 2" xfId="11937"/>
    <cellStyle name="Explanatory Text 79" xfId="4302"/>
    <cellStyle name="Explanatory Text 79 2" xfId="11951"/>
    <cellStyle name="Explanatory Text 8" xfId="4303"/>
    <cellStyle name="Explanatory Text 8 2" xfId="11025"/>
    <cellStyle name="Explanatory Text 80" xfId="4304"/>
    <cellStyle name="Explanatory Text 80 2" xfId="11965"/>
    <cellStyle name="Explanatory Text 81" xfId="4305"/>
    <cellStyle name="Explanatory Text 81 2" xfId="11979"/>
    <cellStyle name="Explanatory Text 82" xfId="4306"/>
    <cellStyle name="Explanatory Text 82 2" xfId="11993"/>
    <cellStyle name="Explanatory Text 83" xfId="4307"/>
    <cellStyle name="Explanatory Text 83 2" xfId="12007"/>
    <cellStyle name="Explanatory Text 84" xfId="4308"/>
    <cellStyle name="Explanatory Text 84 2" xfId="12020"/>
    <cellStyle name="Explanatory Text 85" xfId="4220"/>
    <cellStyle name="Explanatory Text 9" xfId="4309"/>
    <cellStyle name="Explanatory Text 9 2" xfId="11039"/>
    <cellStyle name="Good" xfId="91" builtinId="26" customBuiltin="1"/>
    <cellStyle name="Good 10" xfId="4311"/>
    <cellStyle name="Good 10 2" xfId="11046"/>
    <cellStyle name="Good 11" xfId="4312"/>
    <cellStyle name="Good 11 2" xfId="11059"/>
    <cellStyle name="Good 12" xfId="4313"/>
    <cellStyle name="Good 12 2" xfId="11072"/>
    <cellStyle name="Good 13" xfId="4314"/>
    <cellStyle name="Good 13 2" xfId="11085"/>
    <cellStyle name="Good 14" xfId="4315"/>
    <cellStyle name="Good 14 2" xfId="11098"/>
    <cellStyle name="Good 15" xfId="4316"/>
    <cellStyle name="Good 15 2" xfId="11111"/>
    <cellStyle name="Good 16" xfId="4317"/>
    <cellStyle name="Good 16 2" xfId="11124"/>
    <cellStyle name="Good 17" xfId="4318"/>
    <cellStyle name="Good 17 2" xfId="11137"/>
    <cellStyle name="Good 18" xfId="4319"/>
    <cellStyle name="Good 18 2" xfId="11150"/>
    <cellStyle name="Good 19" xfId="4320"/>
    <cellStyle name="Good 19 2" xfId="11163"/>
    <cellStyle name="Good 2" xfId="57"/>
    <cellStyle name="Good 2 2" xfId="4322"/>
    <cellStyle name="Good 2 2 2" xfId="10948"/>
    <cellStyle name="Good 2 3" xfId="4323"/>
    <cellStyle name="Good 2 3 2" xfId="10806"/>
    <cellStyle name="Good 2 4" xfId="8376"/>
    <cellStyle name="Good 2 5" xfId="4321"/>
    <cellStyle name="Good 2 6" xfId="8414"/>
    <cellStyle name="Good 20" xfId="4324"/>
    <cellStyle name="Good 20 2" xfId="11176"/>
    <cellStyle name="Good 21" xfId="4325"/>
    <cellStyle name="Good 21 2" xfId="11189"/>
    <cellStyle name="Good 22" xfId="4326"/>
    <cellStyle name="Good 22 2" xfId="11202"/>
    <cellStyle name="Good 23" xfId="4327"/>
    <cellStyle name="Good 23 2" xfId="11215"/>
    <cellStyle name="Good 24" xfId="4328"/>
    <cellStyle name="Good 24 2" xfId="11228"/>
    <cellStyle name="Good 25" xfId="4329"/>
    <cellStyle name="Good 25 2" xfId="11241"/>
    <cellStyle name="Good 26" xfId="4330"/>
    <cellStyle name="Good 26 2" xfId="11254"/>
    <cellStyle name="Good 27" xfId="4331"/>
    <cellStyle name="Good 27 2" xfId="11267"/>
    <cellStyle name="Good 28" xfId="4332"/>
    <cellStyle name="Good 28 2" xfId="11280"/>
    <cellStyle name="Good 29" xfId="4333"/>
    <cellStyle name="Good 29 2" xfId="11293"/>
    <cellStyle name="Good 3" xfId="58"/>
    <cellStyle name="Good 3 2" xfId="4335"/>
    <cellStyle name="Good 3 2 2" xfId="10961"/>
    <cellStyle name="Good 3 3" xfId="4336"/>
    <cellStyle name="Good 3 3 2" xfId="10867"/>
    <cellStyle name="Good 3 4" xfId="8337"/>
    <cellStyle name="Good 3 5" xfId="4334"/>
    <cellStyle name="Good 3 6" xfId="8415"/>
    <cellStyle name="Good 30" xfId="4337"/>
    <cellStyle name="Good 30 2" xfId="11306"/>
    <cellStyle name="Good 31" xfId="4338"/>
    <cellStyle name="Good 31 2" xfId="11319"/>
    <cellStyle name="Good 32" xfId="4339"/>
    <cellStyle name="Good 32 2" xfId="11332"/>
    <cellStyle name="Good 33" xfId="4340"/>
    <cellStyle name="Good 33 2" xfId="11345"/>
    <cellStyle name="Good 34" xfId="4341"/>
    <cellStyle name="Good 34 2" xfId="11358"/>
    <cellStyle name="Good 35" xfId="4342"/>
    <cellStyle name="Good 35 2" xfId="11371"/>
    <cellStyle name="Good 36" xfId="4343"/>
    <cellStyle name="Good 36 2" xfId="11384"/>
    <cellStyle name="Good 37" xfId="4344"/>
    <cellStyle name="Good 37 2" xfId="11397"/>
    <cellStyle name="Good 38" xfId="4345"/>
    <cellStyle name="Good 38 2" xfId="11410"/>
    <cellStyle name="Good 39" xfId="4346"/>
    <cellStyle name="Good 39 2" xfId="11423"/>
    <cellStyle name="Good 4" xfId="4347"/>
    <cellStyle name="Good 4 2" xfId="4348"/>
    <cellStyle name="Good 4 2 2" xfId="10974"/>
    <cellStyle name="Good 4 3" xfId="8416"/>
    <cellStyle name="Good 40" xfId="4349"/>
    <cellStyle name="Good 40 2" xfId="11436"/>
    <cellStyle name="Good 41" xfId="4350"/>
    <cellStyle name="Good 41 2" xfId="11449"/>
    <cellStyle name="Good 42" xfId="4351"/>
    <cellStyle name="Good 42 2" xfId="11462"/>
    <cellStyle name="Good 43" xfId="4352"/>
    <cellStyle name="Good 43 2" xfId="11475"/>
    <cellStyle name="Good 44" xfId="4353"/>
    <cellStyle name="Good 44 2" xfId="11487"/>
    <cellStyle name="Good 45" xfId="4354"/>
    <cellStyle name="Good 45 2" xfId="11501"/>
    <cellStyle name="Good 46" xfId="4355"/>
    <cellStyle name="Good 46 2" xfId="11514"/>
    <cellStyle name="Good 47" xfId="4356"/>
    <cellStyle name="Good 47 2" xfId="11527"/>
    <cellStyle name="Good 48" xfId="4357"/>
    <cellStyle name="Good 48 2" xfId="11540"/>
    <cellStyle name="Good 49" xfId="4358"/>
    <cellStyle name="Good 49 2" xfId="11553"/>
    <cellStyle name="Good 5" xfId="4359"/>
    <cellStyle name="Good 5 2" xfId="4360"/>
    <cellStyle name="Good 5 2 2" xfId="10987"/>
    <cellStyle name="Good 5 3" xfId="8417"/>
    <cellStyle name="Good 50" xfId="4361"/>
    <cellStyle name="Good 50 2" xfId="11566"/>
    <cellStyle name="Good 51" xfId="4362"/>
    <cellStyle name="Good 51 2" xfId="11579"/>
    <cellStyle name="Good 52" xfId="4363"/>
    <cellStyle name="Good 52 2" xfId="11592"/>
    <cellStyle name="Good 53" xfId="4364"/>
    <cellStyle name="Good 53 2" xfId="11605"/>
    <cellStyle name="Good 54" xfId="4365"/>
    <cellStyle name="Good 54 2" xfId="11618"/>
    <cellStyle name="Good 55" xfId="4366"/>
    <cellStyle name="Good 55 2" xfId="11631"/>
    <cellStyle name="Good 56" xfId="4367"/>
    <cellStyle name="Good 56 2" xfId="11644"/>
    <cellStyle name="Good 57" xfId="4368"/>
    <cellStyle name="Good 57 2" xfId="11656"/>
    <cellStyle name="Good 58" xfId="4369"/>
    <cellStyle name="Good 58 2" xfId="11670"/>
    <cellStyle name="Good 59" xfId="4370"/>
    <cellStyle name="Good 59 2" xfId="11683"/>
    <cellStyle name="Good 6" xfId="4371"/>
    <cellStyle name="Good 6 2" xfId="4372"/>
    <cellStyle name="Good 6 2 2" xfId="10999"/>
    <cellStyle name="Good 6 3" xfId="9783"/>
    <cellStyle name="Good 60" xfId="4373"/>
    <cellStyle name="Good 60 2" xfId="11696"/>
    <cellStyle name="Good 61" xfId="4374"/>
    <cellStyle name="Good 61 2" xfId="11709"/>
    <cellStyle name="Good 62" xfId="4375"/>
    <cellStyle name="Good 62 2" xfId="11722"/>
    <cellStyle name="Good 63" xfId="4376"/>
    <cellStyle name="Good 63 2" xfId="11735"/>
    <cellStyle name="Good 64" xfId="4377"/>
    <cellStyle name="Good 64 2" xfId="11748"/>
    <cellStyle name="Good 65" xfId="4378"/>
    <cellStyle name="Good 65 2" xfId="11761"/>
    <cellStyle name="Good 66" xfId="4379"/>
    <cellStyle name="Good 66 2" xfId="11774"/>
    <cellStyle name="Good 67" xfId="4380"/>
    <cellStyle name="Good 67 2" xfId="11787"/>
    <cellStyle name="Good 68" xfId="4381"/>
    <cellStyle name="Good 68 2" xfId="11800"/>
    <cellStyle name="Good 69" xfId="4382"/>
    <cellStyle name="Good 69 2" xfId="11813"/>
    <cellStyle name="Good 7" xfId="4383"/>
    <cellStyle name="Good 7 2" xfId="9777"/>
    <cellStyle name="Good 70" xfId="4384"/>
    <cellStyle name="Good 70 2" xfId="11826"/>
    <cellStyle name="Good 71" xfId="4385"/>
    <cellStyle name="Good 71 2" xfId="11838"/>
    <cellStyle name="Good 72" xfId="4386"/>
    <cellStyle name="Good 72 2" xfId="11852"/>
    <cellStyle name="Good 73" xfId="4387"/>
    <cellStyle name="Good 73 2" xfId="11865"/>
    <cellStyle name="Good 74" xfId="4388"/>
    <cellStyle name="Good 74 2" xfId="11878"/>
    <cellStyle name="Good 75" xfId="4389"/>
    <cellStyle name="Good 75 2" xfId="11891"/>
    <cellStyle name="Good 76" xfId="4390"/>
    <cellStyle name="Good 76 2" xfId="11904"/>
    <cellStyle name="Good 77" xfId="4391"/>
    <cellStyle name="Good 77 2" xfId="11917"/>
    <cellStyle name="Good 78" xfId="4392"/>
    <cellStyle name="Good 78 2" xfId="11930"/>
    <cellStyle name="Good 79" xfId="4393"/>
    <cellStyle name="Good 79 2" xfId="11944"/>
    <cellStyle name="Good 8" xfId="4394"/>
    <cellStyle name="Good 8 2" xfId="4395"/>
    <cellStyle name="Good 8 2 2" xfId="11018"/>
    <cellStyle name="Good 8 3" xfId="8413"/>
    <cellStyle name="Good 80" xfId="4396"/>
    <cellStyle name="Good 80 2" xfId="11958"/>
    <cellStyle name="Good 81" xfId="4397"/>
    <cellStyle name="Good 81 2" xfId="11972"/>
    <cellStyle name="Good 82" xfId="4398"/>
    <cellStyle name="Good 82 2" xfId="11986"/>
    <cellStyle name="Good 83" xfId="4399"/>
    <cellStyle name="Good 83 2" xfId="12000"/>
    <cellStyle name="Good 84" xfId="4400"/>
    <cellStyle name="Good 84 2" xfId="12013"/>
    <cellStyle name="Good 85" xfId="4310"/>
    <cellStyle name="Good 85 2" xfId="12102"/>
    <cellStyle name="Good 9" xfId="4401"/>
    <cellStyle name="Good 9 2" xfId="11032"/>
    <cellStyle name="Heading 1" xfId="87" builtinId="16" customBuiltin="1"/>
    <cellStyle name="Heading 1 10" xfId="4403"/>
    <cellStyle name="Heading 1 10 2" xfId="11042"/>
    <cellStyle name="Heading 1 11" xfId="4404"/>
    <cellStyle name="Heading 1 11 2" xfId="11055"/>
    <cellStyle name="Heading 1 12" xfId="4405"/>
    <cellStyle name="Heading 1 12 2" xfId="11068"/>
    <cellStyle name="Heading 1 13" xfId="4406"/>
    <cellStyle name="Heading 1 13 2" xfId="11081"/>
    <cellStyle name="Heading 1 14" xfId="4407"/>
    <cellStyle name="Heading 1 14 2" xfId="11094"/>
    <cellStyle name="Heading 1 15" xfId="4408"/>
    <cellStyle name="Heading 1 15 2" xfId="11107"/>
    <cellStyle name="Heading 1 16" xfId="4409"/>
    <cellStyle name="Heading 1 16 2" xfId="11120"/>
    <cellStyle name="Heading 1 17" xfId="4410"/>
    <cellStyle name="Heading 1 17 2" xfId="11133"/>
    <cellStyle name="Heading 1 18" xfId="4411"/>
    <cellStyle name="Heading 1 18 2" xfId="11146"/>
    <cellStyle name="Heading 1 19" xfId="4412"/>
    <cellStyle name="Heading 1 19 2" xfId="11159"/>
    <cellStyle name="Heading 1 2" xfId="59"/>
    <cellStyle name="Heading 1 2 2" xfId="4414"/>
    <cellStyle name="Heading 1 2 2 2" xfId="10944"/>
    <cellStyle name="Heading 1 2 3" xfId="4415"/>
    <cellStyle name="Heading 1 2 3 2" xfId="10802"/>
    <cellStyle name="Heading 1 2 4" xfId="8375"/>
    <cellStyle name="Heading 1 2 5" xfId="4413"/>
    <cellStyle name="Heading 1 2 6" xfId="9784"/>
    <cellStyle name="Heading 1 20" xfId="4416"/>
    <cellStyle name="Heading 1 20 2" xfId="11172"/>
    <cellStyle name="Heading 1 21" xfId="4417"/>
    <cellStyle name="Heading 1 21 2" xfId="11185"/>
    <cellStyle name="Heading 1 22" xfId="4418"/>
    <cellStyle name="Heading 1 22 2" xfId="11198"/>
    <cellStyle name="Heading 1 23" xfId="4419"/>
    <cellStyle name="Heading 1 23 2" xfId="11211"/>
    <cellStyle name="Heading 1 24" xfId="4420"/>
    <cellStyle name="Heading 1 24 2" xfId="11224"/>
    <cellStyle name="Heading 1 25" xfId="4421"/>
    <cellStyle name="Heading 1 25 2" xfId="11237"/>
    <cellStyle name="Heading 1 26" xfId="4422"/>
    <cellStyle name="Heading 1 26 2" xfId="11250"/>
    <cellStyle name="Heading 1 27" xfId="4423"/>
    <cellStyle name="Heading 1 27 2" xfId="11263"/>
    <cellStyle name="Heading 1 28" xfId="4424"/>
    <cellStyle name="Heading 1 28 2" xfId="11276"/>
    <cellStyle name="Heading 1 29" xfId="4425"/>
    <cellStyle name="Heading 1 29 2" xfId="11289"/>
    <cellStyle name="Heading 1 3" xfId="60"/>
    <cellStyle name="Heading 1 3 2" xfId="4427"/>
    <cellStyle name="Heading 1 3 2 2" xfId="10957"/>
    <cellStyle name="Heading 1 3 3" xfId="4428"/>
    <cellStyle name="Heading 1 3 3 2" xfId="10863"/>
    <cellStyle name="Heading 1 3 4" xfId="8374"/>
    <cellStyle name="Heading 1 3 5" xfId="4426"/>
    <cellStyle name="Heading 1 3 6" xfId="9774"/>
    <cellStyle name="Heading 1 30" xfId="4429"/>
    <cellStyle name="Heading 1 30 2" xfId="11302"/>
    <cellStyle name="Heading 1 31" xfId="4430"/>
    <cellStyle name="Heading 1 31 2" xfId="11315"/>
    <cellStyle name="Heading 1 32" xfId="4431"/>
    <cellStyle name="Heading 1 32 2" xfId="11328"/>
    <cellStyle name="Heading 1 33" xfId="4432"/>
    <cellStyle name="Heading 1 33 2" xfId="11341"/>
    <cellStyle name="Heading 1 34" xfId="4433"/>
    <cellStyle name="Heading 1 34 2" xfId="11354"/>
    <cellStyle name="Heading 1 35" xfId="4434"/>
    <cellStyle name="Heading 1 35 2" xfId="11367"/>
    <cellStyle name="Heading 1 36" xfId="4435"/>
    <cellStyle name="Heading 1 36 2" xfId="11380"/>
    <cellStyle name="Heading 1 37" xfId="4436"/>
    <cellStyle name="Heading 1 37 2" xfId="11393"/>
    <cellStyle name="Heading 1 38" xfId="4437"/>
    <cellStyle name="Heading 1 38 2" xfId="11406"/>
    <cellStyle name="Heading 1 39" xfId="4438"/>
    <cellStyle name="Heading 1 39 2" xfId="11419"/>
    <cellStyle name="Heading 1 4" xfId="4439"/>
    <cellStyle name="Heading 1 4 2" xfId="4440"/>
    <cellStyle name="Heading 1 4 2 2" xfId="10970"/>
    <cellStyle name="Heading 1 4 3" xfId="8418"/>
    <cellStyle name="Heading 1 40" xfId="4441"/>
    <cellStyle name="Heading 1 40 2" xfId="11432"/>
    <cellStyle name="Heading 1 41" xfId="4442"/>
    <cellStyle name="Heading 1 41 2" xfId="11445"/>
    <cellStyle name="Heading 1 42" xfId="4443"/>
    <cellStyle name="Heading 1 42 2" xfId="11458"/>
    <cellStyle name="Heading 1 43" xfId="4444"/>
    <cellStyle name="Heading 1 43 2" xfId="11471"/>
    <cellStyle name="Heading 1 44" xfId="4445"/>
    <cellStyle name="Heading 1 44 2" xfId="11483"/>
    <cellStyle name="Heading 1 45" xfId="4446"/>
    <cellStyle name="Heading 1 45 2" xfId="11497"/>
    <cellStyle name="Heading 1 46" xfId="4447"/>
    <cellStyle name="Heading 1 46 2" xfId="11510"/>
    <cellStyle name="Heading 1 47" xfId="4448"/>
    <cellStyle name="Heading 1 47 2" xfId="11523"/>
    <cellStyle name="Heading 1 48" xfId="4449"/>
    <cellStyle name="Heading 1 48 2" xfId="11536"/>
    <cellStyle name="Heading 1 49" xfId="4450"/>
    <cellStyle name="Heading 1 49 2" xfId="11549"/>
    <cellStyle name="Heading 1 5" xfId="4451"/>
    <cellStyle name="Heading 1 5 2" xfId="10983"/>
    <cellStyle name="Heading 1 50" xfId="4452"/>
    <cellStyle name="Heading 1 50 2" xfId="11562"/>
    <cellStyle name="Heading 1 51" xfId="4453"/>
    <cellStyle name="Heading 1 51 2" xfId="11575"/>
    <cellStyle name="Heading 1 52" xfId="4454"/>
    <cellStyle name="Heading 1 52 2" xfId="11588"/>
    <cellStyle name="Heading 1 53" xfId="4455"/>
    <cellStyle name="Heading 1 53 2" xfId="11601"/>
    <cellStyle name="Heading 1 54" xfId="4456"/>
    <cellStyle name="Heading 1 54 2" xfId="11614"/>
    <cellStyle name="Heading 1 55" xfId="4457"/>
    <cellStyle name="Heading 1 55 2" xfId="11627"/>
    <cellStyle name="Heading 1 56" xfId="4458"/>
    <cellStyle name="Heading 1 56 2" xfId="11640"/>
    <cellStyle name="Heading 1 57" xfId="4459"/>
    <cellStyle name="Heading 1 57 2" xfId="11652"/>
    <cellStyle name="Heading 1 58" xfId="4460"/>
    <cellStyle name="Heading 1 58 2" xfId="11666"/>
    <cellStyle name="Heading 1 59" xfId="4461"/>
    <cellStyle name="Heading 1 59 2" xfId="11679"/>
    <cellStyle name="Heading 1 6" xfId="4462"/>
    <cellStyle name="Heading 1 6 2" xfId="10996"/>
    <cellStyle name="Heading 1 60" xfId="4463"/>
    <cellStyle name="Heading 1 60 2" xfId="11692"/>
    <cellStyle name="Heading 1 61" xfId="4464"/>
    <cellStyle name="Heading 1 61 2" xfId="11705"/>
    <cellStyle name="Heading 1 62" xfId="4465"/>
    <cellStyle name="Heading 1 62 2" xfId="11718"/>
    <cellStyle name="Heading 1 63" xfId="4466"/>
    <cellStyle name="Heading 1 63 2" xfId="11731"/>
    <cellStyle name="Heading 1 64" xfId="4467"/>
    <cellStyle name="Heading 1 64 2" xfId="11744"/>
    <cellStyle name="Heading 1 65" xfId="4468"/>
    <cellStyle name="Heading 1 65 2" xfId="11757"/>
    <cellStyle name="Heading 1 66" xfId="4469"/>
    <cellStyle name="Heading 1 66 2" xfId="11770"/>
    <cellStyle name="Heading 1 67" xfId="4470"/>
    <cellStyle name="Heading 1 67 2" xfId="11783"/>
    <cellStyle name="Heading 1 68" xfId="4471"/>
    <cellStyle name="Heading 1 68 2" xfId="11796"/>
    <cellStyle name="Heading 1 69" xfId="4472"/>
    <cellStyle name="Heading 1 69 2" xfId="11809"/>
    <cellStyle name="Heading 1 7" xfId="4473"/>
    <cellStyle name="Heading 1 7 2" xfId="11002"/>
    <cellStyle name="Heading 1 70" xfId="4474"/>
    <cellStyle name="Heading 1 70 2" xfId="11822"/>
    <cellStyle name="Heading 1 71" xfId="4475"/>
    <cellStyle name="Heading 1 71 2" xfId="11834"/>
    <cellStyle name="Heading 1 72" xfId="4476"/>
    <cellStyle name="Heading 1 72 2" xfId="11848"/>
    <cellStyle name="Heading 1 73" xfId="4477"/>
    <cellStyle name="Heading 1 73 2" xfId="11861"/>
    <cellStyle name="Heading 1 74" xfId="4478"/>
    <cellStyle name="Heading 1 74 2" xfId="11874"/>
    <cellStyle name="Heading 1 75" xfId="4479"/>
    <cellStyle name="Heading 1 75 2" xfId="11887"/>
    <cellStyle name="Heading 1 76" xfId="4480"/>
    <cellStyle name="Heading 1 76 2" xfId="11900"/>
    <cellStyle name="Heading 1 77" xfId="4481"/>
    <cellStyle name="Heading 1 77 2" xfId="11913"/>
    <cellStyle name="Heading 1 78" xfId="4482"/>
    <cellStyle name="Heading 1 78 2" xfId="11926"/>
    <cellStyle name="Heading 1 79" xfId="4483"/>
    <cellStyle name="Heading 1 79 2" xfId="11940"/>
    <cellStyle name="Heading 1 8" xfId="4484"/>
    <cellStyle name="Heading 1 8 2" xfId="11014"/>
    <cellStyle name="Heading 1 80" xfId="4485"/>
    <cellStyle name="Heading 1 80 2" xfId="11954"/>
    <cellStyle name="Heading 1 81" xfId="4486"/>
    <cellStyle name="Heading 1 81 2" xfId="11968"/>
    <cellStyle name="Heading 1 82" xfId="4487"/>
    <cellStyle name="Heading 1 82 2" xfId="11982"/>
    <cellStyle name="Heading 1 83" xfId="4488"/>
    <cellStyle name="Heading 1 83 2" xfId="11996"/>
    <cellStyle name="Heading 1 84" xfId="4489"/>
    <cellStyle name="Heading 1 84 2" xfId="12009"/>
    <cellStyle name="Heading 1 85" xfId="4402"/>
    <cellStyle name="Heading 1 85 2" xfId="12098"/>
    <cellStyle name="Heading 1 9" xfId="4490"/>
    <cellStyle name="Heading 1 9 2" xfId="11028"/>
    <cellStyle name="Heading 2" xfId="88" builtinId="17" customBuiltin="1"/>
    <cellStyle name="Heading 2 10" xfId="4492"/>
    <cellStyle name="Heading 2 10 2" xfId="11043"/>
    <cellStyle name="Heading 2 11" xfId="4493"/>
    <cellStyle name="Heading 2 11 2" xfId="11056"/>
    <cellStyle name="Heading 2 12" xfId="4494"/>
    <cellStyle name="Heading 2 12 2" xfId="11069"/>
    <cellStyle name="Heading 2 13" xfId="4495"/>
    <cellStyle name="Heading 2 13 2" xfId="11082"/>
    <cellStyle name="Heading 2 14" xfId="4496"/>
    <cellStyle name="Heading 2 14 2" xfId="11095"/>
    <cellStyle name="Heading 2 15" xfId="4497"/>
    <cellStyle name="Heading 2 15 2" xfId="11108"/>
    <cellStyle name="Heading 2 16" xfId="4498"/>
    <cellStyle name="Heading 2 16 2" xfId="11121"/>
    <cellStyle name="Heading 2 17" xfId="4499"/>
    <cellStyle name="Heading 2 17 2" xfId="11134"/>
    <cellStyle name="Heading 2 18" xfId="4500"/>
    <cellStyle name="Heading 2 18 2" xfId="11147"/>
    <cellStyle name="Heading 2 19" xfId="4501"/>
    <cellStyle name="Heading 2 19 2" xfId="11160"/>
    <cellStyle name="Heading 2 2" xfId="61"/>
    <cellStyle name="Heading 2 2 2" xfId="4503"/>
    <cellStyle name="Heading 2 2 2 2" xfId="10945"/>
    <cellStyle name="Heading 2 2 3" xfId="4504"/>
    <cellStyle name="Heading 2 2 3 2" xfId="10803"/>
    <cellStyle name="Heading 2 2 4" xfId="8373"/>
    <cellStyle name="Heading 2 2 5" xfId="4502"/>
    <cellStyle name="Heading 2 2 6" xfId="8419"/>
    <cellStyle name="Heading 2 20" xfId="4505"/>
    <cellStyle name="Heading 2 20 2" xfId="11173"/>
    <cellStyle name="Heading 2 21" xfId="4506"/>
    <cellStyle name="Heading 2 21 2" xfId="11186"/>
    <cellStyle name="Heading 2 22" xfId="4507"/>
    <cellStyle name="Heading 2 22 2" xfId="11199"/>
    <cellStyle name="Heading 2 23" xfId="4508"/>
    <cellStyle name="Heading 2 23 2" xfId="11212"/>
    <cellStyle name="Heading 2 24" xfId="4509"/>
    <cellStyle name="Heading 2 24 2" xfId="11225"/>
    <cellStyle name="Heading 2 25" xfId="4510"/>
    <cellStyle name="Heading 2 25 2" xfId="11238"/>
    <cellStyle name="Heading 2 26" xfId="4511"/>
    <cellStyle name="Heading 2 26 2" xfId="11251"/>
    <cellStyle name="Heading 2 27" xfId="4512"/>
    <cellStyle name="Heading 2 27 2" xfId="11264"/>
    <cellStyle name="Heading 2 28" xfId="4513"/>
    <cellStyle name="Heading 2 28 2" xfId="11277"/>
    <cellStyle name="Heading 2 29" xfId="4514"/>
    <cellStyle name="Heading 2 29 2" xfId="11290"/>
    <cellStyle name="Heading 2 3" xfId="62"/>
    <cellStyle name="Heading 2 3 2" xfId="4516"/>
    <cellStyle name="Heading 2 3 2 2" xfId="10958"/>
    <cellStyle name="Heading 2 3 3" xfId="4517"/>
    <cellStyle name="Heading 2 3 3 2" xfId="10864"/>
    <cellStyle name="Heading 2 3 4" xfId="8372"/>
    <cellStyle name="Heading 2 3 5" xfId="4515"/>
    <cellStyle name="Heading 2 3 6" xfId="8420"/>
    <cellStyle name="Heading 2 30" xfId="4518"/>
    <cellStyle name="Heading 2 30 2" xfId="11303"/>
    <cellStyle name="Heading 2 31" xfId="4519"/>
    <cellStyle name="Heading 2 31 2" xfId="11316"/>
    <cellStyle name="Heading 2 32" xfId="4520"/>
    <cellStyle name="Heading 2 32 2" xfId="11329"/>
    <cellStyle name="Heading 2 33" xfId="4521"/>
    <cellStyle name="Heading 2 33 2" xfId="11342"/>
    <cellStyle name="Heading 2 34" xfId="4522"/>
    <cellStyle name="Heading 2 34 2" xfId="11355"/>
    <cellStyle name="Heading 2 35" xfId="4523"/>
    <cellStyle name="Heading 2 35 2" xfId="11368"/>
    <cellStyle name="Heading 2 36" xfId="4524"/>
    <cellStyle name="Heading 2 36 2" xfId="11381"/>
    <cellStyle name="Heading 2 37" xfId="4525"/>
    <cellStyle name="Heading 2 37 2" xfId="11394"/>
    <cellStyle name="Heading 2 38" xfId="4526"/>
    <cellStyle name="Heading 2 38 2" xfId="11407"/>
    <cellStyle name="Heading 2 39" xfId="4527"/>
    <cellStyle name="Heading 2 39 2" xfId="11420"/>
    <cellStyle name="Heading 2 4" xfId="4528"/>
    <cellStyle name="Heading 2 4 2" xfId="4529"/>
    <cellStyle name="Heading 2 4 2 2" xfId="10971"/>
    <cellStyle name="Heading 2 4 3" xfId="8421"/>
    <cellStyle name="Heading 2 40" xfId="4530"/>
    <cellStyle name="Heading 2 40 2" xfId="11433"/>
    <cellStyle name="Heading 2 41" xfId="4531"/>
    <cellStyle name="Heading 2 41 2" xfId="11446"/>
    <cellStyle name="Heading 2 42" xfId="4532"/>
    <cellStyle name="Heading 2 42 2" xfId="11459"/>
    <cellStyle name="Heading 2 43" xfId="4533"/>
    <cellStyle name="Heading 2 43 2" xfId="11472"/>
    <cellStyle name="Heading 2 44" xfId="4534"/>
    <cellStyle name="Heading 2 44 2" xfId="11484"/>
    <cellStyle name="Heading 2 45" xfId="4535"/>
    <cellStyle name="Heading 2 45 2" xfId="11498"/>
    <cellStyle name="Heading 2 46" xfId="4536"/>
    <cellStyle name="Heading 2 46 2" xfId="11511"/>
    <cellStyle name="Heading 2 47" xfId="4537"/>
    <cellStyle name="Heading 2 47 2" xfId="11524"/>
    <cellStyle name="Heading 2 48" xfId="4538"/>
    <cellStyle name="Heading 2 48 2" xfId="11537"/>
    <cellStyle name="Heading 2 49" xfId="4539"/>
    <cellStyle name="Heading 2 49 2" xfId="11550"/>
    <cellStyle name="Heading 2 5" xfId="4540"/>
    <cellStyle name="Heading 2 5 2" xfId="4541"/>
    <cellStyle name="Heading 2 5 2 2" xfId="10984"/>
    <cellStyle name="Heading 2 5 3" xfId="8422"/>
    <cellStyle name="Heading 2 50" xfId="4542"/>
    <cellStyle name="Heading 2 50 2" xfId="11563"/>
    <cellStyle name="Heading 2 51" xfId="4543"/>
    <cellStyle name="Heading 2 51 2" xfId="11576"/>
    <cellStyle name="Heading 2 52" xfId="4544"/>
    <cellStyle name="Heading 2 52 2" xfId="11589"/>
    <cellStyle name="Heading 2 53" xfId="4545"/>
    <cellStyle name="Heading 2 53 2" xfId="11602"/>
    <cellStyle name="Heading 2 54" xfId="4546"/>
    <cellStyle name="Heading 2 54 2" xfId="11615"/>
    <cellStyle name="Heading 2 55" xfId="4547"/>
    <cellStyle name="Heading 2 55 2" xfId="11628"/>
    <cellStyle name="Heading 2 56" xfId="4548"/>
    <cellStyle name="Heading 2 56 2" xfId="11641"/>
    <cellStyle name="Heading 2 57" xfId="4549"/>
    <cellStyle name="Heading 2 57 2" xfId="11653"/>
    <cellStyle name="Heading 2 58" xfId="4550"/>
    <cellStyle name="Heading 2 58 2" xfId="11667"/>
    <cellStyle name="Heading 2 59" xfId="4551"/>
    <cellStyle name="Heading 2 59 2" xfId="11680"/>
    <cellStyle name="Heading 2 6" xfId="4552"/>
    <cellStyle name="Heading 2 6 2" xfId="9765"/>
    <cellStyle name="Heading 2 60" xfId="4553"/>
    <cellStyle name="Heading 2 60 2" xfId="11693"/>
    <cellStyle name="Heading 2 61" xfId="4554"/>
    <cellStyle name="Heading 2 61 2" xfId="11706"/>
    <cellStyle name="Heading 2 62" xfId="4555"/>
    <cellStyle name="Heading 2 62 2" xfId="11719"/>
    <cellStyle name="Heading 2 63" xfId="4556"/>
    <cellStyle name="Heading 2 63 2" xfId="11732"/>
    <cellStyle name="Heading 2 64" xfId="4557"/>
    <cellStyle name="Heading 2 64 2" xfId="11745"/>
    <cellStyle name="Heading 2 65" xfId="4558"/>
    <cellStyle name="Heading 2 65 2" xfId="11758"/>
    <cellStyle name="Heading 2 66" xfId="4559"/>
    <cellStyle name="Heading 2 66 2" xfId="11771"/>
    <cellStyle name="Heading 2 67" xfId="4560"/>
    <cellStyle name="Heading 2 67 2" xfId="11784"/>
    <cellStyle name="Heading 2 68" xfId="4561"/>
    <cellStyle name="Heading 2 68 2" xfId="11797"/>
    <cellStyle name="Heading 2 69" xfId="4562"/>
    <cellStyle name="Heading 2 69 2" xfId="11810"/>
    <cellStyle name="Heading 2 7" xfId="4563"/>
    <cellStyle name="Heading 2 7 2" xfId="11003"/>
    <cellStyle name="Heading 2 70" xfId="4564"/>
    <cellStyle name="Heading 2 70 2" xfId="11823"/>
    <cellStyle name="Heading 2 71" xfId="4565"/>
    <cellStyle name="Heading 2 71 2" xfId="11835"/>
    <cellStyle name="Heading 2 72" xfId="4566"/>
    <cellStyle name="Heading 2 72 2" xfId="11849"/>
    <cellStyle name="Heading 2 73" xfId="4567"/>
    <cellStyle name="Heading 2 73 2" xfId="11862"/>
    <cellStyle name="Heading 2 74" xfId="4568"/>
    <cellStyle name="Heading 2 74 2" xfId="11875"/>
    <cellStyle name="Heading 2 75" xfId="4569"/>
    <cellStyle name="Heading 2 75 2" xfId="11888"/>
    <cellStyle name="Heading 2 76" xfId="4570"/>
    <cellStyle name="Heading 2 76 2" xfId="11901"/>
    <cellStyle name="Heading 2 77" xfId="4571"/>
    <cellStyle name="Heading 2 77 2" xfId="11914"/>
    <cellStyle name="Heading 2 78" xfId="4572"/>
    <cellStyle name="Heading 2 78 2" xfId="11927"/>
    <cellStyle name="Heading 2 79" xfId="4573"/>
    <cellStyle name="Heading 2 79 2" xfId="11941"/>
    <cellStyle name="Heading 2 8" xfId="4574"/>
    <cellStyle name="Heading 2 8 2" xfId="11015"/>
    <cellStyle name="Heading 2 80" xfId="4575"/>
    <cellStyle name="Heading 2 80 2" xfId="11955"/>
    <cellStyle name="Heading 2 81" xfId="4576"/>
    <cellStyle name="Heading 2 81 2" xfId="11969"/>
    <cellStyle name="Heading 2 82" xfId="4577"/>
    <cellStyle name="Heading 2 82 2" xfId="11983"/>
    <cellStyle name="Heading 2 83" xfId="4578"/>
    <cellStyle name="Heading 2 83 2" xfId="11997"/>
    <cellStyle name="Heading 2 84" xfId="4579"/>
    <cellStyle name="Heading 2 84 2" xfId="12010"/>
    <cellStyle name="Heading 2 85" xfId="4491"/>
    <cellStyle name="Heading 2 85 2" xfId="12099"/>
    <cellStyle name="Heading 2 9" xfId="4580"/>
    <cellStyle name="Heading 2 9 2" xfId="11029"/>
    <cellStyle name="Heading 3" xfId="89" builtinId="18" customBuiltin="1"/>
    <cellStyle name="Heading 3 10" xfId="4582"/>
    <cellStyle name="Heading 3 10 2" xfId="11044"/>
    <cellStyle name="Heading 3 11" xfId="4583"/>
    <cellStyle name="Heading 3 11 2" xfId="11057"/>
    <cellStyle name="Heading 3 12" xfId="4584"/>
    <cellStyle name="Heading 3 12 2" xfId="11070"/>
    <cellStyle name="Heading 3 13" xfId="4585"/>
    <cellStyle name="Heading 3 13 2" xfId="11083"/>
    <cellStyle name="Heading 3 14" xfId="4586"/>
    <cellStyle name="Heading 3 14 2" xfId="11096"/>
    <cellStyle name="Heading 3 15" xfId="4587"/>
    <cellStyle name="Heading 3 15 2" xfId="11109"/>
    <cellStyle name="Heading 3 16" xfId="4588"/>
    <cellStyle name="Heading 3 16 2" xfId="11122"/>
    <cellStyle name="Heading 3 17" xfId="4589"/>
    <cellStyle name="Heading 3 17 2" xfId="11135"/>
    <cellStyle name="Heading 3 18" xfId="4590"/>
    <cellStyle name="Heading 3 18 2" xfId="11148"/>
    <cellStyle name="Heading 3 19" xfId="4591"/>
    <cellStyle name="Heading 3 19 2" xfId="11161"/>
    <cellStyle name="Heading 3 2" xfId="63"/>
    <cellStyle name="Heading 3 2 2" xfId="4593"/>
    <cellStyle name="Heading 3 2 2 2" xfId="10946"/>
    <cellStyle name="Heading 3 2 3" xfId="4594"/>
    <cellStyle name="Heading 3 2 3 2" xfId="10804"/>
    <cellStyle name="Heading 3 2 4" xfId="8371"/>
    <cellStyle name="Heading 3 2 5" xfId="4592"/>
    <cellStyle name="Heading 3 2 6" xfId="9785"/>
    <cellStyle name="Heading 3 20" xfId="4595"/>
    <cellStyle name="Heading 3 20 2" xfId="11174"/>
    <cellStyle name="Heading 3 21" xfId="4596"/>
    <cellStyle name="Heading 3 21 2" xfId="11187"/>
    <cellStyle name="Heading 3 22" xfId="4597"/>
    <cellStyle name="Heading 3 22 2" xfId="11200"/>
    <cellStyle name="Heading 3 23" xfId="4598"/>
    <cellStyle name="Heading 3 23 2" xfId="11213"/>
    <cellStyle name="Heading 3 24" xfId="4599"/>
    <cellStyle name="Heading 3 24 2" xfId="11226"/>
    <cellStyle name="Heading 3 25" xfId="4600"/>
    <cellStyle name="Heading 3 25 2" xfId="11239"/>
    <cellStyle name="Heading 3 26" xfId="4601"/>
    <cellStyle name="Heading 3 26 2" xfId="11252"/>
    <cellStyle name="Heading 3 27" xfId="4602"/>
    <cellStyle name="Heading 3 27 2" xfId="11265"/>
    <cellStyle name="Heading 3 28" xfId="4603"/>
    <cellStyle name="Heading 3 28 2" xfId="11278"/>
    <cellStyle name="Heading 3 29" xfId="4604"/>
    <cellStyle name="Heading 3 29 2" xfId="11291"/>
    <cellStyle name="Heading 3 3" xfId="64"/>
    <cellStyle name="Heading 3 3 2" xfId="4606"/>
    <cellStyle name="Heading 3 3 2 2" xfId="10959"/>
    <cellStyle name="Heading 3 3 3" xfId="4607"/>
    <cellStyle name="Heading 3 3 3 2" xfId="10865"/>
    <cellStyle name="Heading 3 3 4" xfId="8370"/>
    <cellStyle name="Heading 3 3 5" xfId="4605"/>
    <cellStyle name="Heading 3 3 6" xfId="9775"/>
    <cellStyle name="Heading 3 30" xfId="4608"/>
    <cellStyle name="Heading 3 30 2" xfId="11304"/>
    <cellStyle name="Heading 3 31" xfId="4609"/>
    <cellStyle name="Heading 3 31 2" xfId="11317"/>
    <cellStyle name="Heading 3 32" xfId="4610"/>
    <cellStyle name="Heading 3 32 2" xfId="11330"/>
    <cellStyle name="Heading 3 33" xfId="4611"/>
    <cellStyle name="Heading 3 33 2" xfId="11343"/>
    <cellStyle name="Heading 3 34" xfId="4612"/>
    <cellStyle name="Heading 3 34 2" xfId="11356"/>
    <cellStyle name="Heading 3 35" xfId="4613"/>
    <cellStyle name="Heading 3 35 2" xfId="11369"/>
    <cellStyle name="Heading 3 36" xfId="4614"/>
    <cellStyle name="Heading 3 36 2" xfId="11382"/>
    <cellStyle name="Heading 3 37" xfId="4615"/>
    <cellStyle name="Heading 3 37 2" xfId="11395"/>
    <cellStyle name="Heading 3 38" xfId="4616"/>
    <cellStyle name="Heading 3 38 2" xfId="11408"/>
    <cellStyle name="Heading 3 39" xfId="4617"/>
    <cellStyle name="Heading 3 39 2" xfId="11421"/>
    <cellStyle name="Heading 3 4" xfId="4618"/>
    <cellStyle name="Heading 3 4 2" xfId="4619"/>
    <cellStyle name="Heading 3 4 2 2" xfId="10972"/>
    <cellStyle name="Heading 3 4 3" xfId="8423"/>
    <cellStyle name="Heading 3 40" xfId="4620"/>
    <cellStyle name="Heading 3 40 2" xfId="11434"/>
    <cellStyle name="Heading 3 41" xfId="4621"/>
    <cellStyle name="Heading 3 41 2" xfId="11447"/>
    <cellStyle name="Heading 3 42" xfId="4622"/>
    <cellStyle name="Heading 3 42 2" xfId="11460"/>
    <cellStyle name="Heading 3 43" xfId="4623"/>
    <cellStyle name="Heading 3 43 2" xfId="11473"/>
    <cellStyle name="Heading 3 44" xfId="4624"/>
    <cellStyle name="Heading 3 44 2" xfId="11485"/>
    <cellStyle name="Heading 3 45" xfId="4625"/>
    <cellStyle name="Heading 3 45 2" xfId="11499"/>
    <cellStyle name="Heading 3 46" xfId="4626"/>
    <cellStyle name="Heading 3 46 2" xfId="11512"/>
    <cellStyle name="Heading 3 47" xfId="4627"/>
    <cellStyle name="Heading 3 47 2" xfId="11525"/>
    <cellStyle name="Heading 3 48" xfId="4628"/>
    <cellStyle name="Heading 3 48 2" xfId="11538"/>
    <cellStyle name="Heading 3 49" xfId="4629"/>
    <cellStyle name="Heading 3 49 2" xfId="11551"/>
    <cellStyle name="Heading 3 5" xfId="4630"/>
    <cellStyle name="Heading 3 5 2" xfId="10985"/>
    <cellStyle name="Heading 3 50" xfId="4631"/>
    <cellStyle name="Heading 3 50 2" xfId="11564"/>
    <cellStyle name="Heading 3 51" xfId="4632"/>
    <cellStyle name="Heading 3 51 2" xfId="11577"/>
    <cellStyle name="Heading 3 52" xfId="4633"/>
    <cellStyle name="Heading 3 52 2" xfId="11590"/>
    <cellStyle name="Heading 3 53" xfId="4634"/>
    <cellStyle name="Heading 3 53 2" xfId="11603"/>
    <cellStyle name="Heading 3 54" xfId="4635"/>
    <cellStyle name="Heading 3 54 2" xfId="11616"/>
    <cellStyle name="Heading 3 55" xfId="4636"/>
    <cellStyle name="Heading 3 55 2" xfId="11629"/>
    <cellStyle name="Heading 3 56" xfId="4637"/>
    <cellStyle name="Heading 3 56 2" xfId="11642"/>
    <cellStyle name="Heading 3 57" xfId="4638"/>
    <cellStyle name="Heading 3 57 2" xfId="11654"/>
    <cellStyle name="Heading 3 58" xfId="4639"/>
    <cellStyle name="Heading 3 58 2" xfId="11668"/>
    <cellStyle name="Heading 3 59" xfId="4640"/>
    <cellStyle name="Heading 3 59 2" xfId="11681"/>
    <cellStyle name="Heading 3 6" xfId="4641"/>
    <cellStyle name="Heading 3 6 2" xfId="10997"/>
    <cellStyle name="Heading 3 60" xfId="4642"/>
    <cellStyle name="Heading 3 60 2" xfId="11694"/>
    <cellStyle name="Heading 3 61" xfId="4643"/>
    <cellStyle name="Heading 3 61 2" xfId="11707"/>
    <cellStyle name="Heading 3 62" xfId="4644"/>
    <cellStyle name="Heading 3 62 2" xfId="11720"/>
    <cellStyle name="Heading 3 63" xfId="4645"/>
    <cellStyle name="Heading 3 63 2" xfId="11733"/>
    <cellStyle name="Heading 3 64" xfId="4646"/>
    <cellStyle name="Heading 3 64 2" xfId="11746"/>
    <cellStyle name="Heading 3 65" xfId="4647"/>
    <cellStyle name="Heading 3 65 2" xfId="11759"/>
    <cellStyle name="Heading 3 66" xfId="4648"/>
    <cellStyle name="Heading 3 66 2" xfId="11772"/>
    <cellStyle name="Heading 3 67" xfId="4649"/>
    <cellStyle name="Heading 3 67 2" xfId="11785"/>
    <cellStyle name="Heading 3 68" xfId="4650"/>
    <cellStyle name="Heading 3 68 2" xfId="11798"/>
    <cellStyle name="Heading 3 69" xfId="4651"/>
    <cellStyle name="Heading 3 69 2" xfId="11811"/>
    <cellStyle name="Heading 3 7" xfId="4652"/>
    <cellStyle name="Heading 3 7 2" xfId="11004"/>
    <cellStyle name="Heading 3 70" xfId="4653"/>
    <cellStyle name="Heading 3 70 2" xfId="11824"/>
    <cellStyle name="Heading 3 71" xfId="4654"/>
    <cellStyle name="Heading 3 71 2" xfId="11836"/>
    <cellStyle name="Heading 3 72" xfId="4655"/>
    <cellStyle name="Heading 3 72 2" xfId="11850"/>
    <cellStyle name="Heading 3 73" xfId="4656"/>
    <cellStyle name="Heading 3 73 2" xfId="11863"/>
    <cellStyle name="Heading 3 74" xfId="4657"/>
    <cellStyle name="Heading 3 74 2" xfId="11876"/>
    <cellStyle name="Heading 3 75" xfId="4658"/>
    <cellStyle name="Heading 3 75 2" xfId="11889"/>
    <cellStyle name="Heading 3 76" xfId="4659"/>
    <cellStyle name="Heading 3 76 2" xfId="11902"/>
    <cellStyle name="Heading 3 77" xfId="4660"/>
    <cellStyle name="Heading 3 77 2" xfId="11915"/>
    <cellStyle name="Heading 3 78" xfId="4661"/>
    <cellStyle name="Heading 3 78 2" xfId="11928"/>
    <cellStyle name="Heading 3 79" xfId="4662"/>
    <cellStyle name="Heading 3 79 2" xfId="11942"/>
    <cellStyle name="Heading 3 8" xfId="4663"/>
    <cellStyle name="Heading 3 8 2" xfId="11016"/>
    <cellStyle name="Heading 3 80" xfId="4664"/>
    <cellStyle name="Heading 3 80 2" xfId="11956"/>
    <cellStyle name="Heading 3 81" xfId="4665"/>
    <cellStyle name="Heading 3 81 2" xfId="11970"/>
    <cellStyle name="Heading 3 82" xfId="4666"/>
    <cellStyle name="Heading 3 82 2" xfId="11984"/>
    <cellStyle name="Heading 3 83" xfId="4667"/>
    <cellStyle name="Heading 3 83 2" xfId="11998"/>
    <cellStyle name="Heading 3 84" xfId="4668"/>
    <cellStyle name="Heading 3 84 2" xfId="12011"/>
    <cellStyle name="Heading 3 85" xfId="4581"/>
    <cellStyle name="Heading 3 85 2" xfId="12100"/>
    <cellStyle name="Heading 3 9" xfId="4669"/>
    <cellStyle name="Heading 3 9 2" xfId="11030"/>
    <cellStyle name="Heading 4" xfId="90" builtinId="19" customBuiltin="1"/>
    <cellStyle name="Heading 4 10" xfId="4671"/>
    <cellStyle name="Heading 4 10 2" xfId="11045"/>
    <cellStyle name="Heading 4 11" xfId="4672"/>
    <cellStyle name="Heading 4 11 2" xfId="11058"/>
    <cellStyle name="Heading 4 12" xfId="4673"/>
    <cellStyle name="Heading 4 12 2" xfId="11071"/>
    <cellStyle name="Heading 4 13" xfId="4674"/>
    <cellStyle name="Heading 4 13 2" xfId="11084"/>
    <cellStyle name="Heading 4 14" xfId="4675"/>
    <cellStyle name="Heading 4 14 2" xfId="11097"/>
    <cellStyle name="Heading 4 15" xfId="4676"/>
    <cellStyle name="Heading 4 15 2" xfId="11110"/>
    <cellStyle name="Heading 4 16" xfId="4677"/>
    <cellStyle name="Heading 4 16 2" xfId="11123"/>
    <cellStyle name="Heading 4 17" xfId="4678"/>
    <cellStyle name="Heading 4 17 2" xfId="11136"/>
    <cellStyle name="Heading 4 18" xfId="4679"/>
    <cellStyle name="Heading 4 18 2" xfId="11149"/>
    <cellStyle name="Heading 4 19" xfId="4680"/>
    <cellStyle name="Heading 4 19 2" xfId="11162"/>
    <cellStyle name="Heading 4 2" xfId="65"/>
    <cellStyle name="Heading 4 2 2" xfId="4682"/>
    <cellStyle name="Heading 4 2 2 2" xfId="10947"/>
    <cellStyle name="Heading 4 2 3" xfId="4683"/>
    <cellStyle name="Heading 4 2 3 2" xfId="10805"/>
    <cellStyle name="Heading 4 2 4" xfId="8369"/>
    <cellStyle name="Heading 4 2 5" xfId="4681"/>
    <cellStyle name="Heading 4 2 6" xfId="9786"/>
    <cellStyle name="Heading 4 20" xfId="4684"/>
    <cellStyle name="Heading 4 20 2" xfId="11175"/>
    <cellStyle name="Heading 4 21" xfId="4685"/>
    <cellStyle name="Heading 4 21 2" xfId="11188"/>
    <cellStyle name="Heading 4 22" xfId="4686"/>
    <cellStyle name="Heading 4 22 2" xfId="11201"/>
    <cellStyle name="Heading 4 23" xfId="4687"/>
    <cellStyle name="Heading 4 23 2" xfId="11214"/>
    <cellStyle name="Heading 4 24" xfId="4688"/>
    <cellStyle name="Heading 4 24 2" xfId="11227"/>
    <cellStyle name="Heading 4 25" xfId="4689"/>
    <cellStyle name="Heading 4 25 2" xfId="11240"/>
    <cellStyle name="Heading 4 26" xfId="4690"/>
    <cellStyle name="Heading 4 26 2" xfId="11253"/>
    <cellStyle name="Heading 4 27" xfId="4691"/>
    <cellStyle name="Heading 4 27 2" xfId="11266"/>
    <cellStyle name="Heading 4 28" xfId="4692"/>
    <cellStyle name="Heading 4 28 2" xfId="11279"/>
    <cellStyle name="Heading 4 29" xfId="4693"/>
    <cellStyle name="Heading 4 29 2" xfId="11292"/>
    <cellStyle name="Heading 4 3" xfId="66"/>
    <cellStyle name="Heading 4 3 2" xfId="4695"/>
    <cellStyle name="Heading 4 3 2 2" xfId="10960"/>
    <cellStyle name="Heading 4 3 3" xfId="4696"/>
    <cellStyle name="Heading 4 3 3 2" xfId="10866"/>
    <cellStyle name="Heading 4 3 4" xfId="8368"/>
    <cellStyle name="Heading 4 3 5" xfId="4694"/>
    <cellStyle name="Heading 4 3 6" xfId="9776"/>
    <cellStyle name="Heading 4 30" xfId="4697"/>
    <cellStyle name="Heading 4 30 2" xfId="11305"/>
    <cellStyle name="Heading 4 31" xfId="4698"/>
    <cellStyle name="Heading 4 31 2" xfId="11318"/>
    <cellStyle name="Heading 4 32" xfId="4699"/>
    <cellStyle name="Heading 4 32 2" xfId="11331"/>
    <cellStyle name="Heading 4 33" xfId="4700"/>
    <cellStyle name="Heading 4 33 2" xfId="11344"/>
    <cellStyle name="Heading 4 34" xfId="4701"/>
    <cellStyle name="Heading 4 34 2" xfId="11357"/>
    <cellStyle name="Heading 4 35" xfId="4702"/>
    <cellStyle name="Heading 4 35 2" xfId="11370"/>
    <cellStyle name="Heading 4 36" xfId="4703"/>
    <cellStyle name="Heading 4 36 2" xfId="11383"/>
    <cellStyle name="Heading 4 37" xfId="4704"/>
    <cellStyle name="Heading 4 37 2" xfId="11396"/>
    <cellStyle name="Heading 4 38" xfId="4705"/>
    <cellStyle name="Heading 4 38 2" xfId="11409"/>
    <cellStyle name="Heading 4 39" xfId="4706"/>
    <cellStyle name="Heading 4 39 2" xfId="11422"/>
    <cellStyle name="Heading 4 4" xfId="4707"/>
    <cellStyle name="Heading 4 4 2" xfId="4708"/>
    <cellStyle name="Heading 4 4 2 2" xfId="10973"/>
    <cellStyle name="Heading 4 4 3" xfId="8424"/>
    <cellStyle name="Heading 4 40" xfId="4709"/>
    <cellStyle name="Heading 4 40 2" xfId="11435"/>
    <cellStyle name="Heading 4 41" xfId="4710"/>
    <cellStyle name="Heading 4 41 2" xfId="11448"/>
    <cellStyle name="Heading 4 42" xfId="4711"/>
    <cellStyle name="Heading 4 42 2" xfId="11461"/>
    <cellStyle name="Heading 4 43" xfId="4712"/>
    <cellStyle name="Heading 4 43 2" xfId="11474"/>
    <cellStyle name="Heading 4 44" xfId="4713"/>
    <cellStyle name="Heading 4 44 2" xfId="11486"/>
    <cellStyle name="Heading 4 45" xfId="4714"/>
    <cellStyle name="Heading 4 45 2" xfId="11500"/>
    <cellStyle name="Heading 4 46" xfId="4715"/>
    <cellStyle name="Heading 4 46 2" xfId="11513"/>
    <cellStyle name="Heading 4 47" xfId="4716"/>
    <cellStyle name="Heading 4 47 2" xfId="11526"/>
    <cellStyle name="Heading 4 48" xfId="4717"/>
    <cellStyle name="Heading 4 48 2" xfId="11539"/>
    <cellStyle name="Heading 4 49" xfId="4718"/>
    <cellStyle name="Heading 4 49 2" xfId="11552"/>
    <cellStyle name="Heading 4 5" xfId="4719"/>
    <cellStyle name="Heading 4 5 2" xfId="10986"/>
    <cellStyle name="Heading 4 50" xfId="4720"/>
    <cellStyle name="Heading 4 50 2" xfId="11565"/>
    <cellStyle name="Heading 4 51" xfId="4721"/>
    <cellStyle name="Heading 4 51 2" xfId="11578"/>
    <cellStyle name="Heading 4 52" xfId="4722"/>
    <cellStyle name="Heading 4 52 2" xfId="11591"/>
    <cellStyle name="Heading 4 53" xfId="4723"/>
    <cellStyle name="Heading 4 53 2" xfId="11604"/>
    <cellStyle name="Heading 4 54" xfId="4724"/>
    <cellStyle name="Heading 4 54 2" xfId="11617"/>
    <cellStyle name="Heading 4 55" xfId="4725"/>
    <cellStyle name="Heading 4 55 2" xfId="11630"/>
    <cellStyle name="Heading 4 56" xfId="4726"/>
    <cellStyle name="Heading 4 56 2" xfId="11643"/>
    <cellStyle name="Heading 4 57" xfId="4727"/>
    <cellStyle name="Heading 4 57 2" xfId="11655"/>
    <cellStyle name="Heading 4 58" xfId="4728"/>
    <cellStyle name="Heading 4 58 2" xfId="11669"/>
    <cellStyle name="Heading 4 59" xfId="4729"/>
    <cellStyle name="Heading 4 59 2" xfId="11682"/>
    <cellStyle name="Heading 4 6" xfId="4730"/>
    <cellStyle name="Heading 4 6 2" xfId="10998"/>
    <cellStyle name="Heading 4 60" xfId="4731"/>
    <cellStyle name="Heading 4 60 2" xfId="11695"/>
    <cellStyle name="Heading 4 61" xfId="4732"/>
    <cellStyle name="Heading 4 61 2" xfId="11708"/>
    <cellStyle name="Heading 4 62" xfId="4733"/>
    <cellStyle name="Heading 4 62 2" xfId="11721"/>
    <cellStyle name="Heading 4 63" xfId="4734"/>
    <cellStyle name="Heading 4 63 2" xfId="11734"/>
    <cellStyle name="Heading 4 64" xfId="4735"/>
    <cellStyle name="Heading 4 64 2" xfId="11747"/>
    <cellStyle name="Heading 4 65" xfId="4736"/>
    <cellStyle name="Heading 4 65 2" xfId="11760"/>
    <cellStyle name="Heading 4 66" xfId="4737"/>
    <cellStyle name="Heading 4 66 2" xfId="11773"/>
    <cellStyle name="Heading 4 67" xfId="4738"/>
    <cellStyle name="Heading 4 67 2" xfId="11786"/>
    <cellStyle name="Heading 4 68" xfId="4739"/>
    <cellStyle name="Heading 4 68 2" xfId="11799"/>
    <cellStyle name="Heading 4 69" xfId="4740"/>
    <cellStyle name="Heading 4 69 2" xfId="11812"/>
    <cellStyle name="Heading 4 7" xfId="4741"/>
    <cellStyle name="Heading 4 7 2" xfId="11005"/>
    <cellStyle name="Heading 4 70" xfId="4742"/>
    <cellStyle name="Heading 4 70 2" xfId="11825"/>
    <cellStyle name="Heading 4 71" xfId="4743"/>
    <cellStyle name="Heading 4 71 2" xfId="11837"/>
    <cellStyle name="Heading 4 72" xfId="4744"/>
    <cellStyle name="Heading 4 72 2" xfId="11851"/>
    <cellStyle name="Heading 4 73" xfId="4745"/>
    <cellStyle name="Heading 4 73 2" xfId="11864"/>
    <cellStyle name="Heading 4 74" xfId="4746"/>
    <cellStyle name="Heading 4 74 2" xfId="11877"/>
    <cellStyle name="Heading 4 75" xfId="4747"/>
    <cellStyle name="Heading 4 75 2" xfId="11890"/>
    <cellStyle name="Heading 4 76" xfId="4748"/>
    <cellStyle name="Heading 4 76 2" xfId="11903"/>
    <cellStyle name="Heading 4 77" xfId="4749"/>
    <cellStyle name="Heading 4 77 2" xfId="11916"/>
    <cellStyle name="Heading 4 78" xfId="4750"/>
    <cellStyle name="Heading 4 78 2" xfId="11929"/>
    <cellStyle name="Heading 4 79" xfId="4751"/>
    <cellStyle name="Heading 4 79 2" xfId="11943"/>
    <cellStyle name="Heading 4 8" xfId="4752"/>
    <cellStyle name="Heading 4 8 2" xfId="11017"/>
    <cellStyle name="Heading 4 80" xfId="4753"/>
    <cellStyle name="Heading 4 80 2" xfId="11957"/>
    <cellStyle name="Heading 4 81" xfId="4754"/>
    <cellStyle name="Heading 4 81 2" xfId="11971"/>
    <cellStyle name="Heading 4 82" xfId="4755"/>
    <cellStyle name="Heading 4 82 2" xfId="11985"/>
    <cellStyle name="Heading 4 83" xfId="4756"/>
    <cellStyle name="Heading 4 83 2" xfId="11999"/>
    <cellStyle name="Heading 4 84" xfId="4757"/>
    <cellStyle name="Heading 4 84 2" xfId="12012"/>
    <cellStyle name="Heading 4 85" xfId="4670"/>
    <cellStyle name="Heading 4 85 2" xfId="12101"/>
    <cellStyle name="Heading 4 9" xfId="4758"/>
    <cellStyle name="Heading 4 9 2" xfId="11031"/>
    <cellStyle name="Hyperlink 2" xfId="67"/>
    <cellStyle name="Hyperlink 2 2" xfId="8367"/>
    <cellStyle name="Hyperlink 2 3" xfId="4759"/>
    <cellStyle name="Hyperlink 2 4" xfId="12036"/>
    <cellStyle name="Input" xfId="94" builtinId="20" customBuiltin="1"/>
    <cellStyle name="Input 10" xfId="4761"/>
    <cellStyle name="Input 10 2" xfId="11048"/>
    <cellStyle name="Input 11" xfId="4762"/>
    <cellStyle name="Input 11 2" xfId="11061"/>
    <cellStyle name="Input 12" xfId="4763"/>
    <cellStyle name="Input 12 2" xfId="11074"/>
    <cellStyle name="Input 13" xfId="4764"/>
    <cellStyle name="Input 13 2" xfId="11087"/>
    <cellStyle name="Input 14" xfId="4765"/>
    <cellStyle name="Input 14 2" xfId="11100"/>
    <cellStyle name="Input 15" xfId="4766"/>
    <cellStyle name="Input 15 2" xfId="11113"/>
    <cellStyle name="Input 16" xfId="4767"/>
    <cellStyle name="Input 16 2" xfId="11126"/>
    <cellStyle name="Input 17" xfId="4768"/>
    <cellStyle name="Input 17 2" xfId="11139"/>
    <cellStyle name="Input 18" xfId="4769"/>
    <cellStyle name="Input 18 2" xfId="11152"/>
    <cellStyle name="Input 19" xfId="4770"/>
    <cellStyle name="Input 19 2" xfId="11165"/>
    <cellStyle name="Input 2" xfId="68"/>
    <cellStyle name="Input 2 2" xfId="4772"/>
    <cellStyle name="Input 2 2 2" xfId="10950"/>
    <cellStyle name="Input 2 3" xfId="4773"/>
    <cellStyle name="Input 2 3 2" xfId="10808"/>
    <cellStyle name="Input 2 4" xfId="8366"/>
    <cellStyle name="Input 2 5" xfId="4771"/>
    <cellStyle name="Input 2 6" xfId="8425"/>
    <cellStyle name="Input 20" xfId="4774"/>
    <cellStyle name="Input 20 2" xfId="11178"/>
    <cellStyle name="Input 21" xfId="4775"/>
    <cellStyle name="Input 21 2" xfId="11191"/>
    <cellStyle name="Input 22" xfId="4776"/>
    <cellStyle name="Input 22 2" xfId="11204"/>
    <cellStyle name="Input 23" xfId="4777"/>
    <cellStyle name="Input 23 2" xfId="11217"/>
    <cellStyle name="Input 24" xfId="4778"/>
    <cellStyle name="Input 24 2" xfId="11230"/>
    <cellStyle name="Input 25" xfId="4779"/>
    <cellStyle name="Input 25 2" xfId="11243"/>
    <cellStyle name="Input 26" xfId="4780"/>
    <cellStyle name="Input 26 2" xfId="11256"/>
    <cellStyle name="Input 27" xfId="4781"/>
    <cellStyle name="Input 27 2" xfId="11269"/>
    <cellStyle name="Input 28" xfId="4782"/>
    <cellStyle name="Input 28 2" xfId="11282"/>
    <cellStyle name="Input 29" xfId="4783"/>
    <cellStyle name="Input 29 2" xfId="11295"/>
    <cellStyle name="Input 3" xfId="69"/>
    <cellStyle name="Input 3 2" xfId="4785"/>
    <cellStyle name="Input 3 2 2" xfId="10963"/>
    <cellStyle name="Input 3 3" xfId="4786"/>
    <cellStyle name="Input 3 3 2" xfId="10869"/>
    <cellStyle name="Input 3 4" xfId="8365"/>
    <cellStyle name="Input 3 5" xfId="4784"/>
    <cellStyle name="Input 3 6" xfId="8426"/>
    <cellStyle name="Input 30" xfId="4787"/>
    <cellStyle name="Input 30 2" xfId="11308"/>
    <cellStyle name="Input 31" xfId="4788"/>
    <cellStyle name="Input 31 2" xfId="11321"/>
    <cellStyle name="Input 32" xfId="4789"/>
    <cellStyle name="Input 32 2" xfId="11334"/>
    <cellStyle name="Input 33" xfId="4790"/>
    <cellStyle name="Input 33 2" xfId="11347"/>
    <cellStyle name="Input 34" xfId="4791"/>
    <cellStyle name="Input 34 2" xfId="11360"/>
    <cellStyle name="Input 35" xfId="4792"/>
    <cellStyle name="Input 35 2" xfId="11373"/>
    <cellStyle name="Input 36" xfId="4793"/>
    <cellStyle name="Input 36 2" xfId="11386"/>
    <cellStyle name="Input 37" xfId="4794"/>
    <cellStyle name="Input 37 2" xfId="11399"/>
    <cellStyle name="Input 38" xfId="4795"/>
    <cellStyle name="Input 38 2" xfId="11412"/>
    <cellStyle name="Input 39" xfId="4796"/>
    <cellStyle name="Input 39 2" xfId="11425"/>
    <cellStyle name="Input 4" xfId="4797"/>
    <cellStyle name="Input 4 2" xfId="4798"/>
    <cellStyle name="Input 4 2 2" xfId="10976"/>
    <cellStyle name="Input 4 3" xfId="8427"/>
    <cellStyle name="Input 40" xfId="4799"/>
    <cellStyle name="Input 40 2" xfId="11438"/>
    <cellStyle name="Input 41" xfId="4800"/>
    <cellStyle name="Input 41 2" xfId="11451"/>
    <cellStyle name="Input 42" xfId="4801"/>
    <cellStyle name="Input 42 2" xfId="11464"/>
    <cellStyle name="Input 43" xfId="4802"/>
    <cellStyle name="Input 43 2" xfId="11477"/>
    <cellStyle name="Input 44" xfId="4803"/>
    <cellStyle name="Input 44 2" xfId="11489"/>
    <cellStyle name="Input 45" xfId="4804"/>
    <cellStyle name="Input 45 2" xfId="11503"/>
    <cellStyle name="Input 46" xfId="4805"/>
    <cellStyle name="Input 46 2" xfId="11516"/>
    <cellStyle name="Input 47" xfId="4806"/>
    <cellStyle name="Input 47 2" xfId="11529"/>
    <cellStyle name="Input 48" xfId="4807"/>
    <cellStyle name="Input 48 2" xfId="11542"/>
    <cellStyle name="Input 49" xfId="4808"/>
    <cellStyle name="Input 49 2" xfId="11555"/>
    <cellStyle name="Input 5" xfId="4809"/>
    <cellStyle name="Input 5 2" xfId="4810"/>
    <cellStyle name="Input 5 2 2" xfId="10989"/>
    <cellStyle name="Input 5 3" xfId="8428"/>
    <cellStyle name="Input 50" xfId="4811"/>
    <cellStyle name="Input 50 2" xfId="11568"/>
    <cellStyle name="Input 51" xfId="4812"/>
    <cellStyle name="Input 51 2" xfId="11581"/>
    <cellStyle name="Input 52" xfId="4813"/>
    <cellStyle name="Input 52 2" xfId="11594"/>
    <cellStyle name="Input 53" xfId="4814"/>
    <cellStyle name="Input 53 2" xfId="11607"/>
    <cellStyle name="Input 54" xfId="4815"/>
    <cellStyle name="Input 54 2" xfId="11620"/>
    <cellStyle name="Input 55" xfId="4816"/>
    <cellStyle name="Input 55 2" xfId="11633"/>
    <cellStyle name="Input 56" xfId="4817"/>
    <cellStyle name="Input 56 2" xfId="11646"/>
    <cellStyle name="Input 57" xfId="4818"/>
    <cellStyle name="Input 57 2" xfId="11658"/>
    <cellStyle name="Input 58" xfId="4819"/>
    <cellStyle name="Input 58 2" xfId="11672"/>
    <cellStyle name="Input 59" xfId="4820"/>
    <cellStyle name="Input 59 2" xfId="11685"/>
    <cellStyle name="Input 6" xfId="4821"/>
    <cellStyle name="Input 6 2" xfId="9767"/>
    <cellStyle name="Input 60" xfId="4822"/>
    <cellStyle name="Input 60 2" xfId="11698"/>
    <cellStyle name="Input 61" xfId="4823"/>
    <cellStyle name="Input 61 2" xfId="11711"/>
    <cellStyle name="Input 62" xfId="4824"/>
    <cellStyle name="Input 62 2" xfId="11724"/>
    <cellStyle name="Input 63" xfId="4825"/>
    <cellStyle name="Input 63 2" xfId="11737"/>
    <cellStyle name="Input 64" xfId="4826"/>
    <cellStyle name="Input 64 2" xfId="11750"/>
    <cellStyle name="Input 65" xfId="4827"/>
    <cellStyle name="Input 65 2" xfId="11763"/>
    <cellStyle name="Input 66" xfId="4828"/>
    <cellStyle name="Input 66 2" xfId="11776"/>
    <cellStyle name="Input 67" xfId="4829"/>
    <cellStyle name="Input 67 2" xfId="11789"/>
    <cellStyle name="Input 68" xfId="4830"/>
    <cellStyle name="Input 68 2" xfId="11802"/>
    <cellStyle name="Input 69" xfId="4831"/>
    <cellStyle name="Input 69 2" xfId="11815"/>
    <cellStyle name="Input 7" xfId="4832"/>
    <cellStyle name="Input 7 2" xfId="11007"/>
    <cellStyle name="Input 70" xfId="4833"/>
    <cellStyle name="Input 70 2" xfId="11828"/>
    <cellStyle name="Input 71" xfId="4834"/>
    <cellStyle name="Input 71 2" xfId="11840"/>
    <cellStyle name="Input 72" xfId="4835"/>
    <cellStyle name="Input 72 2" xfId="11854"/>
    <cellStyle name="Input 73" xfId="4836"/>
    <cellStyle name="Input 73 2" xfId="11867"/>
    <cellStyle name="Input 74" xfId="4837"/>
    <cellStyle name="Input 74 2" xfId="11880"/>
    <cellStyle name="Input 75" xfId="4838"/>
    <cellStyle name="Input 75 2" xfId="11893"/>
    <cellStyle name="Input 76" xfId="4839"/>
    <cellStyle name="Input 76 2" xfId="11906"/>
    <cellStyle name="Input 77" xfId="4840"/>
    <cellStyle name="Input 77 2" xfId="11919"/>
    <cellStyle name="Input 78" xfId="4841"/>
    <cellStyle name="Input 78 2" xfId="11932"/>
    <cellStyle name="Input 79" xfId="4842"/>
    <cellStyle name="Input 79 2" xfId="11946"/>
    <cellStyle name="Input 8" xfId="4843"/>
    <cellStyle name="Input 8 2" xfId="11020"/>
    <cellStyle name="Input 80" xfId="4844"/>
    <cellStyle name="Input 80 2" xfId="11960"/>
    <cellStyle name="Input 81" xfId="4845"/>
    <cellStyle name="Input 81 2" xfId="11974"/>
    <cellStyle name="Input 82" xfId="4846"/>
    <cellStyle name="Input 82 2" xfId="11988"/>
    <cellStyle name="Input 83" xfId="4847"/>
    <cellStyle name="Input 83 2" xfId="12002"/>
    <cellStyle name="Input 84" xfId="4848"/>
    <cellStyle name="Input 84 2" xfId="12015"/>
    <cellStyle name="Input 85" xfId="4760"/>
    <cellStyle name="Input 85 2" xfId="12104"/>
    <cellStyle name="Input 9" xfId="4849"/>
    <cellStyle name="Input 9 2" xfId="11034"/>
    <cellStyle name="Linked Cell" xfId="97" builtinId="24" customBuiltin="1"/>
    <cellStyle name="Linked Cell 10" xfId="4851"/>
    <cellStyle name="Linked Cell 10 2" xfId="11050"/>
    <cellStyle name="Linked Cell 11" xfId="4852"/>
    <cellStyle name="Linked Cell 11 2" xfId="11063"/>
    <cellStyle name="Linked Cell 12" xfId="4853"/>
    <cellStyle name="Linked Cell 12 2" xfId="11076"/>
    <cellStyle name="Linked Cell 13" xfId="4854"/>
    <cellStyle name="Linked Cell 13 2" xfId="11089"/>
    <cellStyle name="Linked Cell 14" xfId="4855"/>
    <cellStyle name="Linked Cell 14 2" xfId="11102"/>
    <cellStyle name="Linked Cell 15" xfId="4856"/>
    <cellStyle name="Linked Cell 15 2" xfId="11115"/>
    <cellStyle name="Linked Cell 16" xfId="4857"/>
    <cellStyle name="Linked Cell 16 2" xfId="11128"/>
    <cellStyle name="Linked Cell 17" xfId="4858"/>
    <cellStyle name="Linked Cell 17 2" xfId="11141"/>
    <cellStyle name="Linked Cell 18" xfId="4859"/>
    <cellStyle name="Linked Cell 18 2" xfId="11154"/>
    <cellStyle name="Linked Cell 19" xfId="4860"/>
    <cellStyle name="Linked Cell 19 2" xfId="11167"/>
    <cellStyle name="Linked Cell 2" xfId="70"/>
    <cellStyle name="Linked Cell 2 2" xfId="4862"/>
    <cellStyle name="Linked Cell 2 2 2" xfId="10952"/>
    <cellStyle name="Linked Cell 2 3" xfId="4863"/>
    <cellStyle name="Linked Cell 2 3 2" xfId="10810"/>
    <cellStyle name="Linked Cell 2 4" xfId="8364"/>
    <cellStyle name="Linked Cell 2 5" xfId="4861"/>
    <cellStyle name="Linked Cell 2 6" xfId="8429"/>
    <cellStyle name="Linked Cell 20" xfId="4864"/>
    <cellStyle name="Linked Cell 20 2" xfId="11180"/>
    <cellStyle name="Linked Cell 21" xfId="4865"/>
    <cellStyle name="Linked Cell 21 2" xfId="11193"/>
    <cellStyle name="Linked Cell 22" xfId="4866"/>
    <cellStyle name="Linked Cell 22 2" xfId="11206"/>
    <cellStyle name="Linked Cell 23" xfId="4867"/>
    <cellStyle name="Linked Cell 23 2" xfId="11219"/>
    <cellStyle name="Linked Cell 24" xfId="4868"/>
    <cellStyle name="Linked Cell 24 2" xfId="11232"/>
    <cellStyle name="Linked Cell 25" xfId="4869"/>
    <cellStyle name="Linked Cell 25 2" xfId="11245"/>
    <cellStyle name="Linked Cell 26" xfId="4870"/>
    <cellStyle name="Linked Cell 26 2" xfId="11258"/>
    <cellStyle name="Linked Cell 27" xfId="4871"/>
    <cellStyle name="Linked Cell 27 2" xfId="11271"/>
    <cellStyle name="Linked Cell 28" xfId="4872"/>
    <cellStyle name="Linked Cell 28 2" xfId="11284"/>
    <cellStyle name="Linked Cell 29" xfId="4873"/>
    <cellStyle name="Linked Cell 29 2" xfId="11297"/>
    <cellStyle name="Linked Cell 3" xfId="71"/>
    <cellStyle name="Linked Cell 3 2" xfId="4875"/>
    <cellStyle name="Linked Cell 3 2 2" xfId="10965"/>
    <cellStyle name="Linked Cell 3 3" xfId="4876"/>
    <cellStyle name="Linked Cell 3 3 2" xfId="10871"/>
    <cellStyle name="Linked Cell 3 4" xfId="8363"/>
    <cellStyle name="Linked Cell 3 5" xfId="4874"/>
    <cellStyle name="Linked Cell 3 6" xfId="8430"/>
    <cellStyle name="Linked Cell 30" xfId="4877"/>
    <cellStyle name="Linked Cell 30 2" xfId="11310"/>
    <cellStyle name="Linked Cell 31" xfId="4878"/>
    <cellStyle name="Linked Cell 31 2" xfId="11323"/>
    <cellStyle name="Linked Cell 32" xfId="4879"/>
    <cellStyle name="Linked Cell 32 2" xfId="11336"/>
    <cellStyle name="Linked Cell 33" xfId="4880"/>
    <cellStyle name="Linked Cell 33 2" xfId="11349"/>
    <cellStyle name="Linked Cell 34" xfId="4881"/>
    <cellStyle name="Linked Cell 34 2" xfId="11362"/>
    <cellStyle name="Linked Cell 35" xfId="4882"/>
    <cellStyle name="Linked Cell 35 2" xfId="11375"/>
    <cellStyle name="Linked Cell 36" xfId="4883"/>
    <cellStyle name="Linked Cell 36 2" xfId="11388"/>
    <cellStyle name="Linked Cell 37" xfId="4884"/>
    <cellStyle name="Linked Cell 37 2" xfId="11401"/>
    <cellStyle name="Linked Cell 38" xfId="4885"/>
    <cellStyle name="Linked Cell 38 2" xfId="11414"/>
    <cellStyle name="Linked Cell 39" xfId="4886"/>
    <cellStyle name="Linked Cell 39 2" xfId="11427"/>
    <cellStyle name="Linked Cell 4" xfId="4887"/>
    <cellStyle name="Linked Cell 4 2" xfId="4888"/>
    <cellStyle name="Linked Cell 4 2 2" xfId="10978"/>
    <cellStyle name="Linked Cell 4 3" xfId="8431"/>
    <cellStyle name="Linked Cell 40" xfId="4889"/>
    <cellStyle name="Linked Cell 40 2" xfId="11440"/>
    <cellStyle name="Linked Cell 41" xfId="4890"/>
    <cellStyle name="Linked Cell 41 2" xfId="11453"/>
    <cellStyle name="Linked Cell 42" xfId="4891"/>
    <cellStyle name="Linked Cell 42 2" xfId="11466"/>
    <cellStyle name="Linked Cell 43" xfId="4892"/>
    <cellStyle name="Linked Cell 43 2" xfId="11479"/>
    <cellStyle name="Linked Cell 44" xfId="4893"/>
    <cellStyle name="Linked Cell 44 2" xfId="11491"/>
    <cellStyle name="Linked Cell 45" xfId="4894"/>
    <cellStyle name="Linked Cell 45 2" xfId="11505"/>
    <cellStyle name="Linked Cell 46" xfId="4895"/>
    <cellStyle name="Linked Cell 46 2" xfId="11518"/>
    <cellStyle name="Linked Cell 47" xfId="4896"/>
    <cellStyle name="Linked Cell 47 2" xfId="11531"/>
    <cellStyle name="Linked Cell 48" xfId="4897"/>
    <cellStyle name="Linked Cell 48 2" xfId="11544"/>
    <cellStyle name="Linked Cell 49" xfId="4898"/>
    <cellStyle name="Linked Cell 49 2" xfId="11557"/>
    <cellStyle name="Linked Cell 5" xfId="4899"/>
    <cellStyle name="Linked Cell 5 2" xfId="4900"/>
    <cellStyle name="Linked Cell 5 2 2" xfId="10991"/>
    <cellStyle name="Linked Cell 5 3" xfId="8432"/>
    <cellStyle name="Linked Cell 50" xfId="4901"/>
    <cellStyle name="Linked Cell 50 2" xfId="11570"/>
    <cellStyle name="Linked Cell 51" xfId="4902"/>
    <cellStyle name="Linked Cell 51 2" xfId="11583"/>
    <cellStyle name="Linked Cell 52" xfId="4903"/>
    <cellStyle name="Linked Cell 52 2" xfId="11596"/>
    <cellStyle name="Linked Cell 53" xfId="4904"/>
    <cellStyle name="Linked Cell 53 2" xfId="11609"/>
    <cellStyle name="Linked Cell 54" xfId="4905"/>
    <cellStyle name="Linked Cell 54 2" xfId="11622"/>
    <cellStyle name="Linked Cell 55" xfId="4906"/>
    <cellStyle name="Linked Cell 55 2" xfId="11635"/>
    <cellStyle name="Linked Cell 56" xfId="4907"/>
    <cellStyle name="Linked Cell 56 2" xfId="11648"/>
    <cellStyle name="Linked Cell 57" xfId="4908"/>
    <cellStyle name="Linked Cell 57 2" xfId="11660"/>
    <cellStyle name="Linked Cell 58" xfId="4909"/>
    <cellStyle name="Linked Cell 58 2" xfId="11674"/>
    <cellStyle name="Linked Cell 59" xfId="4910"/>
    <cellStyle name="Linked Cell 59 2" xfId="11687"/>
    <cellStyle name="Linked Cell 6" xfId="4911"/>
    <cellStyle name="Linked Cell 6 2" xfId="9769"/>
    <cellStyle name="Linked Cell 60" xfId="4912"/>
    <cellStyle name="Linked Cell 60 2" xfId="11700"/>
    <cellStyle name="Linked Cell 61" xfId="4913"/>
    <cellStyle name="Linked Cell 61 2" xfId="11713"/>
    <cellStyle name="Linked Cell 62" xfId="4914"/>
    <cellStyle name="Linked Cell 62 2" xfId="11726"/>
    <cellStyle name="Linked Cell 63" xfId="4915"/>
    <cellStyle name="Linked Cell 63 2" xfId="11739"/>
    <cellStyle name="Linked Cell 64" xfId="4916"/>
    <cellStyle name="Linked Cell 64 2" xfId="11752"/>
    <cellStyle name="Linked Cell 65" xfId="4917"/>
    <cellStyle name="Linked Cell 65 2" xfId="11765"/>
    <cellStyle name="Linked Cell 66" xfId="4918"/>
    <cellStyle name="Linked Cell 66 2" xfId="11778"/>
    <cellStyle name="Linked Cell 67" xfId="4919"/>
    <cellStyle name="Linked Cell 67 2" xfId="11791"/>
    <cellStyle name="Linked Cell 68" xfId="4920"/>
    <cellStyle name="Linked Cell 68 2" xfId="11804"/>
    <cellStyle name="Linked Cell 69" xfId="4921"/>
    <cellStyle name="Linked Cell 69 2" xfId="11817"/>
    <cellStyle name="Linked Cell 7" xfId="4922"/>
    <cellStyle name="Linked Cell 7 2" xfId="11009"/>
    <cellStyle name="Linked Cell 70" xfId="4923"/>
    <cellStyle name="Linked Cell 70 2" xfId="11830"/>
    <cellStyle name="Linked Cell 71" xfId="4924"/>
    <cellStyle name="Linked Cell 71 2" xfId="11842"/>
    <cellStyle name="Linked Cell 72" xfId="4925"/>
    <cellStyle name="Linked Cell 72 2" xfId="11856"/>
    <cellStyle name="Linked Cell 73" xfId="4926"/>
    <cellStyle name="Linked Cell 73 2" xfId="11869"/>
    <cellStyle name="Linked Cell 74" xfId="4927"/>
    <cellStyle name="Linked Cell 74 2" xfId="11882"/>
    <cellStyle name="Linked Cell 75" xfId="4928"/>
    <cellStyle name="Linked Cell 75 2" xfId="11895"/>
    <cellStyle name="Linked Cell 76" xfId="4929"/>
    <cellStyle name="Linked Cell 76 2" xfId="11908"/>
    <cellStyle name="Linked Cell 77" xfId="4930"/>
    <cellStyle name="Linked Cell 77 2" xfId="11921"/>
    <cellStyle name="Linked Cell 78" xfId="4931"/>
    <cellStyle name="Linked Cell 78 2" xfId="11934"/>
    <cellStyle name="Linked Cell 79" xfId="4932"/>
    <cellStyle name="Linked Cell 79 2" xfId="11948"/>
    <cellStyle name="Linked Cell 8" xfId="4933"/>
    <cellStyle name="Linked Cell 8 2" xfId="11022"/>
    <cellStyle name="Linked Cell 80" xfId="4934"/>
    <cellStyle name="Linked Cell 80 2" xfId="11962"/>
    <cellStyle name="Linked Cell 81" xfId="4935"/>
    <cellStyle name="Linked Cell 81 2" xfId="11976"/>
    <cellStyle name="Linked Cell 82" xfId="4936"/>
    <cellStyle name="Linked Cell 82 2" xfId="11990"/>
    <cellStyle name="Linked Cell 83" xfId="4937"/>
    <cellStyle name="Linked Cell 83 2" xfId="12004"/>
    <cellStyle name="Linked Cell 84" xfId="4938"/>
    <cellStyle name="Linked Cell 84 2" xfId="12017"/>
    <cellStyle name="Linked Cell 85" xfId="4850"/>
    <cellStyle name="Linked Cell 85 2" xfId="12106"/>
    <cellStyle name="Linked Cell 9" xfId="4939"/>
    <cellStyle name="Linked Cell 9 2" xfId="11036"/>
    <cellStyle name="Neutral" xfId="93" builtinId="28" customBuiltin="1"/>
    <cellStyle name="Neutral 10" xfId="4941"/>
    <cellStyle name="Neutral 10 2" xfId="11047"/>
    <cellStyle name="Neutral 11" xfId="4942"/>
    <cellStyle name="Neutral 11 2" xfId="11060"/>
    <cellStyle name="Neutral 12" xfId="4943"/>
    <cellStyle name="Neutral 12 2" xfId="11073"/>
    <cellStyle name="Neutral 13" xfId="4944"/>
    <cellStyle name="Neutral 13 2" xfId="11086"/>
    <cellStyle name="Neutral 14" xfId="4945"/>
    <cellStyle name="Neutral 14 2" xfId="11099"/>
    <cellStyle name="Neutral 15" xfId="4946"/>
    <cellStyle name="Neutral 15 2" xfId="11112"/>
    <cellStyle name="Neutral 16" xfId="4947"/>
    <cellStyle name="Neutral 16 2" xfId="11125"/>
    <cellStyle name="Neutral 17" xfId="4948"/>
    <cellStyle name="Neutral 17 2" xfId="11138"/>
    <cellStyle name="Neutral 18" xfId="4949"/>
    <cellStyle name="Neutral 18 2" xfId="11151"/>
    <cellStyle name="Neutral 19" xfId="4950"/>
    <cellStyle name="Neutral 19 2" xfId="11164"/>
    <cellStyle name="Neutral 2" xfId="72"/>
    <cellStyle name="Neutral 2 2" xfId="4952"/>
    <cellStyle name="Neutral 2 2 2" xfId="10949"/>
    <cellStyle name="Neutral 2 3" xfId="4953"/>
    <cellStyle name="Neutral 2 3 2" xfId="10807"/>
    <cellStyle name="Neutral 2 4" xfId="8362"/>
    <cellStyle name="Neutral 2 5" xfId="4951"/>
    <cellStyle name="Neutral 2 6" xfId="8433"/>
    <cellStyle name="Neutral 20" xfId="4954"/>
    <cellStyle name="Neutral 20 2" xfId="11177"/>
    <cellStyle name="Neutral 21" xfId="4955"/>
    <cellStyle name="Neutral 21 2" xfId="11190"/>
    <cellStyle name="Neutral 22" xfId="4956"/>
    <cellStyle name="Neutral 22 2" xfId="11203"/>
    <cellStyle name="Neutral 23" xfId="4957"/>
    <cellStyle name="Neutral 23 2" xfId="11216"/>
    <cellStyle name="Neutral 24" xfId="4958"/>
    <cellStyle name="Neutral 24 2" xfId="11229"/>
    <cellStyle name="Neutral 25" xfId="4959"/>
    <cellStyle name="Neutral 25 2" xfId="11242"/>
    <cellStyle name="Neutral 26" xfId="4960"/>
    <cellStyle name="Neutral 26 2" xfId="11255"/>
    <cellStyle name="Neutral 27" xfId="4961"/>
    <cellStyle name="Neutral 27 2" xfId="11268"/>
    <cellStyle name="Neutral 28" xfId="4962"/>
    <cellStyle name="Neutral 28 2" xfId="11281"/>
    <cellStyle name="Neutral 29" xfId="4963"/>
    <cellStyle name="Neutral 29 2" xfId="11294"/>
    <cellStyle name="Neutral 3" xfId="73"/>
    <cellStyle name="Neutral 3 2" xfId="4965"/>
    <cellStyle name="Neutral 3 2 2" xfId="10962"/>
    <cellStyle name="Neutral 3 3" xfId="4966"/>
    <cellStyle name="Neutral 3 3 2" xfId="10868"/>
    <cellStyle name="Neutral 3 4" xfId="8361"/>
    <cellStyle name="Neutral 3 5" xfId="4964"/>
    <cellStyle name="Neutral 3 6" xfId="8434"/>
    <cellStyle name="Neutral 30" xfId="4967"/>
    <cellStyle name="Neutral 30 2" xfId="11307"/>
    <cellStyle name="Neutral 31" xfId="4968"/>
    <cellStyle name="Neutral 31 2" xfId="11320"/>
    <cellStyle name="Neutral 32" xfId="4969"/>
    <cellStyle name="Neutral 32 2" xfId="11333"/>
    <cellStyle name="Neutral 33" xfId="4970"/>
    <cellStyle name="Neutral 33 2" xfId="11346"/>
    <cellStyle name="Neutral 34" xfId="4971"/>
    <cellStyle name="Neutral 34 2" xfId="11359"/>
    <cellStyle name="Neutral 35" xfId="4972"/>
    <cellStyle name="Neutral 35 2" xfId="11372"/>
    <cellStyle name="Neutral 36" xfId="4973"/>
    <cellStyle name="Neutral 36 2" xfId="11385"/>
    <cellStyle name="Neutral 37" xfId="4974"/>
    <cellStyle name="Neutral 37 2" xfId="11398"/>
    <cellStyle name="Neutral 38" xfId="4975"/>
    <cellStyle name="Neutral 38 2" xfId="11411"/>
    <cellStyle name="Neutral 39" xfId="4976"/>
    <cellStyle name="Neutral 39 2" xfId="11424"/>
    <cellStyle name="Neutral 4" xfId="4977"/>
    <cellStyle name="Neutral 4 2" xfId="4978"/>
    <cellStyle name="Neutral 4 2 2" xfId="10975"/>
    <cellStyle name="Neutral 4 3" xfId="8435"/>
    <cellStyle name="Neutral 40" xfId="4979"/>
    <cellStyle name="Neutral 40 2" xfId="11437"/>
    <cellStyle name="Neutral 41" xfId="4980"/>
    <cellStyle name="Neutral 41 2" xfId="11450"/>
    <cellStyle name="Neutral 42" xfId="4981"/>
    <cellStyle name="Neutral 42 2" xfId="11463"/>
    <cellStyle name="Neutral 43" xfId="4982"/>
    <cellStyle name="Neutral 43 2" xfId="11476"/>
    <cellStyle name="Neutral 44" xfId="4983"/>
    <cellStyle name="Neutral 44 2" xfId="11488"/>
    <cellStyle name="Neutral 45" xfId="4984"/>
    <cellStyle name="Neutral 45 2" xfId="11502"/>
    <cellStyle name="Neutral 46" xfId="4985"/>
    <cellStyle name="Neutral 46 2" xfId="11515"/>
    <cellStyle name="Neutral 47" xfId="4986"/>
    <cellStyle name="Neutral 47 2" xfId="11528"/>
    <cellStyle name="Neutral 48" xfId="4987"/>
    <cellStyle name="Neutral 48 2" xfId="11541"/>
    <cellStyle name="Neutral 49" xfId="4988"/>
    <cellStyle name="Neutral 49 2" xfId="11554"/>
    <cellStyle name="Neutral 5" xfId="4989"/>
    <cellStyle name="Neutral 5 2" xfId="4990"/>
    <cellStyle name="Neutral 5 2 2" xfId="10988"/>
    <cellStyle name="Neutral 5 3" xfId="8436"/>
    <cellStyle name="Neutral 50" xfId="4991"/>
    <cellStyle name="Neutral 50 2" xfId="11567"/>
    <cellStyle name="Neutral 51" xfId="4992"/>
    <cellStyle name="Neutral 51 2" xfId="11580"/>
    <cellStyle name="Neutral 52" xfId="4993"/>
    <cellStyle name="Neutral 52 2" xfId="11593"/>
    <cellStyle name="Neutral 53" xfId="4994"/>
    <cellStyle name="Neutral 53 2" xfId="11606"/>
    <cellStyle name="Neutral 54" xfId="4995"/>
    <cellStyle name="Neutral 54 2" xfId="11619"/>
    <cellStyle name="Neutral 55" xfId="4996"/>
    <cellStyle name="Neutral 55 2" xfId="11632"/>
    <cellStyle name="Neutral 56" xfId="4997"/>
    <cellStyle name="Neutral 56 2" xfId="11645"/>
    <cellStyle name="Neutral 57" xfId="4998"/>
    <cellStyle name="Neutral 57 2" xfId="11657"/>
    <cellStyle name="Neutral 58" xfId="4999"/>
    <cellStyle name="Neutral 58 2" xfId="11671"/>
    <cellStyle name="Neutral 59" xfId="5000"/>
    <cellStyle name="Neutral 59 2" xfId="11684"/>
    <cellStyle name="Neutral 6" xfId="5001"/>
    <cellStyle name="Neutral 6 2" xfId="9766"/>
    <cellStyle name="Neutral 60" xfId="5002"/>
    <cellStyle name="Neutral 60 2" xfId="11697"/>
    <cellStyle name="Neutral 61" xfId="5003"/>
    <cellStyle name="Neutral 61 2" xfId="11710"/>
    <cellStyle name="Neutral 62" xfId="5004"/>
    <cellStyle name="Neutral 62 2" xfId="11723"/>
    <cellStyle name="Neutral 63" xfId="5005"/>
    <cellStyle name="Neutral 63 2" xfId="11736"/>
    <cellStyle name="Neutral 64" xfId="5006"/>
    <cellStyle name="Neutral 64 2" xfId="11749"/>
    <cellStyle name="Neutral 65" xfId="5007"/>
    <cellStyle name="Neutral 65 2" xfId="11762"/>
    <cellStyle name="Neutral 66" xfId="5008"/>
    <cellStyle name="Neutral 66 2" xfId="11775"/>
    <cellStyle name="Neutral 67" xfId="5009"/>
    <cellStyle name="Neutral 67 2" xfId="11788"/>
    <cellStyle name="Neutral 68" xfId="5010"/>
    <cellStyle name="Neutral 68 2" xfId="11801"/>
    <cellStyle name="Neutral 69" xfId="5011"/>
    <cellStyle name="Neutral 69 2" xfId="11814"/>
    <cellStyle name="Neutral 7" xfId="5012"/>
    <cellStyle name="Neutral 7 2" xfId="11006"/>
    <cellStyle name="Neutral 70" xfId="5013"/>
    <cellStyle name="Neutral 70 2" xfId="11827"/>
    <cellStyle name="Neutral 71" xfId="5014"/>
    <cellStyle name="Neutral 71 2" xfId="11839"/>
    <cellStyle name="Neutral 72" xfId="5015"/>
    <cellStyle name="Neutral 72 2" xfId="11853"/>
    <cellStyle name="Neutral 73" xfId="5016"/>
    <cellStyle name="Neutral 73 2" xfId="11866"/>
    <cellStyle name="Neutral 74" xfId="5017"/>
    <cellStyle name="Neutral 74 2" xfId="11879"/>
    <cellStyle name="Neutral 75" xfId="5018"/>
    <cellStyle name="Neutral 75 2" xfId="11892"/>
    <cellStyle name="Neutral 76" xfId="5019"/>
    <cellStyle name="Neutral 76 2" xfId="11905"/>
    <cellStyle name="Neutral 77" xfId="5020"/>
    <cellStyle name="Neutral 77 2" xfId="11918"/>
    <cellStyle name="Neutral 78" xfId="5021"/>
    <cellStyle name="Neutral 78 2" xfId="11931"/>
    <cellStyle name="Neutral 79" xfId="5022"/>
    <cellStyle name="Neutral 79 2" xfId="11945"/>
    <cellStyle name="Neutral 8" xfId="5023"/>
    <cellStyle name="Neutral 8 2" xfId="11019"/>
    <cellStyle name="Neutral 80" xfId="5024"/>
    <cellStyle name="Neutral 80 2" xfId="11959"/>
    <cellStyle name="Neutral 81" xfId="5025"/>
    <cellStyle name="Neutral 81 2" xfId="11973"/>
    <cellStyle name="Neutral 82" xfId="5026"/>
    <cellStyle name="Neutral 82 2" xfId="11987"/>
    <cellStyle name="Neutral 83" xfId="5027"/>
    <cellStyle name="Neutral 83 2" xfId="12001"/>
    <cellStyle name="Neutral 84" xfId="5028"/>
    <cellStyle name="Neutral 84 2" xfId="12014"/>
    <cellStyle name="Neutral 85" xfId="4940"/>
    <cellStyle name="Neutral 85 2" xfId="12103"/>
    <cellStyle name="Neutral 9" xfId="5029"/>
    <cellStyle name="Neutral 9 2" xfId="11033"/>
    <cellStyle name="Normal" xfId="0" builtinId="0"/>
    <cellStyle name="Normal 10" xfId="145"/>
    <cellStyle name="Normal 10 10" xfId="5031"/>
    <cellStyle name="Normal 10 10 2" xfId="5032"/>
    <cellStyle name="Normal 10 10 2 2" xfId="9787"/>
    <cellStyle name="Normal 10 10 3" xfId="8437"/>
    <cellStyle name="Normal 10 11" xfId="5033"/>
    <cellStyle name="Normal 10 11 2" xfId="5034"/>
    <cellStyle name="Normal 10 11 2 2" xfId="9788"/>
    <cellStyle name="Normal 10 11 3" xfId="8438"/>
    <cellStyle name="Normal 10 12" xfId="5035"/>
    <cellStyle name="Normal 10 12 2" xfId="5036"/>
    <cellStyle name="Normal 10 12 2 2" xfId="9789"/>
    <cellStyle name="Normal 10 12 3" xfId="8439"/>
    <cellStyle name="Normal 10 13" xfId="5037"/>
    <cellStyle name="Normal 10 13 2" xfId="5038"/>
    <cellStyle name="Normal 10 13 2 2" xfId="9790"/>
    <cellStyle name="Normal 10 13 3" xfId="8440"/>
    <cellStyle name="Normal 10 14" xfId="5039"/>
    <cellStyle name="Normal 10 14 2" xfId="5040"/>
    <cellStyle name="Normal 10 14 2 2" xfId="9791"/>
    <cellStyle name="Normal 10 14 3" xfId="8441"/>
    <cellStyle name="Normal 10 15" xfId="5041"/>
    <cellStyle name="Normal 10 15 2" xfId="5042"/>
    <cellStyle name="Normal 10 15 2 2" xfId="9792"/>
    <cellStyle name="Normal 10 15 3" xfId="8442"/>
    <cellStyle name="Normal 10 16" xfId="5043"/>
    <cellStyle name="Normal 10 16 2" xfId="5044"/>
    <cellStyle name="Normal 10 16 2 2" xfId="9793"/>
    <cellStyle name="Normal 10 16 3" xfId="8443"/>
    <cellStyle name="Normal 10 17" xfId="5045"/>
    <cellStyle name="Normal 10 17 2" xfId="5046"/>
    <cellStyle name="Normal 10 17 2 2" xfId="9794"/>
    <cellStyle name="Normal 10 17 3" xfId="8444"/>
    <cellStyle name="Normal 10 18" xfId="5047"/>
    <cellStyle name="Normal 10 18 2" xfId="5048"/>
    <cellStyle name="Normal 10 18 2 2" xfId="9795"/>
    <cellStyle name="Normal 10 18 3" xfId="8445"/>
    <cellStyle name="Normal 10 19" xfId="5049"/>
    <cellStyle name="Normal 10 19 2" xfId="5050"/>
    <cellStyle name="Normal 10 19 2 2" xfId="9796"/>
    <cellStyle name="Normal 10 19 3" xfId="8446"/>
    <cellStyle name="Normal 10 2" xfId="146"/>
    <cellStyle name="Normal 10 2 2" xfId="5052"/>
    <cellStyle name="Normal 10 2 2 2" xfId="9797"/>
    <cellStyle name="Normal 10 2 3" xfId="5053"/>
    <cellStyle name="Normal 10 2 3 2" xfId="12024"/>
    <cellStyle name="Normal 10 2 4" xfId="5054"/>
    <cellStyle name="Normal 10 2 4 2" xfId="12031"/>
    <cellStyle name="Normal 10 2 5" xfId="5055"/>
    <cellStyle name="Normal 10 2 5 2" xfId="12032"/>
    <cellStyle name="Normal 10 2 6" xfId="5056"/>
    <cellStyle name="Normal 10 2 6 2" xfId="10820"/>
    <cellStyle name="Normal 10 2 7" xfId="5057"/>
    <cellStyle name="Normal 10 2 8" xfId="5051"/>
    <cellStyle name="Normal 10 2 9" xfId="8447"/>
    <cellStyle name="Normal 10 20" xfId="5058"/>
    <cellStyle name="Normal 10 20 2" xfId="5059"/>
    <cellStyle name="Normal 10 20 2 2" xfId="9798"/>
    <cellStyle name="Normal 10 20 3" xfId="8448"/>
    <cellStyle name="Normal 10 21" xfId="5060"/>
    <cellStyle name="Normal 10 21 2" xfId="5061"/>
    <cellStyle name="Normal 10 21 2 2" xfId="9799"/>
    <cellStyle name="Normal 10 21 3" xfId="8449"/>
    <cellStyle name="Normal 10 22" xfId="5062"/>
    <cellStyle name="Normal 10 22 2" xfId="5063"/>
    <cellStyle name="Normal 10 22 2 2" xfId="9800"/>
    <cellStyle name="Normal 10 22 3" xfId="8450"/>
    <cellStyle name="Normal 10 23" xfId="5064"/>
    <cellStyle name="Normal 10 23 2" xfId="5065"/>
    <cellStyle name="Normal 10 23 2 2" xfId="9801"/>
    <cellStyle name="Normal 10 23 3" xfId="8451"/>
    <cellStyle name="Normal 10 24" xfId="5066"/>
    <cellStyle name="Normal 10 24 2" xfId="5067"/>
    <cellStyle name="Normal 10 24 2 2" xfId="9802"/>
    <cellStyle name="Normal 10 24 3" xfId="8452"/>
    <cellStyle name="Normal 10 25" xfId="5068"/>
    <cellStyle name="Normal 10 25 2" xfId="5069"/>
    <cellStyle name="Normal 10 25 2 2" xfId="9803"/>
    <cellStyle name="Normal 10 25 3" xfId="8453"/>
    <cellStyle name="Normal 10 26" xfId="5070"/>
    <cellStyle name="Normal 10 26 2" xfId="5071"/>
    <cellStyle name="Normal 10 26 2 2" xfId="9804"/>
    <cellStyle name="Normal 10 26 3" xfId="8454"/>
    <cellStyle name="Normal 10 27" xfId="5072"/>
    <cellStyle name="Normal 10 27 2" xfId="5073"/>
    <cellStyle name="Normal 10 27 2 2" xfId="9805"/>
    <cellStyle name="Normal 10 27 3" xfId="8455"/>
    <cellStyle name="Normal 10 28" xfId="5074"/>
    <cellStyle name="Normal 10 28 2" xfId="5075"/>
    <cellStyle name="Normal 10 28 2 2" xfId="9806"/>
    <cellStyle name="Normal 10 28 3" xfId="8456"/>
    <cellStyle name="Normal 10 29" xfId="5076"/>
    <cellStyle name="Normal 10 29 2" xfId="5077"/>
    <cellStyle name="Normal 10 29 2 2" xfId="9807"/>
    <cellStyle name="Normal 10 29 3" xfId="8457"/>
    <cellStyle name="Normal 10 3" xfId="147"/>
    <cellStyle name="Normal 10 3 2" xfId="5079"/>
    <cellStyle name="Normal 10 3 2 2" xfId="9808"/>
    <cellStyle name="Normal 10 3 3" xfId="5080"/>
    <cellStyle name="Normal 10 3 3 2" xfId="12023"/>
    <cellStyle name="Normal 10 3 4" xfId="5081"/>
    <cellStyle name="Normal 10 3 5" xfId="5078"/>
    <cellStyle name="Normal 10 3 6" xfId="8458"/>
    <cellStyle name="Normal 10 30" xfId="5082"/>
    <cellStyle name="Normal 10 30 2" xfId="5083"/>
    <cellStyle name="Normal 10 30 2 2" xfId="9809"/>
    <cellStyle name="Normal 10 30 3" xfId="8459"/>
    <cellStyle name="Normal 10 31" xfId="5084"/>
    <cellStyle name="Normal 10 31 2" xfId="5085"/>
    <cellStyle name="Normal 10 31 2 2" xfId="9810"/>
    <cellStyle name="Normal 10 31 3" xfId="8460"/>
    <cellStyle name="Normal 10 32" xfId="5086"/>
    <cellStyle name="Normal 10 32 2" xfId="5087"/>
    <cellStyle name="Normal 10 32 2 2" xfId="9811"/>
    <cellStyle name="Normal 10 32 3" xfId="8461"/>
    <cellStyle name="Normal 10 33" xfId="5088"/>
    <cellStyle name="Normal 10 33 2" xfId="5089"/>
    <cellStyle name="Normal 10 33 2 2" xfId="9812"/>
    <cellStyle name="Normal 10 33 3" xfId="8462"/>
    <cellStyle name="Normal 10 34" xfId="5090"/>
    <cellStyle name="Normal 10 34 2" xfId="5091"/>
    <cellStyle name="Normal 10 34 2 2" xfId="9813"/>
    <cellStyle name="Normal 10 34 3" xfId="8463"/>
    <cellStyle name="Normal 10 35" xfId="5092"/>
    <cellStyle name="Normal 10 35 2" xfId="5093"/>
    <cellStyle name="Normal 10 35 2 2" xfId="9814"/>
    <cellStyle name="Normal 10 35 3" xfId="8464"/>
    <cellStyle name="Normal 10 36" xfId="5094"/>
    <cellStyle name="Normal 10 36 2" xfId="5095"/>
    <cellStyle name="Normal 10 36 2 2" xfId="9815"/>
    <cellStyle name="Normal 10 36 3" xfId="8465"/>
    <cellStyle name="Normal 10 37" xfId="5096"/>
    <cellStyle name="Normal 10 37 2" xfId="5097"/>
    <cellStyle name="Normal 10 37 2 2" xfId="9816"/>
    <cellStyle name="Normal 10 37 3" xfId="8466"/>
    <cellStyle name="Normal 10 38" xfId="5098"/>
    <cellStyle name="Normal 10 38 2" xfId="5099"/>
    <cellStyle name="Normal 10 38 2 2" xfId="9817"/>
    <cellStyle name="Normal 10 38 3" xfId="8467"/>
    <cellStyle name="Normal 10 39" xfId="5100"/>
    <cellStyle name="Normal 10 4" xfId="148"/>
    <cellStyle name="Normal 10 4 2" xfId="5102"/>
    <cellStyle name="Normal 10 4 2 2" xfId="9818"/>
    <cellStyle name="Normal 10 4 3" xfId="5103"/>
    <cellStyle name="Normal 10 4 3 2" xfId="12033"/>
    <cellStyle name="Normal 10 4 4" xfId="5104"/>
    <cellStyle name="Normal 10 4 5" xfId="5101"/>
    <cellStyle name="Normal 10 4 6" xfId="8468"/>
    <cellStyle name="Normal 10 40" xfId="5105"/>
    <cellStyle name="Normal 10 41" xfId="5030"/>
    <cellStyle name="Normal 10 42" xfId="10796"/>
    <cellStyle name="Normal 10 5" xfId="149"/>
    <cellStyle name="Normal 10 5 2" xfId="5107"/>
    <cellStyle name="Normal 10 5 2 2" xfId="9819"/>
    <cellStyle name="Normal 10 5 3" xfId="5108"/>
    <cellStyle name="Normal 10 5 3 2" xfId="12028"/>
    <cellStyle name="Normal 10 5 4" xfId="5109"/>
    <cellStyle name="Normal 10 5 5" xfId="5106"/>
    <cellStyle name="Normal 10 5 6" xfId="8469"/>
    <cellStyle name="Normal 10 6" xfId="150"/>
    <cellStyle name="Normal 10 6 2" xfId="5111"/>
    <cellStyle name="Normal 10 6 2 2" xfId="9820"/>
    <cellStyle name="Normal 10 6 3" xfId="5112"/>
    <cellStyle name="Normal 10 6 4" xfId="5110"/>
    <cellStyle name="Normal 10 6 5" xfId="8470"/>
    <cellStyle name="Normal 10 7" xfId="151"/>
    <cellStyle name="Normal 10 7 2" xfId="5114"/>
    <cellStyle name="Normal 10 7 2 2" xfId="9821"/>
    <cellStyle name="Normal 10 7 3" xfId="5115"/>
    <cellStyle name="Normal 10 7 4" xfId="5113"/>
    <cellStyle name="Normal 10 7 5" xfId="8471"/>
    <cellStyle name="Normal 10 8" xfId="152"/>
    <cellStyle name="Normal 10 8 2" xfId="5117"/>
    <cellStyle name="Normal 10 8 2 2" xfId="9822"/>
    <cellStyle name="Normal 10 8 3" xfId="5118"/>
    <cellStyle name="Normal 10 8 4" xfId="5116"/>
    <cellStyle name="Normal 10 8 5" xfId="8472"/>
    <cellStyle name="Normal 10 9" xfId="153"/>
    <cellStyle name="Normal 10 9 2" xfId="5120"/>
    <cellStyle name="Normal 10 9 2 2" xfId="9823"/>
    <cellStyle name="Normal 10 9 3" xfId="5121"/>
    <cellStyle name="Normal 10 9 4" xfId="5119"/>
    <cellStyle name="Normal 10 9 5" xfId="8473"/>
    <cellStyle name="Normal 100" xfId="5122"/>
    <cellStyle name="Normal 100 2" xfId="11027"/>
    <cellStyle name="Normal 101" xfId="5123"/>
    <cellStyle name="Normal 101 2" xfId="11041"/>
    <cellStyle name="Normal 102" xfId="5124"/>
    <cellStyle name="Normal 102 2" xfId="11054"/>
    <cellStyle name="Normal 103" xfId="5125"/>
    <cellStyle name="Normal 103 2" xfId="11067"/>
    <cellStyle name="Normal 104" xfId="5126"/>
    <cellStyle name="Normal 104 2" xfId="5127"/>
    <cellStyle name="Normal 104 2 2" xfId="9824"/>
    <cellStyle name="Normal 104 3" xfId="5128"/>
    <cellStyle name="Normal 104 3 2" xfId="11080"/>
    <cellStyle name="Normal 104 4" xfId="8474"/>
    <cellStyle name="Normal 105" xfId="5129"/>
    <cellStyle name="Normal 105 2" xfId="11093"/>
    <cellStyle name="Normal 106" xfId="5130"/>
    <cellStyle name="Normal 106 2" xfId="11106"/>
    <cellStyle name="Normal 107" xfId="5131"/>
    <cellStyle name="Normal 107 2" xfId="11119"/>
    <cellStyle name="Normal 108" xfId="5132"/>
    <cellStyle name="Normal 108 2" xfId="11132"/>
    <cellStyle name="Normal 109" xfId="5133"/>
    <cellStyle name="Normal 109 2" xfId="11145"/>
    <cellStyle name="Normal 11" xfId="154"/>
    <cellStyle name="Normal 11 10" xfId="5135"/>
    <cellStyle name="Normal 11 10 2" xfId="8475"/>
    <cellStyle name="Normal 11 11" xfId="5136"/>
    <cellStyle name="Normal 11 11 2" xfId="8476"/>
    <cellStyle name="Normal 11 12" xfId="5137"/>
    <cellStyle name="Normal 11 12 2" xfId="8477"/>
    <cellStyle name="Normal 11 13" xfId="5138"/>
    <cellStyle name="Normal 11 13 2" xfId="8478"/>
    <cellStyle name="Normal 11 14" xfId="5139"/>
    <cellStyle name="Normal 11 14 2" xfId="5140"/>
    <cellStyle name="Normal 11 14 2 2" xfId="9825"/>
    <cellStyle name="Normal 11 14 3" xfId="8479"/>
    <cellStyle name="Normal 11 15" xfId="5141"/>
    <cellStyle name="Normal 11 15 2" xfId="5142"/>
    <cellStyle name="Normal 11 15 2 2" xfId="9826"/>
    <cellStyle name="Normal 11 15 3" xfId="8480"/>
    <cellStyle name="Normal 11 16" xfId="5143"/>
    <cellStyle name="Normal 11 16 2" xfId="5144"/>
    <cellStyle name="Normal 11 16 2 2" xfId="9827"/>
    <cellStyle name="Normal 11 16 3" xfId="8481"/>
    <cellStyle name="Normal 11 17" xfId="5145"/>
    <cellStyle name="Normal 11 17 2" xfId="5146"/>
    <cellStyle name="Normal 11 17 2 2" xfId="9828"/>
    <cellStyle name="Normal 11 17 3" xfId="8482"/>
    <cellStyle name="Normal 11 18" xfId="5147"/>
    <cellStyle name="Normal 11 18 2" xfId="10799"/>
    <cellStyle name="Normal 11 19" xfId="5148"/>
    <cellStyle name="Normal 11 2" xfId="155"/>
    <cellStyle name="Normal 11 2 2" xfId="5150"/>
    <cellStyle name="Normal 11 2 2 2" xfId="10885"/>
    <cellStyle name="Normal 11 2 3" xfId="5151"/>
    <cellStyle name="Normal 11 2 3 2" xfId="10816"/>
    <cellStyle name="Normal 11 2 4" xfId="5152"/>
    <cellStyle name="Normal 11 2 5" xfId="5149"/>
    <cellStyle name="Normal 11 2 6" xfId="8483"/>
    <cellStyle name="Normal 11 20" xfId="5153"/>
    <cellStyle name="Normal 11 20 2" xfId="12218"/>
    <cellStyle name="Normal 11 21" xfId="5134"/>
    <cellStyle name="Normal 11 22" xfId="9772"/>
    <cellStyle name="Normal 11 3" xfId="156"/>
    <cellStyle name="Normal 11 3 2" xfId="5155"/>
    <cellStyle name="Normal 11 3 3" xfId="5156"/>
    <cellStyle name="Normal 11 3 4" xfId="5154"/>
    <cellStyle name="Normal 11 3 5" xfId="8484"/>
    <cellStyle name="Normal 11 4" xfId="157"/>
    <cellStyle name="Normal 11 4 2" xfId="5158"/>
    <cellStyle name="Normal 11 4 3" xfId="5159"/>
    <cellStyle name="Normal 11 4 4" xfId="5157"/>
    <cellStyle name="Normal 11 4 5" xfId="8485"/>
    <cellStyle name="Normal 11 5" xfId="158"/>
    <cellStyle name="Normal 11 5 2" xfId="5161"/>
    <cellStyle name="Normal 11 5 3" xfId="5162"/>
    <cellStyle name="Normal 11 5 4" xfId="5160"/>
    <cellStyle name="Normal 11 5 5" xfId="8486"/>
    <cellStyle name="Normal 11 6" xfId="159"/>
    <cellStyle name="Normal 11 6 2" xfId="5164"/>
    <cellStyle name="Normal 11 6 3" xfId="5163"/>
    <cellStyle name="Normal 11 6 4" xfId="8487"/>
    <cellStyle name="Normal 11 7" xfId="160"/>
    <cellStyle name="Normal 11 7 2" xfId="5166"/>
    <cellStyle name="Normal 11 7 3" xfId="5165"/>
    <cellStyle name="Normal 11 7 4" xfId="8488"/>
    <cellStyle name="Normal 11 8" xfId="161"/>
    <cellStyle name="Normal 11 8 2" xfId="5168"/>
    <cellStyle name="Normal 11 8 3" xfId="5167"/>
    <cellStyle name="Normal 11 8 4" xfId="8489"/>
    <cellStyle name="Normal 11 9" xfId="162"/>
    <cellStyle name="Normal 11 9 2" xfId="5170"/>
    <cellStyle name="Normal 11 9 3" xfId="5169"/>
    <cellStyle name="Normal 11 9 4" xfId="8490"/>
    <cellStyle name="Normal 110" xfId="5171"/>
    <cellStyle name="Normal 110 2" xfId="11158"/>
    <cellStyle name="Normal 111" xfId="5172"/>
    <cellStyle name="Normal 111 2" xfId="11171"/>
    <cellStyle name="Normal 112" xfId="5173"/>
    <cellStyle name="Normal 112 2" xfId="11184"/>
    <cellStyle name="Normal 113" xfId="5174"/>
    <cellStyle name="Normal 113 2" xfId="11197"/>
    <cellStyle name="Normal 114" xfId="5175"/>
    <cellStyle name="Normal 114 2" xfId="11210"/>
    <cellStyle name="Normal 115" xfId="5176"/>
    <cellStyle name="Normal 115 2" xfId="11223"/>
    <cellStyle name="Normal 116" xfId="5177"/>
    <cellStyle name="Normal 116 2" xfId="11236"/>
    <cellStyle name="Normal 117" xfId="5178"/>
    <cellStyle name="Normal 117 2" xfId="11249"/>
    <cellStyle name="Normal 118" xfId="5179"/>
    <cellStyle name="Normal 118 2" xfId="11262"/>
    <cellStyle name="Normal 119" xfId="5180"/>
    <cellStyle name="Normal 119 2" xfId="11275"/>
    <cellStyle name="Normal 12" xfId="163"/>
    <cellStyle name="Normal 12 10" xfId="5182"/>
    <cellStyle name="Normal 12 11" xfId="5181"/>
    <cellStyle name="Normal 12 12" xfId="8491"/>
    <cellStyle name="Normal 12 2" xfId="164"/>
    <cellStyle name="Normal 12 2 2" xfId="5184"/>
    <cellStyle name="Normal 12 2 2 2" xfId="10883"/>
    <cellStyle name="Normal 12 2 3" xfId="5185"/>
    <cellStyle name="Normal 12 2 3 2" xfId="12025"/>
    <cellStyle name="Normal 12 2 4" xfId="5186"/>
    <cellStyle name="Normal 12 2 4 2" xfId="12026"/>
    <cellStyle name="Normal 12 2 5" xfId="5187"/>
    <cellStyle name="Normal 12 2 5 2" xfId="12037"/>
    <cellStyle name="Normal 12 2 6" xfId="5188"/>
    <cellStyle name="Normal 12 2 7" xfId="5183"/>
    <cellStyle name="Normal 12 2 8" xfId="10815"/>
    <cellStyle name="Normal 12 3" xfId="165"/>
    <cellStyle name="Normal 12 3 2" xfId="5190"/>
    <cellStyle name="Normal 12 3 3" xfId="5189"/>
    <cellStyle name="Normal 12 3 4" xfId="12022"/>
    <cellStyle name="Normal 12 4" xfId="166"/>
    <cellStyle name="Normal 12 4 2" xfId="5192"/>
    <cellStyle name="Normal 12 4 3" xfId="5191"/>
    <cellStyle name="Normal 12 4 4" xfId="12034"/>
    <cellStyle name="Normal 12 5" xfId="167"/>
    <cellStyle name="Normal 12 5 2" xfId="5194"/>
    <cellStyle name="Normal 12 5 3" xfId="5193"/>
    <cellStyle name="Normal 12 5 4" xfId="12035"/>
    <cellStyle name="Normal 12 6" xfId="168"/>
    <cellStyle name="Normal 12 6 2" xfId="5196"/>
    <cellStyle name="Normal 12 6 3" xfId="5195"/>
    <cellStyle name="Normal 12 7" xfId="169"/>
    <cellStyle name="Normal 12 7 2" xfId="5197"/>
    <cellStyle name="Normal 12 8" xfId="170"/>
    <cellStyle name="Normal 12 8 2" xfId="5198"/>
    <cellStyle name="Normal 12 9" xfId="171"/>
    <cellStyle name="Normal 12 9 2" xfId="5199"/>
    <cellStyle name="Normal 120" xfId="5200"/>
    <cellStyle name="Normal 120 2" xfId="5201"/>
    <cellStyle name="Normal 120 2 2" xfId="11288"/>
    <cellStyle name="Normal 120 3" xfId="10797"/>
    <cellStyle name="Normal 121" xfId="5202"/>
    <cellStyle name="Normal 121 2" xfId="11301"/>
    <cellStyle name="Normal 122" xfId="5203"/>
    <cellStyle name="Normal 122 2" xfId="11314"/>
    <cellStyle name="Normal 123" xfId="5204"/>
    <cellStyle name="Normal 123 2" xfId="11327"/>
    <cellStyle name="Normal 124" xfId="5205"/>
    <cellStyle name="Normal 124 2" xfId="11340"/>
    <cellStyle name="Normal 125" xfId="5206"/>
    <cellStyle name="Normal 125 2" xfId="11353"/>
    <cellStyle name="Normal 126" xfId="5207"/>
    <cellStyle name="Normal 126 2" xfId="11366"/>
    <cellStyle name="Normal 127" xfId="5208"/>
    <cellStyle name="Normal 127 2" xfId="11379"/>
    <cellStyle name="Normal 128" xfId="5209"/>
    <cellStyle name="Normal 128 2" xfId="11392"/>
    <cellStyle name="Normal 129" xfId="5210"/>
    <cellStyle name="Normal 129 2" xfId="11405"/>
    <cellStyle name="Normal 13" xfId="172"/>
    <cellStyle name="Normal 13 10" xfId="5212"/>
    <cellStyle name="Normal 13 11" xfId="5211"/>
    <cellStyle name="Normal 13 12" xfId="8492"/>
    <cellStyle name="Normal 13 2" xfId="173"/>
    <cellStyle name="Normal 13 2 2" xfId="5214"/>
    <cellStyle name="Normal 13 2 2 2" xfId="10877"/>
    <cellStyle name="Normal 13 2 3" xfId="5215"/>
    <cellStyle name="Normal 13 2 4" xfId="5213"/>
    <cellStyle name="Normal 13 2 5" xfId="10825"/>
    <cellStyle name="Normal 13 3" xfId="174"/>
    <cellStyle name="Normal 13 3 2" xfId="5217"/>
    <cellStyle name="Normal 13 3 3" xfId="5216"/>
    <cellStyle name="Normal 13 4" xfId="175"/>
    <cellStyle name="Normal 13 4 2" xfId="5219"/>
    <cellStyle name="Normal 13 4 3" xfId="5218"/>
    <cellStyle name="Normal 13 5" xfId="176"/>
    <cellStyle name="Normal 13 5 2" xfId="5221"/>
    <cellStyle name="Normal 13 5 3" xfId="5220"/>
    <cellStyle name="Normal 13 6" xfId="177"/>
    <cellStyle name="Normal 13 6 2" xfId="5223"/>
    <cellStyle name="Normal 13 6 3" xfId="5222"/>
    <cellStyle name="Normal 13 7" xfId="178"/>
    <cellStyle name="Normal 13 7 2" xfId="5224"/>
    <cellStyle name="Normal 13 8" xfId="179"/>
    <cellStyle name="Normal 13 8 2" xfId="5225"/>
    <cellStyle name="Normal 13 9" xfId="180"/>
    <cellStyle name="Normal 13 9 2" xfId="5226"/>
    <cellStyle name="Normal 130" xfId="5227"/>
    <cellStyle name="Normal 130 2" xfId="11418"/>
    <cellStyle name="Normal 131" xfId="5228"/>
    <cellStyle name="Normal 131 2" xfId="11431"/>
    <cellStyle name="Normal 132" xfId="5229"/>
    <cellStyle name="Normal 132 2" xfId="11444"/>
    <cellStyle name="Normal 133" xfId="5230"/>
    <cellStyle name="Normal 133 2" xfId="11457"/>
    <cellStyle name="Normal 134" xfId="5231"/>
    <cellStyle name="Normal 134 2" xfId="11470"/>
    <cellStyle name="Normal 135" xfId="5232"/>
    <cellStyle name="Normal 135 2" xfId="11495"/>
    <cellStyle name="Normal 136" xfId="5233"/>
    <cellStyle name="Normal 136 2" xfId="11496"/>
    <cellStyle name="Normal 137" xfId="5234"/>
    <cellStyle name="Normal 137 2" xfId="11509"/>
    <cellStyle name="Normal 138" xfId="5235"/>
    <cellStyle name="Normal 138 2" xfId="11522"/>
    <cellStyle name="Normal 139" xfId="5236"/>
    <cellStyle name="Normal 139 2" xfId="11535"/>
    <cellStyle name="Normal 14" xfId="181"/>
    <cellStyle name="Normal 14 10" xfId="5238"/>
    <cellStyle name="Normal 14 11" xfId="5237"/>
    <cellStyle name="Normal 14 12" xfId="8493"/>
    <cellStyle name="Normal 14 2" xfId="182"/>
    <cellStyle name="Normal 14 2 2" xfId="5240"/>
    <cellStyle name="Normal 14 2 2 2" xfId="10881"/>
    <cellStyle name="Normal 14 2 3" xfId="5241"/>
    <cellStyle name="Normal 14 2 4" xfId="5239"/>
    <cellStyle name="Normal 14 2 5" xfId="10846"/>
    <cellStyle name="Normal 14 3" xfId="183"/>
    <cellStyle name="Normal 14 3 2" xfId="5243"/>
    <cellStyle name="Normal 14 3 3" xfId="5242"/>
    <cellStyle name="Normal 14 4" xfId="184"/>
    <cellStyle name="Normal 14 4 2" xfId="5245"/>
    <cellStyle name="Normal 14 4 3" xfId="5244"/>
    <cellStyle name="Normal 14 5" xfId="185"/>
    <cellStyle name="Normal 14 5 2" xfId="5247"/>
    <cellStyle name="Normal 14 5 3" xfId="5246"/>
    <cellStyle name="Normal 14 6" xfId="186"/>
    <cellStyle name="Normal 14 6 2" xfId="5249"/>
    <cellStyle name="Normal 14 6 3" xfId="5248"/>
    <cellStyle name="Normal 14 7" xfId="187"/>
    <cellStyle name="Normal 14 7 2" xfId="5250"/>
    <cellStyle name="Normal 14 8" xfId="188"/>
    <cellStyle name="Normal 14 8 2" xfId="5251"/>
    <cellStyle name="Normal 14 9" xfId="189"/>
    <cellStyle name="Normal 14 9 2" xfId="5252"/>
    <cellStyle name="Normal 140" xfId="5253"/>
    <cellStyle name="Normal 140 2" xfId="11548"/>
    <cellStyle name="Normal 141" xfId="5254"/>
    <cellStyle name="Normal 141 2" xfId="11561"/>
    <cellStyle name="Normal 142" xfId="5255"/>
    <cellStyle name="Normal 142 2" xfId="11574"/>
    <cellStyle name="Normal 143" xfId="5256"/>
    <cellStyle name="Normal 143 2" xfId="11587"/>
    <cellStyle name="Normal 144" xfId="5257"/>
    <cellStyle name="Normal 144 2" xfId="11600"/>
    <cellStyle name="Normal 145" xfId="5258"/>
    <cellStyle name="Normal 145 2" xfId="11613"/>
    <cellStyle name="Normal 146" xfId="5259"/>
    <cellStyle name="Normal 146 2" xfId="11626"/>
    <cellStyle name="Normal 147" xfId="5260"/>
    <cellStyle name="Normal 147 2" xfId="11639"/>
    <cellStyle name="Normal 148" xfId="5261"/>
    <cellStyle name="Normal 148 2" xfId="11664"/>
    <cellStyle name="Normal 149" xfId="5262"/>
    <cellStyle name="Normal 149 2" xfId="11665"/>
    <cellStyle name="Normal 15" xfId="190"/>
    <cellStyle name="Normal 15 10" xfId="5264"/>
    <cellStyle name="Normal 15 11" xfId="5265"/>
    <cellStyle name="Normal 15 12" xfId="5263"/>
    <cellStyle name="Normal 15 13" xfId="8494"/>
    <cellStyle name="Normal 15 2" xfId="5266"/>
    <cellStyle name="Normal 15 2 2" xfId="5267"/>
    <cellStyle name="Normal 15 2 2 2" xfId="5268"/>
    <cellStyle name="Normal 15 2 2 2 2" xfId="10892"/>
    <cellStyle name="Normal 15 2 2 3" xfId="8496"/>
    <cellStyle name="Normal 15 2 3" xfId="5269"/>
    <cellStyle name="Normal 15 2 3 2" xfId="8497"/>
    <cellStyle name="Normal 15 2 4" xfId="5270"/>
    <cellStyle name="Normal 15 2 4 2" xfId="8498"/>
    <cellStyle name="Normal 15 2 5" xfId="5271"/>
    <cellStyle name="Normal 15 2 5 2" xfId="10835"/>
    <cellStyle name="Normal 15 2 6" xfId="8495"/>
    <cellStyle name="Normal 15 2_Q410 Novosibirsk" xfId="5272"/>
    <cellStyle name="Normal 15 3" xfId="5273"/>
    <cellStyle name="Normal 15 4" xfId="5274"/>
    <cellStyle name="Normal 15 5" xfId="5275"/>
    <cellStyle name="Normal 15 6" xfId="5276"/>
    <cellStyle name="Normal 15 7" xfId="5277"/>
    <cellStyle name="Normal 15 8" xfId="5278"/>
    <cellStyle name="Normal 15 9" xfId="5279"/>
    <cellStyle name="Normal 15_Q410 Novosibirsk" xfId="5280"/>
    <cellStyle name="Normal 150" xfId="5281"/>
    <cellStyle name="Normal 150 2" xfId="11678"/>
    <cellStyle name="Normal 151" xfId="5282"/>
    <cellStyle name="Normal 151 2" xfId="11691"/>
    <cellStyle name="Normal 152" xfId="5283"/>
    <cellStyle name="Normal 152 2" xfId="11704"/>
    <cellStyle name="Normal 153" xfId="5284"/>
    <cellStyle name="Normal 153 2" xfId="11717"/>
    <cellStyle name="Normal 154" xfId="5285"/>
    <cellStyle name="Normal 154 2" xfId="11730"/>
    <cellStyle name="Normal 155" xfId="5286"/>
    <cellStyle name="Normal 155 2" xfId="11743"/>
    <cellStyle name="Normal 156" xfId="5287"/>
    <cellStyle name="Normal 156 2" xfId="11756"/>
    <cellStyle name="Normal 157" xfId="5288"/>
    <cellStyle name="Normal 157 2" xfId="11769"/>
    <cellStyle name="Normal 158" xfId="5289"/>
    <cellStyle name="Normal 158 2" xfId="11782"/>
    <cellStyle name="Normal 159" xfId="5290"/>
    <cellStyle name="Normal 159 2" xfId="11795"/>
    <cellStyle name="Normal 16" xfId="191"/>
    <cellStyle name="Normal 16 10" xfId="5292"/>
    <cellStyle name="Normal 16 11" xfId="5293"/>
    <cellStyle name="Normal 16 12" xfId="5291"/>
    <cellStyle name="Normal 16 13" xfId="8499"/>
    <cellStyle name="Normal 16 2" xfId="5294"/>
    <cellStyle name="Normal 16 2 2" xfId="5295"/>
    <cellStyle name="Normal 16 2 2 2" xfId="5296"/>
    <cellStyle name="Normal 16 2 2 2 2" xfId="10902"/>
    <cellStyle name="Normal 16 2 2 3" xfId="8501"/>
    <cellStyle name="Normal 16 2 3" xfId="5297"/>
    <cellStyle name="Normal 16 2 3 2" xfId="8502"/>
    <cellStyle name="Normal 16 2 4" xfId="5298"/>
    <cellStyle name="Normal 16 2 4 2" xfId="8503"/>
    <cellStyle name="Normal 16 2 5" xfId="5299"/>
    <cellStyle name="Normal 16 2 5 2" xfId="10833"/>
    <cellStyle name="Normal 16 2 6" xfId="8500"/>
    <cellStyle name="Normal 16 2_Q410 Novosibirsk" xfId="5300"/>
    <cellStyle name="Normal 16 3" xfId="5301"/>
    <cellStyle name="Normal 16 4" xfId="5302"/>
    <cellStyle name="Normal 16 5" xfId="5303"/>
    <cellStyle name="Normal 16 6" xfId="5304"/>
    <cellStyle name="Normal 16 7" xfId="5305"/>
    <cellStyle name="Normal 16 8" xfId="5306"/>
    <cellStyle name="Normal 16 9" xfId="5307"/>
    <cellStyle name="Normal 16_Q410 Novosibirsk" xfId="5308"/>
    <cellStyle name="Normal 160" xfId="5309"/>
    <cellStyle name="Normal 160 2" xfId="11808"/>
    <cellStyle name="Normal 161" xfId="5310"/>
    <cellStyle name="Normal 161 2" xfId="11821"/>
    <cellStyle name="Normal 162" xfId="5311"/>
    <cellStyle name="Normal 162 2" xfId="11846"/>
    <cellStyle name="Normal 163" xfId="5312"/>
    <cellStyle name="Normal 163 2" xfId="11847"/>
    <cellStyle name="Normal 164" xfId="5313"/>
    <cellStyle name="Normal 164 2" xfId="11860"/>
    <cellStyle name="Normal 165" xfId="5314"/>
    <cellStyle name="Normal 165 2" xfId="11873"/>
    <cellStyle name="Normal 166" xfId="5315"/>
    <cellStyle name="Normal 166 2" xfId="11886"/>
    <cellStyle name="Normal 167" xfId="5316"/>
    <cellStyle name="Normal 167 2" xfId="11899"/>
    <cellStyle name="Normal 168" xfId="5317"/>
    <cellStyle name="Normal 168 2" xfId="11912"/>
    <cellStyle name="Normal 169" xfId="5318"/>
    <cellStyle name="Normal 169 2" xfId="11925"/>
    <cellStyle name="Normal 17" xfId="192"/>
    <cellStyle name="Normal 17 10" xfId="5320"/>
    <cellStyle name="Normal 17 11" xfId="5321"/>
    <cellStyle name="Normal 17 12" xfId="5319"/>
    <cellStyle name="Normal 17 13" xfId="8504"/>
    <cellStyle name="Normal 17 2" xfId="5322"/>
    <cellStyle name="Normal 17 2 2" xfId="5323"/>
    <cellStyle name="Normal 17 2 2 2" xfId="5324"/>
    <cellStyle name="Normal 17 2 2 2 2" xfId="10896"/>
    <cellStyle name="Normal 17 2 2 3" xfId="8506"/>
    <cellStyle name="Normal 17 2 3" xfId="5325"/>
    <cellStyle name="Normal 17 2 3 2" xfId="8507"/>
    <cellStyle name="Normal 17 2 4" xfId="5326"/>
    <cellStyle name="Normal 17 2 4 2" xfId="8508"/>
    <cellStyle name="Normal 17 2 5" xfId="5327"/>
    <cellStyle name="Normal 17 2 5 2" xfId="10841"/>
    <cellStyle name="Normal 17 2 6" xfId="8505"/>
    <cellStyle name="Normal 17 2_Q410 Novosibirsk" xfId="5328"/>
    <cellStyle name="Normal 17 3" xfId="5329"/>
    <cellStyle name="Normal 17 4" xfId="5330"/>
    <cellStyle name="Normal 17 5" xfId="5331"/>
    <cellStyle name="Normal 17 6" xfId="5332"/>
    <cellStyle name="Normal 17 7" xfId="5333"/>
    <cellStyle name="Normal 17 8" xfId="5334"/>
    <cellStyle name="Normal 17 9" xfId="5335"/>
    <cellStyle name="Normal 17_Q410 Novosibirsk" xfId="5336"/>
    <cellStyle name="Normal 170" xfId="5337"/>
    <cellStyle name="Normal 170 2" xfId="11939"/>
    <cellStyle name="Normal 171" xfId="5338"/>
    <cellStyle name="Normal 171 2" xfId="11953"/>
    <cellStyle name="Normal 172" xfId="5339"/>
    <cellStyle name="Normal 172 2" xfId="11967"/>
    <cellStyle name="Normal 173" xfId="5340"/>
    <cellStyle name="Normal 173 2" xfId="11981"/>
    <cellStyle name="Normal 174" xfId="5341"/>
    <cellStyle name="Normal 174 2" xfId="11995"/>
    <cellStyle name="Normal 175" xfId="430"/>
    <cellStyle name="Normal 18" xfId="193"/>
    <cellStyle name="Normal 18 10" xfId="5343"/>
    <cellStyle name="Normal 18 11" xfId="5344"/>
    <cellStyle name="Normal 18 12" xfId="5342"/>
    <cellStyle name="Normal 18 13" xfId="8509"/>
    <cellStyle name="Normal 18 2" xfId="5345"/>
    <cellStyle name="Normal 18 2 2" xfId="5346"/>
    <cellStyle name="Normal 18 2 2 2" xfId="5347"/>
    <cellStyle name="Normal 18 2 2 2 2" xfId="10886"/>
    <cellStyle name="Normal 18 2 2 3" xfId="8511"/>
    <cellStyle name="Normal 18 2 3" xfId="5348"/>
    <cellStyle name="Normal 18 2 3 2" xfId="8512"/>
    <cellStyle name="Normal 18 2 4" xfId="5349"/>
    <cellStyle name="Normal 18 2 4 2" xfId="8513"/>
    <cellStyle name="Normal 18 2 5" xfId="5350"/>
    <cellStyle name="Normal 18 2 5 2" xfId="10832"/>
    <cellStyle name="Normal 18 2 6" xfId="8510"/>
    <cellStyle name="Normal 18 2_Q410 Novosibirsk" xfId="5351"/>
    <cellStyle name="Normal 18 3" xfId="5352"/>
    <cellStyle name="Normal 18 4" xfId="5353"/>
    <cellStyle name="Normal 18 5" xfId="5354"/>
    <cellStyle name="Normal 18 6" xfId="5355"/>
    <cellStyle name="Normal 18 7" xfId="5356"/>
    <cellStyle name="Normal 18 8" xfId="5357"/>
    <cellStyle name="Normal 18 9" xfId="5358"/>
    <cellStyle name="Normal 18_Q410 Novosibirsk" xfId="5359"/>
    <cellStyle name="Normal 19" xfId="194"/>
    <cellStyle name="Normal 19 10" xfId="5361"/>
    <cellStyle name="Normal 19 11" xfId="5362"/>
    <cellStyle name="Normal 19 12" xfId="5360"/>
    <cellStyle name="Normal 19 13" xfId="8514"/>
    <cellStyle name="Normal 19 2" xfId="5363"/>
    <cellStyle name="Normal 19 2 2" xfId="5364"/>
    <cellStyle name="Normal 19 2 2 2" xfId="5365"/>
    <cellStyle name="Normal 19 2 2 2 2" xfId="10898"/>
    <cellStyle name="Normal 19 2 2 3" xfId="8516"/>
    <cellStyle name="Normal 19 2 3" xfId="5366"/>
    <cellStyle name="Normal 19 2 3 2" xfId="8517"/>
    <cellStyle name="Normal 19 2 4" xfId="5367"/>
    <cellStyle name="Normal 19 2 4 2" xfId="8518"/>
    <cellStyle name="Normal 19 2 5" xfId="5368"/>
    <cellStyle name="Normal 19 2 5 2" xfId="10845"/>
    <cellStyle name="Normal 19 2 6" xfId="8515"/>
    <cellStyle name="Normal 19 2_Q410 Novosibirsk" xfId="5369"/>
    <cellStyle name="Normal 19 3" xfId="5370"/>
    <cellStyle name="Normal 19 4" xfId="5371"/>
    <cellStyle name="Normal 19 5" xfId="5372"/>
    <cellStyle name="Normal 19 6" xfId="5373"/>
    <cellStyle name="Normal 19 7" xfId="5374"/>
    <cellStyle name="Normal 19 8" xfId="5375"/>
    <cellStyle name="Normal 19 9" xfId="5376"/>
    <cellStyle name="Normal 19_Q410 Novosibirsk" xfId="5377"/>
    <cellStyle name="Normal 2" xfId="74"/>
    <cellStyle name="Normal 2 10" xfId="5379"/>
    <cellStyle name="Normal 2 10 2" xfId="5380"/>
    <cellStyle name="Normal 2 10 2 2" xfId="5381"/>
    <cellStyle name="Normal 2 10 2 2 2" xfId="9830"/>
    <cellStyle name="Normal 2 10 2 3" xfId="8520"/>
    <cellStyle name="Normal 2 10 3" xfId="5382"/>
    <cellStyle name="Normal 2 10 3 2" xfId="5383"/>
    <cellStyle name="Normal 2 10 3 2 2" xfId="9831"/>
    <cellStyle name="Normal 2 10 3 3" xfId="8521"/>
    <cellStyle name="Normal 2 10 4" xfId="5384"/>
    <cellStyle name="Normal 2 10 4 2" xfId="5385"/>
    <cellStyle name="Normal 2 10 4 2 2" xfId="9832"/>
    <cellStyle name="Normal 2 10 4 3" xfId="8522"/>
    <cellStyle name="Normal 2 10 5" xfId="5386"/>
    <cellStyle name="Normal 2 10 5 2" xfId="5387"/>
    <cellStyle name="Normal 2 10 5 2 2" xfId="9833"/>
    <cellStyle name="Normal 2 10 5 3" xfId="8523"/>
    <cellStyle name="Normal 2 10 6" xfId="5388"/>
    <cellStyle name="Normal 2 10 6 2" xfId="9829"/>
    <cellStyle name="Normal 2 10 7" xfId="8519"/>
    <cellStyle name="Normal 2 10_Cities" xfId="5389"/>
    <cellStyle name="Normal 2 11" xfId="5390"/>
    <cellStyle name="Normal 2 11 2" xfId="5391"/>
    <cellStyle name="Normal 2 11 2 2" xfId="5392"/>
    <cellStyle name="Normal 2 11 2 2 2" xfId="9835"/>
    <cellStyle name="Normal 2 11 2 3" xfId="8525"/>
    <cellStyle name="Normal 2 11 3" xfId="5393"/>
    <cellStyle name="Normal 2 11 3 2" xfId="5394"/>
    <cellStyle name="Normal 2 11 3 2 2" xfId="9836"/>
    <cellStyle name="Normal 2 11 3 3" xfId="8526"/>
    <cellStyle name="Normal 2 11 4" xfId="5395"/>
    <cellStyle name="Normal 2 11 4 2" xfId="5396"/>
    <cellStyle name="Normal 2 11 4 2 2" xfId="9837"/>
    <cellStyle name="Normal 2 11 4 3" xfId="8527"/>
    <cellStyle name="Normal 2 11 5" xfId="5397"/>
    <cellStyle name="Normal 2 11 5 2" xfId="5398"/>
    <cellStyle name="Normal 2 11 5 2 2" xfId="9838"/>
    <cellStyle name="Normal 2 11 5 3" xfId="8528"/>
    <cellStyle name="Normal 2 11 6" xfId="5399"/>
    <cellStyle name="Normal 2 11 6 2" xfId="9834"/>
    <cellStyle name="Normal 2 11 7" xfId="8524"/>
    <cellStyle name="Normal 2 11_Cities" xfId="5400"/>
    <cellStyle name="Normal 2 12" xfId="5401"/>
    <cellStyle name="Normal 2 12 2" xfId="5402"/>
    <cellStyle name="Normal 2 12 2 2" xfId="5403"/>
    <cellStyle name="Normal 2 12 2 2 2" xfId="9840"/>
    <cellStyle name="Normal 2 12 2 3" xfId="8530"/>
    <cellStyle name="Normal 2 12 3" xfId="5404"/>
    <cellStyle name="Normal 2 12 3 2" xfId="5405"/>
    <cellStyle name="Normal 2 12 3 2 2" xfId="9841"/>
    <cellStyle name="Normal 2 12 3 3" xfId="8531"/>
    <cellStyle name="Normal 2 12 4" xfId="5406"/>
    <cellStyle name="Normal 2 12 4 2" xfId="5407"/>
    <cellStyle name="Normal 2 12 4 2 2" xfId="9842"/>
    <cellStyle name="Normal 2 12 4 3" xfId="8532"/>
    <cellStyle name="Normal 2 12 5" xfId="5408"/>
    <cellStyle name="Normal 2 12 5 2" xfId="5409"/>
    <cellStyle name="Normal 2 12 5 2 2" xfId="9843"/>
    <cellStyle name="Normal 2 12 5 3" xfId="8533"/>
    <cellStyle name="Normal 2 12 6" xfId="5410"/>
    <cellStyle name="Normal 2 12 6 2" xfId="9839"/>
    <cellStyle name="Normal 2 12 7" xfId="8529"/>
    <cellStyle name="Normal 2 12_Cities" xfId="5411"/>
    <cellStyle name="Normal 2 13" xfId="5412"/>
    <cellStyle name="Normal 2 13 2" xfId="5413"/>
    <cellStyle name="Normal 2 13 2 2" xfId="5414"/>
    <cellStyle name="Normal 2 13 2 2 2" xfId="9845"/>
    <cellStyle name="Normal 2 13 2 3" xfId="8535"/>
    <cellStyle name="Normal 2 13 3" xfId="5415"/>
    <cellStyle name="Normal 2 13 3 2" xfId="5416"/>
    <cellStyle name="Normal 2 13 3 2 2" xfId="9846"/>
    <cellStyle name="Normal 2 13 3 3" xfId="8536"/>
    <cellStyle name="Normal 2 13 4" xfId="5417"/>
    <cellStyle name="Normal 2 13 4 2" xfId="5418"/>
    <cellStyle name="Normal 2 13 4 2 2" xfId="9847"/>
    <cellStyle name="Normal 2 13 4 3" xfId="8537"/>
    <cellStyle name="Normal 2 13 5" xfId="5419"/>
    <cellStyle name="Normal 2 13 5 2" xfId="5420"/>
    <cellStyle name="Normal 2 13 5 2 2" xfId="9848"/>
    <cellStyle name="Normal 2 13 5 3" xfId="8538"/>
    <cellStyle name="Normal 2 13 6" xfId="5421"/>
    <cellStyle name="Normal 2 13 6 2" xfId="9844"/>
    <cellStyle name="Normal 2 13 7" xfId="8534"/>
    <cellStyle name="Normal 2 13_Cities" xfId="5422"/>
    <cellStyle name="Normal 2 14" xfId="5423"/>
    <cellStyle name="Normal 2 14 2" xfId="5424"/>
    <cellStyle name="Normal 2 14 2 2" xfId="5425"/>
    <cellStyle name="Normal 2 14 2 2 2" xfId="9850"/>
    <cellStyle name="Normal 2 14 2 3" xfId="8540"/>
    <cellStyle name="Normal 2 14 3" xfId="5426"/>
    <cellStyle name="Normal 2 14 3 2" xfId="5427"/>
    <cellStyle name="Normal 2 14 3 2 2" xfId="9851"/>
    <cellStyle name="Normal 2 14 3 3" xfId="8541"/>
    <cellStyle name="Normal 2 14 4" xfId="5428"/>
    <cellStyle name="Normal 2 14 4 2" xfId="5429"/>
    <cellStyle name="Normal 2 14 4 2 2" xfId="9852"/>
    <cellStyle name="Normal 2 14 4 3" xfId="8542"/>
    <cellStyle name="Normal 2 14 5" xfId="5430"/>
    <cellStyle name="Normal 2 14 5 2" xfId="5431"/>
    <cellStyle name="Normal 2 14 5 2 2" xfId="9853"/>
    <cellStyle name="Normal 2 14 5 3" xfId="8543"/>
    <cellStyle name="Normal 2 14 6" xfId="5432"/>
    <cellStyle name="Normal 2 14 6 2" xfId="9849"/>
    <cellStyle name="Normal 2 14 7" xfId="8539"/>
    <cellStyle name="Normal 2 14_Cities" xfId="5433"/>
    <cellStyle name="Normal 2 15" xfId="5434"/>
    <cellStyle name="Normal 2 15 2" xfId="5435"/>
    <cellStyle name="Normal 2 15 2 2" xfId="9854"/>
    <cellStyle name="Normal 2 15 3" xfId="8544"/>
    <cellStyle name="Normal 2 16" xfId="5436"/>
    <cellStyle name="Normal 2 16 2" xfId="5437"/>
    <cellStyle name="Normal 2 16 2 2" xfId="9855"/>
    <cellStyle name="Normal 2 16 3" xfId="8545"/>
    <cellStyle name="Normal 2 17" xfId="5438"/>
    <cellStyle name="Normal 2 17 2" xfId="5439"/>
    <cellStyle name="Normal 2 17 2 2" xfId="9856"/>
    <cellStyle name="Normal 2 17 3" xfId="8546"/>
    <cellStyle name="Normal 2 18" xfId="5440"/>
    <cellStyle name="Normal 2 18 2" xfId="5441"/>
    <cellStyle name="Normal 2 18 2 2" xfId="9857"/>
    <cellStyle name="Normal 2 18 3" xfId="8547"/>
    <cellStyle name="Normal 2 19" xfId="5442"/>
    <cellStyle name="Normal 2 19 2" xfId="5443"/>
    <cellStyle name="Normal 2 19 2 2" xfId="9858"/>
    <cellStyle name="Normal 2 19 3" xfId="8548"/>
    <cellStyle name="Normal 2 2" xfId="195"/>
    <cellStyle name="Normal 2 2 2" xfId="5445"/>
    <cellStyle name="Normal 2 2 2 2" xfId="5446"/>
    <cellStyle name="Normal 2 2 2 2 2" xfId="5447"/>
    <cellStyle name="Normal 2 2 2 2 3" xfId="9859"/>
    <cellStyle name="Normal 2 2 2 3" xfId="5448"/>
    <cellStyle name="Normal 2 2 2 3 2" xfId="10814"/>
    <cellStyle name="Normal 2 2 2 4" xfId="8550"/>
    <cellStyle name="Normal 2 2 3" xfId="5449"/>
    <cellStyle name="Normal 2 2 3 2" xfId="5450"/>
    <cellStyle name="Normal 2 2 3 2 2" xfId="9860"/>
    <cellStyle name="Normal 2 2 3 3" xfId="5451"/>
    <cellStyle name="Normal 2 2 3 4" xfId="8551"/>
    <cellStyle name="Normal 2 2 4" xfId="5452"/>
    <cellStyle name="Normal 2 2 4 2" xfId="5453"/>
    <cellStyle name="Normal 2 2 4 2 2" xfId="9861"/>
    <cellStyle name="Normal 2 2 4 3" xfId="5454"/>
    <cellStyle name="Normal 2 2 4 4" xfId="8552"/>
    <cellStyle name="Normal 2 2 5" xfId="5455"/>
    <cellStyle name="Normal 2 2 5 2" xfId="5456"/>
    <cellStyle name="Normal 2 2 5 2 2" xfId="9862"/>
    <cellStyle name="Normal 2 2 5 3" xfId="8553"/>
    <cellStyle name="Normal 2 2 6" xfId="5457"/>
    <cellStyle name="Normal 2 2 7" xfId="5444"/>
    <cellStyle name="Normal 2 2 8" xfId="8549"/>
    <cellStyle name="Normal 2 2_Cities" xfId="5458"/>
    <cellStyle name="Normal 2 20" xfId="5459"/>
    <cellStyle name="Normal 2 20 2" xfId="5460"/>
    <cellStyle name="Normal 2 20 2 2" xfId="9863"/>
    <cellStyle name="Normal 2 20 3" xfId="8554"/>
    <cellStyle name="Normal 2 21" xfId="5461"/>
    <cellStyle name="Normal 2 21 2" xfId="5462"/>
    <cellStyle name="Normal 2 21 2 2" xfId="9864"/>
    <cellStyle name="Normal 2 21 3" xfId="8555"/>
    <cellStyle name="Normal 2 22" xfId="5463"/>
    <cellStyle name="Normal 2 22 2" xfId="5464"/>
    <cellStyle name="Normal 2 22 2 2" xfId="9865"/>
    <cellStyle name="Normal 2 22 3" xfId="8556"/>
    <cellStyle name="Normal 2 23" xfId="5465"/>
    <cellStyle name="Normal 2 23 2" xfId="5466"/>
    <cellStyle name="Normal 2 23 2 2" xfId="9866"/>
    <cellStyle name="Normal 2 23 3" xfId="8557"/>
    <cellStyle name="Normal 2 24" xfId="5467"/>
    <cellStyle name="Normal 2 24 2" xfId="5468"/>
    <cellStyle name="Normal 2 24 2 2" xfId="9867"/>
    <cellStyle name="Normal 2 24 3" xfId="8558"/>
    <cellStyle name="Normal 2 25" xfId="5469"/>
    <cellStyle name="Normal 2 25 2" xfId="5470"/>
    <cellStyle name="Normal 2 25 2 2" xfId="9868"/>
    <cellStyle name="Normal 2 25 3" xfId="8559"/>
    <cellStyle name="Normal 2 26" xfId="5471"/>
    <cellStyle name="Normal 2 26 2" xfId="5472"/>
    <cellStyle name="Normal 2 26 2 2" xfId="9869"/>
    <cellStyle name="Normal 2 26 3" xfId="8560"/>
    <cellStyle name="Normal 2 27" xfId="5473"/>
    <cellStyle name="Normal 2 27 2" xfId="5474"/>
    <cellStyle name="Normal 2 27 2 2" xfId="9870"/>
    <cellStyle name="Normal 2 27 3" xfId="8561"/>
    <cellStyle name="Normal 2 28" xfId="5475"/>
    <cellStyle name="Normal 2 28 2" xfId="5476"/>
    <cellStyle name="Normal 2 28 2 2" xfId="9871"/>
    <cellStyle name="Normal 2 28 3" xfId="8562"/>
    <cellStyle name="Normal 2 29" xfId="5477"/>
    <cellStyle name="Normal 2 29 2" xfId="5478"/>
    <cellStyle name="Normal 2 29 2 2" xfId="9872"/>
    <cellStyle name="Normal 2 29 3" xfId="8563"/>
    <cellStyle name="Normal 2 3" xfId="266"/>
    <cellStyle name="Normal 2 3 2" xfId="5480"/>
    <cellStyle name="Normal 2 3 2 2" xfId="5481"/>
    <cellStyle name="Normal 2 3 2 2 2" xfId="5482"/>
    <cellStyle name="Normal 2 3 2 2 3" xfId="9873"/>
    <cellStyle name="Normal 2 3 2 3" xfId="8565"/>
    <cellStyle name="Normal 2 3 3" xfId="5483"/>
    <cellStyle name="Normal 2 3 3 2" xfId="5484"/>
    <cellStyle name="Normal 2 3 3 2 2" xfId="9874"/>
    <cellStyle name="Normal 2 3 3 3" xfId="5485"/>
    <cellStyle name="Normal 2 3 3 4" xfId="8566"/>
    <cellStyle name="Normal 2 3 4" xfId="5486"/>
    <cellStyle name="Normal 2 3 4 2" xfId="5487"/>
    <cellStyle name="Normal 2 3 4 2 2" xfId="9875"/>
    <cellStyle name="Normal 2 3 4 3" xfId="5488"/>
    <cellStyle name="Normal 2 3 4 4" xfId="8567"/>
    <cellStyle name="Normal 2 3 5" xfId="5489"/>
    <cellStyle name="Normal 2 3 5 2" xfId="5490"/>
    <cellStyle name="Normal 2 3 5 2 2" xfId="9876"/>
    <cellStyle name="Normal 2 3 5 3" xfId="8568"/>
    <cellStyle name="Normal 2 3 6" xfId="5491"/>
    <cellStyle name="Normal 2 3 7" xfId="5479"/>
    <cellStyle name="Normal 2 3 7 2" xfId="12180"/>
    <cellStyle name="Normal 2 3 8" xfId="8564"/>
    <cellStyle name="Normal 2 3_Cities" xfId="5492"/>
    <cellStyle name="Normal 2 30" xfId="5493"/>
    <cellStyle name="Normal 2 30 2" xfId="5494"/>
    <cellStyle name="Normal 2 30 2 2" xfId="9877"/>
    <cellStyle name="Normal 2 30 3" xfId="8569"/>
    <cellStyle name="Normal 2 31" xfId="5495"/>
    <cellStyle name="Normal 2 31 2" xfId="5496"/>
    <cellStyle name="Normal 2 31 2 2" xfId="9878"/>
    <cellStyle name="Normal 2 31 3" xfId="8570"/>
    <cellStyle name="Normal 2 32" xfId="5497"/>
    <cellStyle name="Normal 2 32 2" xfId="5498"/>
    <cellStyle name="Normal 2 32 2 2" xfId="9879"/>
    <cellStyle name="Normal 2 32 3" xfId="8571"/>
    <cellStyle name="Normal 2 33" xfId="5499"/>
    <cellStyle name="Normal 2 33 2" xfId="5500"/>
    <cellStyle name="Normal 2 33 2 2" xfId="9880"/>
    <cellStyle name="Normal 2 33 3" xfId="8572"/>
    <cellStyle name="Normal 2 34" xfId="5501"/>
    <cellStyle name="Normal 2 34 2" xfId="5502"/>
    <cellStyle name="Normal 2 34 2 2" xfId="9881"/>
    <cellStyle name="Normal 2 34 3" xfId="8573"/>
    <cellStyle name="Normal 2 35" xfId="5503"/>
    <cellStyle name="Normal 2 35 2" xfId="5504"/>
    <cellStyle name="Normal 2 35 2 2" xfId="9882"/>
    <cellStyle name="Normal 2 35 3" xfId="8574"/>
    <cellStyle name="Normal 2 36" xfId="5505"/>
    <cellStyle name="Normal 2 36 2" xfId="5506"/>
    <cellStyle name="Normal 2 36 2 2" xfId="9883"/>
    <cellStyle name="Normal 2 36 3" xfId="8575"/>
    <cellStyle name="Normal 2 37" xfId="5507"/>
    <cellStyle name="Normal 2 37 2" xfId="5508"/>
    <cellStyle name="Normal 2 37 2 2" xfId="9884"/>
    <cellStyle name="Normal 2 37 3" xfId="8576"/>
    <cellStyle name="Normal 2 38" xfId="5509"/>
    <cellStyle name="Normal 2 38 2" xfId="5510"/>
    <cellStyle name="Normal 2 38 2 2" xfId="9885"/>
    <cellStyle name="Normal 2 38 3" xfId="8577"/>
    <cellStyle name="Normal 2 39" xfId="5511"/>
    <cellStyle name="Normal 2 39 2" xfId="5512"/>
    <cellStyle name="Normal 2 39 2 2" xfId="9886"/>
    <cellStyle name="Normal 2 39 3" xfId="8578"/>
    <cellStyle name="Normal 2 4" xfId="265"/>
    <cellStyle name="Normal 2 4 2" xfId="5514"/>
    <cellStyle name="Normal 2 4 2 2" xfId="5515"/>
    <cellStyle name="Normal 2 4 2 2 2" xfId="9887"/>
    <cellStyle name="Normal 2 4 2 3" xfId="8580"/>
    <cellStyle name="Normal 2 4 3" xfId="5516"/>
    <cellStyle name="Normal 2 4 3 2" xfId="5517"/>
    <cellStyle name="Normal 2 4 3 2 2" xfId="9888"/>
    <cellStyle name="Normal 2 4 3 3" xfId="8581"/>
    <cellStyle name="Normal 2 4 4" xfId="5518"/>
    <cellStyle name="Normal 2 4 4 2" xfId="5519"/>
    <cellStyle name="Normal 2 4 4 2 2" xfId="9889"/>
    <cellStyle name="Normal 2 4 4 3" xfId="8582"/>
    <cellStyle name="Normal 2 4 5" xfId="5520"/>
    <cellStyle name="Normal 2 4 5 2" xfId="5521"/>
    <cellStyle name="Normal 2 4 5 2 2" xfId="9890"/>
    <cellStyle name="Normal 2 4 5 3" xfId="8583"/>
    <cellStyle name="Normal 2 4 6" xfId="5522"/>
    <cellStyle name="Normal 2 4 7" xfId="5513"/>
    <cellStyle name="Normal 2 4 7 2" xfId="12181"/>
    <cellStyle name="Normal 2 4 8" xfId="8579"/>
    <cellStyle name="Normal 2 4_Cities" xfId="5523"/>
    <cellStyle name="Normal 2 40" xfId="5524"/>
    <cellStyle name="Normal 2 40 2" xfId="5525"/>
    <cellStyle name="Normal 2 40 2 2" xfId="9891"/>
    <cellStyle name="Normal 2 40 3" xfId="8584"/>
    <cellStyle name="Normal 2 41" xfId="5526"/>
    <cellStyle name="Normal 2 41 2" xfId="5527"/>
    <cellStyle name="Normal 2 41 2 2" xfId="9892"/>
    <cellStyle name="Normal 2 41 3" xfId="8585"/>
    <cellStyle name="Normal 2 42" xfId="5528"/>
    <cellStyle name="Normal 2 42 2" xfId="5529"/>
    <cellStyle name="Normal 2 42 2 2" xfId="9893"/>
    <cellStyle name="Normal 2 42 3" xfId="8586"/>
    <cellStyle name="Normal 2 43" xfId="5530"/>
    <cellStyle name="Normal 2 43 2" xfId="5531"/>
    <cellStyle name="Normal 2 43 2 2" xfId="9894"/>
    <cellStyle name="Normal 2 43 3" xfId="8587"/>
    <cellStyle name="Normal 2 44" xfId="5532"/>
    <cellStyle name="Normal 2 44 2" xfId="5533"/>
    <cellStyle name="Normal 2 44 2 2" xfId="9895"/>
    <cellStyle name="Normal 2 44 3" xfId="8588"/>
    <cellStyle name="Normal 2 45" xfId="5534"/>
    <cellStyle name="Normal 2 45 2" xfId="5535"/>
    <cellStyle name="Normal 2 45 2 2" xfId="9896"/>
    <cellStyle name="Normal 2 45 3" xfId="8589"/>
    <cellStyle name="Normal 2 46" xfId="5536"/>
    <cellStyle name="Normal 2 46 10" xfId="5537"/>
    <cellStyle name="Normal 2 46 10 2" xfId="5538"/>
    <cellStyle name="Normal 2 46 10 2 2" xfId="9898"/>
    <cellStyle name="Normal 2 46 10 3" xfId="8591"/>
    <cellStyle name="Normal 2 46 11" xfId="5539"/>
    <cellStyle name="Normal 2 46 11 2" xfId="5540"/>
    <cellStyle name="Normal 2 46 11 2 2" xfId="9899"/>
    <cellStyle name="Normal 2 46 11 3" xfId="8592"/>
    <cellStyle name="Normal 2 46 12" xfId="5541"/>
    <cellStyle name="Normal 2 46 12 2" xfId="5542"/>
    <cellStyle name="Normal 2 46 12 2 2" xfId="9900"/>
    <cellStyle name="Normal 2 46 12 3" xfId="8593"/>
    <cellStyle name="Normal 2 46 13" xfId="5543"/>
    <cellStyle name="Normal 2 46 13 2" xfId="5544"/>
    <cellStyle name="Normal 2 46 13 2 2" xfId="9901"/>
    <cellStyle name="Normal 2 46 13 3" xfId="8594"/>
    <cellStyle name="Normal 2 46 14" xfId="5545"/>
    <cellStyle name="Normal 2 46 14 2" xfId="5546"/>
    <cellStyle name="Normal 2 46 14 2 2" xfId="9902"/>
    <cellStyle name="Normal 2 46 14 3" xfId="8595"/>
    <cellStyle name="Normal 2 46 15" xfId="5547"/>
    <cellStyle name="Normal 2 46 15 2" xfId="5548"/>
    <cellStyle name="Normal 2 46 15 2 2" xfId="9903"/>
    <cellStyle name="Normal 2 46 15 3" xfId="8596"/>
    <cellStyle name="Normal 2 46 16" xfId="5549"/>
    <cellStyle name="Normal 2 46 16 2" xfId="5550"/>
    <cellStyle name="Normal 2 46 16 2 2" xfId="9904"/>
    <cellStyle name="Normal 2 46 16 3" xfId="8597"/>
    <cellStyle name="Normal 2 46 17" xfId="5551"/>
    <cellStyle name="Normal 2 46 17 2" xfId="5552"/>
    <cellStyle name="Normal 2 46 17 2 2" xfId="9905"/>
    <cellStyle name="Normal 2 46 17 3" xfId="8598"/>
    <cellStyle name="Normal 2 46 18" xfId="5553"/>
    <cellStyle name="Normal 2 46 18 2" xfId="5554"/>
    <cellStyle name="Normal 2 46 18 2 2" xfId="9906"/>
    <cellStyle name="Normal 2 46 18 3" xfId="8599"/>
    <cellStyle name="Normal 2 46 19" xfId="5555"/>
    <cellStyle name="Normal 2 46 19 2" xfId="5556"/>
    <cellStyle name="Normal 2 46 19 2 2" xfId="9907"/>
    <cellStyle name="Normal 2 46 19 3" xfId="8600"/>
    <cellStyle name="Normal 2 46 2" xfId="5557"/>
    <cellStyle name="Normal 2 46 2 2" xfId="5558"/>
    <cellStyle name="Normal 2 46 2 2 2" xfId="9908"/>
    <cellStyle name="Normal 2 46 2 3" xfId="8601"/>
    <cellStyle name="Normal 2 46 20" xfId="5559"/>
    <cellStyle name="Normal 2 46 20 2" xfId="5560"/>
    <cellStyle name="Normal 2 46 20 2 2" xfId="9909"/>
    <cellStyle name="Normal 2 46 20 3" xfId="8602"/>
    <cellStyle name="Normal 2 46 21" xfId="5561"/>
    <cellStyle name="Normal 2 46 21 2" xfId="5562"/>
    <cellStyle name="Normal 2 46 21 2 2" xfId="9910"/>
    <cellStyle name="Normal 2 46 21 3" xfId="8603"/>
    <cellStyle name="Normal 2 46 22" xfId="5563"/>
    <cellStyle name="Normal 2 46 22 2" xfId="5564"/>
    <cellStyle name="Normal 2 46 22 2 2" xfId="9911"/>
    <cellStyle name="Normal 2 46 22 3" xfId="8604"/>
    <cellStyle name="Normal 2 46 23" xfId="5565"/>
    <cellStyle name="Normal 2 46 23 2" xfId="5566"/>
    <cellStyle name="Normal 2 46 23 2 2" xfId="9912"/>
    <cellStyle name="Normal 2 46 23 3" xfId="8605"/>
    <cellStyle name="Normal 2 46 24" xfId="5567"/>
    <cellStyle name="Normal 2 46 24 2" xfId="5568"/>
    <cellStyle name="Normal 2 46 24 2 2" xfId="9913"/>
    <cellStyle name="Normal 2 46 24 3" xfId="8606"/>
    <cellStyle name="Normal 2 46 25" xfId="5569"/>
    <cellStyle name="Normal 2 46 25 2" xfId="5570"/>
    <cellStyle name="Normal 2 46 25 2 2" xfId="9914"/>
    <cellStyle name="Normal 2 46 25 3" xfId="8607"/>
    <cellStyle name="Normal 2 46 26" xfId="5571"/>
    <cellStyle name="Normal 2 46 26 2" xfId="5572"/>
    <cellStyle name="Normal 2 46 26 2 2" xfId="9915"/>
    <cellStyle name="Normal 2 46 26 3" xfId="8608"/>
    <cellStyle name="Normal 2 46 27" xfId="5573"/>
    <cellStyle name="Normal 2 46 27 2" xfId="5574"/>
    <cellStyle name="Normal 2 46 27 2 2" xfId="9916"/>
    <cellStyle name="Normal 2 46 27 3" xfId="8609"/>
    <cellStyle name="Normal 2 46 28" xfId="5575"/>
    <cellStyle name="Normal 2 46 28 2" xfId="5576"/>
    <cellStyle name="Normal 2 46 28 2 2" xfId="9917"/>
    <cellStyle name="Normal 2 46 28 3" xfId="8610"/>
    <cellStyle name="Normal 2 46 29" xfId="5577"/>
    <cellStyle name="Normal 2 46 29 2" xfId="5578"/>
    <cellStyle name="Normal 2 46 29 2 2" xfId="9918"/>
    <cellStyle name="Normal 2 46 29 3" xfId="8611"/>
    <cellStyle name="Normal 2 46 3" xfId="5579"/>
    <cellStyle name="Normal 2 46 3 2" xfId="5580"/>
    <cellStyle name="Normal 2 46 3 2 2" xfId="9919"/>
    <cellStyle name="Normal 2 46 3 3" xfId="8612"/>
    <cellStyle name="Normal 2 46 30" xfId="5581"/>
    <cellStyle name="Normal 2 46 30 2" xfId="5582"/>
    <cellStyle name="Normal 2 46 30 2 2" xfId="9920"/>
    <cellStyle name="Normal 2 46 30 3" xfId="8613"/>
    <cellStyle name="Normal 2 46 31" xfId="5583"/>
    <cellStyle name="Normal 2 46 31 2" xfId="9897"/>
    <cellStyle name="Normal 2 46 32" xfId="8590"/>
    <cellStyle name="Normal 2 46 4" xfId="5584"/>
    <cellStyle name="Normal 2 46 4 2" xfId="5585"/>
    <cellStyle name="Normal 2 46 4 2 2" xfId="9921"/>
    <cellStyle name="Normal 2 46 4 3" xfId="8614"/>
    <cellStyle name="Normal 2 46 5" xfId="5586"/>
    <cellStyle name="Normal 2 46 5 2" xfId="5587"/>
    <cellStyle name="Normal 2 46 5 2 2" xfId="9922"/>
    <cellStyle name="Normal 2 46 5 3" xfId="8615"/>
    <cellStyle name="Normal 2 46 6" xfId="5588"/>
    <cellStyle name="Normal 2 46 6 2" xfId="5589"/>
    <cellStyle name="Normal 2 46 6 2 2" xfId="9923"/>
    <cellStyle name="Normal 2 46 6 3" xfId="8616"/>
    <cellStyle name="Normal 2 46 7" xfId="5590"/>
    <cellStyle name="Normal 2 46 7 2" xfId="5591"/>
    <cellStyle name="Normal 2 46 7 2 2" xfId="9924"/>
    <cellStyle name="Normal 2 46 7 3" xfId="8617"/>
    <cellStyle name="Normal 2 46 8" xfId="5592"/>
    <cellStyle name="Normal 2 46 8 2" xfId="5593"/>
    <cellStyle name="Normal 2 46 8 2 2" xfId="9925"/>
    <cellStyle name="Normal 2 46 8 3" xfId="8618"/>
    <cellStyle name="Normal 2 46 9" xfId="5594"/>
    <cellStyle name="Normal 2 46 9 2" xfId="5595"/>
    <cellStyle name="Normal 2 46 9 2 2" xfId="9926"/>
    <cellStyle name="Normal 2 46 9 3" xfId="8619"/>
    <cellStyle name="Normal 2 46_Q410 Novosibirsk Master" xfId="5596"/>
    <cellStyle name="Normal 2 47" xfId="5597"/>
    <cellStyle name="Normal 2 47 10" xfId="5598"/>
    <cellStyle name="Normal 2 47 10 2" xfId="5599"/>
    <cellStyle name="Normal 2 47 10 2 2" xfId="9928"/>
    <cellStyle name="Normal 2 47 10 3" xfId="8621"/>
    <cellStyle name="Normal 2 47 11" xfId="5600"/>
    <cellStyle name="Normal 2 47 11 2" xfId="5601"/>
    <cellStyle name="Normal 2 47 11 2 2" xfId="9929"/>
    <cellStyle name="Normal 2 47 11 3" xfId="8622"/>
    <cellStyle name="Normal 2 47 12" xfId="5602"/>
    <cellStyle name="Normal 2 47 12 2" xfId="5603"/>
    <cellStyle name="Normal 2 47 12 2 2" xfId="9930"/>
    <cellStyle name="Normal 2 47 12 3" xfId="8623"/>
    <cellStyle name="Normal 2 47 13" xfId="5604"/>
    <cellStyle name="Normal 2 47 13 2" xfId="5605"/>
    <cellStyle name="Normal 2 47 13 2 2" xfId="9931"/>
    <cellStyle name="Normal 2 47 13 3" xfId="8624"/>
    <cellStyle name="Normal 2 47 14" xfId="5606"/>
    <cellStyle name="Normal 2 47 14 2" xfId="5607"/>
    <cellStyle name="Normal 2 47 14 2 2" xfId="9932"/>
    <cellStyle name="Normal 2 47 14 3" xfId="8625"/>
    <cellStyle name="Normal 2 47 15" xfId="5608"/>
    <cellStyle name="Normal 2 47 15 2" xfId="5609"/>
    <cellStyle name="Normal 2 47 15 2 2" xfId="9933"/>
    <cellStyle name="Normal 2 47 15 3" xfId="8626"/>
    <cellStyle name="Normal 2 47 16" xfId="5610"/>
    <cellStyle name="Normal 2 47 16 2" xfId="5611"/>
    <cellStyle name="Normal 2 47 16 2 2" xfId="9934"/>
    <cellStyle name="Normal 2 47 16 3" xfId="8627"/>
    <cellStyle name="Normal 2 47 17" xfId="5612"/>
    <cellStyle name="Normal 2 47 17 2" xfId="5613"/>
    <cellStyle name="Normal 2 47 17 2 2" xfId="9935"/>
    <cellStyle name="Normal 2 47 17 3" xfId="8628"/>
    <cellStyle name="Normal 2 47 18" xfId="5614"/>
    <cellStyle name="Normal 2 47 18 2" xfId="5615"/>
    <cellStyle name="Normal 2 47 18 2 2" xfId="9936"/>
    <cellStyle name="Normal 2 47 18 3" xfId="8629"/>
    <cellStyle name="Normal 2 47 19" xfId="5616"/>
    <cellStyle name="Normal 2 47 19 2" xfId="5617"/>
    <cellStyle name="Normal 2 47 19 2 2" xfId="9937"/>
    <cellStyle name="Normal 2 47 19 3" xfId="8630"/>
    <cellStyle name="Normal 2 47 2" xfId="5618"/>
    <cellStyle name="Normal 2 47 2 2" xfId="5619"/>
    <cellStyle name="Normal 2 47 2 2 2" xfId="9938"/>
    <cellStyle name="Normal 2 47 2 3" xfId="8631"/>
    <cellStyle name="Normal 2 47 20" xfId="5620"/>
    <cellStyle name="Normal 2 47 20 2" xfId="5621"/>
    <cellStyle name="Normal 2 47 20 2 2" xfId="9939"/>
    <cellStyle name="Normal 2 47 20 3" xfId="8632"/>
    <cellStyle name="Normal 2 47 21" xfId="5622"/>
    <cellStyle name="Normal 2 47 21 2" xfId="5623"/>
    <cellStyle name="Normal 2 47 21 2 2" xfId="9940"/>
    <cellStyle name="Normal 2 47 21 3" xfId="8633"/>
    <cellStyle name="Normal 2 47 22" xfId="5624"/>
    <cellStyle name="Normal 2 47 22 2" xfId="5625"/>
    <cellStyle name="Normal 2 47 22 2 2" xfId="9941"/>
    <cellStyle name="Normal 2 47 22 3" xfId="8634"/>
    <cellStyle name="Normal 2 47 23" xfId="5626"/>
    <cellStyle name="Normal 2 47 23 2" xfId="5627"/>
    <cellStyle name="Normal 2 47 23 2 2" xfId="9942"/>
    <cellStyle name="Normal 2 47 23 3" xfId="8635"/>
    <cellStyle name="Normal 2 47 24" xfId="5628"/>
    <cellStyle name="Normal 2 47 24 2" xfId="5629"/>
    <cellStyle name="Normal 2 47 24 2 2" xfId="9943"/>
    <cellStyle name="Normal 2 47 24 3" xfId="8636"/>
    <cellStyle name="Normal 2 47 25" xfId="5630"/>
    <cellStyle name="Normal 2 47 25 2" xfId="5631"/>
    <cellStyle name="Normal 2 47 25 2 2" xfId="9944"/>
    <cellStyle name="Normal 2 47 25 3" xfId="8637"/>
    <cellStyle name="Normal 2 47 26" xfId="5632"/>
    <cellStyle name="Normal 2 47 26 2" xfId="5633"/>
    <cellStyle name="Normal 2 47 26 2 2" xfId="9945"/>
    <cellStyle name="Normal 2 47 26 3" xfId="8638"/>
    <cellStyle name="Normal 2 47 27" xfId="5634"/>
    <cellStyle name="Normal 2 47 27 2" xfId="5635"/>
    <cellStyle name="Normal 2 47 27 2 2" xfId="9946"/>
    <cellStyle name="Normal 2 47 27 3" xfId="8639"/>
    <cellStyle name="Normal 2 47 28" xfId="5636"/>
    <cellStyle name="Normal 2 47 28 2" xfId="5637"/>
    <cellStyle name="Normal 2 47 28 2 2" xfId="9947"/>
    <cellStyle name="Normal 2 47 28 3" xfId="8640"/>
    <cellStyle name="Normal 2 47 29" xfId="5638"/>
    <cellStyle name="Normal 2 47 29 2" xfId="5639"/>
    <cellStyle name="Normal 2 47 29 2 2" xfId="9948"/>
    <cellStyle name="Normal 2 47 29 3" xfId="8641"/>
    <cellStyle name="Normal 2 47 3" xfId="5640"/>
    <cellStyle name="Normal 2 47 3 2" xfId="5641"/>
    <cellStyle name="Normal 2 47 3 2 2" xfId="9949"/>
    <cellStyle name="Normal 2 47 3 3" xfId="8642"/>
    <cellStyle name="Normal 2 47 30" xfId="5642"/>
    <cellStyle name="Normal 2 47 30 2" xfId="5643"/>
    <cellStyle name="Normal 2 47 30 2 2" xfId="9950"/>
    <cellStyle name="Normal 2 47 30 3" xfId="8643"/>
    <cellStyle name="Normal 2 47 31" xfId="5644"/>
    <cellStyle name="Normal 2 47 31 2" xfId="9927"/>
    <cellStyle name="Normal 2 47 32" xfId="8620"/>
    <cellStyle name="Normal 2 47 4" xfId="5645"/>
    <cellStyle name="Normal 2 47 4 2" xfId="5646"/>
    <cellStyle name="Normal 2 47 4 2 2" xfId="9951"/>
    <cellStyle name="Normal 2 47 4 3" xfId="8644"/>
    <cellStyle name="Normal 2 47 5" xfId="5647"/>
    <cellStyle name="Normal 2 47 5 2" xfId="5648"/>
    <cellStyle name="Normal 2 47 5 2 2" xfId="9952"/>
    <cellStyle name="Normal 2 47 5 3" xfId="8645"/>
    <cellStyle name="Normal 2 47 6" xfId="5649"/>
    <cellStyle name="Normal 2 47 6 2" xfId="5650"/>
    <cellStyle name="Normal 2 47 6 2 2" xfId="9953"/>
    <cellStyle name="Normal 2 47 6 3" xfId="8646"/>
    <cellStyle name="Normal 2 47 7" xfId="5651"/>
    <cellStyle name="Normal 2 47 7 2" xfId="5652"/>
    <cellStyle name="Normal 2 47 7 2 2" xfId="9954"/>
    <cellStyle name="Normal 2 47 7 3" xfId="8647"/>
    <cellStyle name="Normal 2 47 8" xfId="5653"/>
    <cellStyle name="Normal 2 47 8 2" xfId="5654"/>
    <cellStyle name="Normal 2 47 8 2 2" xfId="9955"/>
    <cellStyle name="Normal 2 47 8 3" xfId="8648"/>
    <cellStyle name="Normal 2 47 9" xfId="5655"/>
    <cellStyle name="Normal 2 47 9 2" xfId="5656"/>
    <cellStyle name="Normal 2 47 9 2 2" xfId="9956"/>
    <cellStyle name="Normal 2 47 9 3" xfId="8649"/>
    <cellStyle name="Normal 2 47_Q410 Novosibirsk Master" xfId="5657"/>
    <cellStyle name="Normal 2 48" xfId="5658"/>
    <cellStyle name="Normal 2 48 2" xfId="8650"/>
    <cellStyle name="Normal 2 49" xfId="5659"/>
    <cellStyle name="Normal 2 49 2" xfId="8651"/>
    <cellStyle name="Normal 2 5" xfId="264"/>
    <cellStyle name="Normal 2 5 2" xfId="5661"/>
    <cellStyle name="Normal 2 5 2 2" xfId="5662"/>
    <cellStyle name="Normal 2 5 2 2 2" xfId="9957"/>
    <cellStyle name="Normal 2 5 2 3" xfId="8653"/>
    <cellStyle name="Normal 2 5 3" xfId="5663"/>
    <cellStyle name="Normal 2 5 3 2" xfId="5664"/>
    <cellStyle name="Normal 2 5 3 2 2" xfId="9958"/>
    <cellStyle name="Normal 2 5 3 3" xfId="8654"/>
    <cellStyle name="Normal 2 5 4" xfId="5665"/>
    <cellStyle name="Normal 2 5 4 2" xfId="5666"/>
    <cellStyle name="Normal 2 5 4 2 2" xfId="9959"/>
    <cellStyle name="Normal 2 5 4 3" xfId="8655"/>
    <cellStyle name="Normal 2 5 5" xfId="5667"/>
    <cellStyle name="Normal 2 5 5 2" xfId="5668"/>
    <cellStyle name="Normal 2 5 5 2 2" xfId="9960"/>
    <cellStyle name="Normal 2 5 5 3" xfId="8656"/>
    <cellStyle name="Normal 2 5 6" xfId="5660"/>
    <cellStyle name="Normal 2 5 6 2" xfId="12182"/>
    <cellStyle name="Normal 2 5 7" xfId="8652"/>
    <cellStyle name="Normal 2 5_Cities" xfId="5669"/>
    <cellStyle name="Normal 2 50" xfId="5670"/>
    <cellStyle name="Normal 2 50 2" xfId="8657"/>
    <cellStyle name="Normal 2 51" xfId="5671"/>
    <cellStyle name="Normal 2 51 2" xfId="8658"/>
    <cellStyle name="Normal 2 52" xfId="5378"/>
    <cellStyle name="Normal 2 52 2" xfId="12219"/>
    <cellStyle name="Normal 2 53" xfId="8360"/>
    <cellStyle name="Normal 2 54" xfId="143"/>
    <cellStyle name="Normal 2 55" xfId="9782"/>
    <cellStyle name="Normal 2 56" xfId="12096"/>
    <cellStyle name="Normal 2 57" xfId="12135"/>
    <cellStyle name="Normal 2 58" xfId="12136"/>
    <cellStyle name="Normal 2 59" xfId="12128"/>
    <cellStyle name="Normal 2 6" xfId="263"/>
    <cellStyle name="Normal 2 6 2" xfId="5673"/>
    <cellStyle name="Normal 2 6 2 2" xfId="5674"/>
    <cellStyle name="Normal 2 6 2 2 2" xfId="9961"/>
    <cellStyle name="Normal 2 6 2 3" xfId="8660"/>
    <cellStyle name="Normal 2 6 3" xfId="5675"/>
    <cellStyle name="Normal 2 6 3 2" xfId="5676"/>
    <cellStyle name="Normal 2 6 3 2 2" xfId="9962"/>
    <cellStyle name="Normal 2 6 3 3" xfId="8661"/>
    <cellStyle name="Normal 2 6 4" xfId="5677"/>
    <cellStyle name="Normal 2 6 4 2" xfId="5678"/>
    <cellStyle name="Normal 2 6 4 2 2" xfId="9963"/>
    <cellStyle name="Normal 2 6 4 3" xfId="8662"/>
    <cellStyle name="Normal 2 6 5" xfId="5679"/>
    <cellStyle name="Normal 2 6 5 2" xfId="5680"/>
    <cellStyle name="Normal 2 6 5 2 2" xfId="9964"/>
    <cellStyle name="Normal 2 6 5 3" xfId="8663"/>
    <cellStyle name="Normal 2 6 6" xfId="5672"/>
    <cellStyle name="Normal 2 6 6 2" xfId="12183"/>
    <cellStyle name="Normal 2 6 7" xfId="8659"/>
    <cellStyle name="Normal 2 6_Cities" xfId="5681"/>
    <cellStyle name="Normal 2 60" xfId="12126"/>
    <cellStyle name="Normal 2 61" xfId="12140"/>
    <cellStyle name="Normal 2 62" xfId="12145"/>
    <cellStyle name="Normal 2 63" xfId="12143"/>
    <cellStyle name="Normal 2 64" xfId="12148"/>
    <cellStyle name="Normal 2 65" xfId="12152"/>
    <cellStyle name="Normal 2 66" xfId="12149"/>
    <cellStyle name="Normal 2 67" xfId="12124"/>
    <cellStyle name="Normal 2 68" xfId="12120"/>
    <cellStyle name="Normal 2 69" xfId="12141"/>
    <cellStyle name="Normal 2 7" xfId="311"/>
    <cellStyle name="Normal 2 7 2" xfId="5683"/>
    <cellStyle name="Normal 2 7 2 2" xfId="5684"/>
    <cellStyle name="Normal 2 7 2 2 2" xfId="9965"/>
    <cellStyle name="Normal 2 7 2 3" xfId="8665"/>
    <cellStyle name="Normal 2 7 3" xfId="5685"/>
    <cellStyle name="Normal 2 7 3 2" xfId="5686"/>
    <cellStyle name="Normal 2 7 3 2 2" xfId="9966"/>
    <cellStyle name="Normal 2 7 3 3" xfId="8666"/>
    <cellStyle name="Normal 2 7 4" xfId="5687"/>
    <cellStyle name="Normal 2 7 4 2" xfId="5688"/>
    <cellStyle name="Normal 2 7 4 2 2" xfId="9967"/>
    <cellStyle name="Normal 2 7 4 3" xfId="8667"/>
    <cellStyle name="Normal 2 7 5" xfId="5689"/>
    <cellStyle name="Normal 2 7 5 2" xfId="5690"/>
    <cellStyle name="Normal 2 7 5 2 2" xfId="9968"/>
    <cellStyle name="Normal 2 7 5 3" xfId="8668"/>
    <cellStyle name="Normal 2 7 6" xfId="5691"/>
    <cellStyle name="Normal 2 7 6 2" xfId="12184"/>
    <cellStyle name="Normal 2 7 7" xfId="5682"/>
    <cellStyle name="Normal 2 7 8" xfId="8664"/>
    <cellStyle name="Normal 2 7_Cities" xfId="5692"/>
    <cellStyle name="Normal 2 70" xfId="12131"/>
    <cellStyle name="Normal 2 71" xfId="12138"/>
    <cellStyle name="Normal 2 72" xfId="12132"/>
    <cellStyle name="Normal 2 73" xfId="12137"/>
    <cellStyle name="Normal 2 74" xfId="12130"/>
    <cellStyle name="Normal 2 75" xfId="12125"/>
    <cellStyle name="Normal 2 76" xfId="12154"/>
    <cellStyle name="Normal 2 77" xfId="12146"/>
    <cellStyle name="Normal 2 78" xfId="12147"/>
    <cellStyle name="Normal 2 79" xfId="12127"/>
    <cellStyle name="Normal 2 8" xfId="5693"/>
    <cellStyle name="Normal 2 8 2" xfId="5694"/>
    <cellStyle name="Normal 2 8 2 2" xfId="5695"/>
    <cellStyle name="Normal 2 8 2 2 2" xfId="9970"/>
    <cellStyle name="Normal 2 8 2 3" xfId="8670"/>
    <cellStyle name="Normal 2 8 3" xfId="5696"/>
    <cellStyle name="Normal 2 8 3 2" xfId="5697"/>
    <cellStyle name="Normal 2 8 3 2 2" xfId="9971"/>
    <cellStyle name="Normal 2 8 3 3" xfId="8671"/>
    <cellStyle name="Normal 2 8 4" xfId="5698"/>
    <cellStyle name="Normal 2 8 4 2" xfId="5699"/>
    <cellStyle name="Normal 2 8 4 2 2" xfId="9972"/>
    <cellStyle name="Normal 2 8 4 3" xfId="8672"/>
    <cellStyle name="Normal 2 8 5" xfId="5700"/>
    <cellStyle name="Normal 2 8 5 2" xfId="5701"/>
    <cellStyle name="Normal 2 8 5 2 2" xfId="9973"/>
    <cellStyle name="Normal 2 8 5 3" xfId="8673"/>
    <cellStyle name="Normal 2 8 6" xfId="5702"/>
    <cellStyle name="Normal 2 8 6 2" xfId="9969"/>
    <cellStyle name="Normal 2 8 7" xfId="8669"/>
    <cellStyle name="Normal 2 8_Cities" xfId="5703"/>
    <cellStyle name="Normal 2 80" xfId="12153"/>
    <cellStyle name="Normal 2 81" xfId="12142"/>
    <cellStyle name="Normal 2 82" xfId="12134"/>
    <cellStyle name="Normal 2 83" xfId="12151"/>
    <cellStyle name="Normal 2 84" xfId="12150"/>
    <cellStyle name="Normal 2 85" xfId="12139"/>
    <cellStyle name="Normal 2 86" xfId="12144"/>
    <cellStyle name="Normal 2 87" xfId="12123"/>
    <cellStyle name="Normal 2 88" xfId="12133"/>
    <cellStyle name="Normal 2 89" xfId="12129"/>
    <cellStyle name="Normal 2 9" xfId="5704"/>
    <cellStyle name="Normal 2 9 2" xfId="5705"/>
    <cellStyle name="Normal 2 9 2 2" xfId="5706"/>
    <cellStyle name="Normal 2 9 2 2 2" xfId="9975"/>
    <cellStyle name="Normal 2 9 2 3" xfId="8675"/>
    <cellStyle name="Normal 2 9 3" xfId="5707"/>
    <cellStyle name="Normal 2 9 3 2" xfId="5708"/>
    <cellStyle name="Normal 2 9 3 2 2" xfId="9976"/>
    <cellStyle name="Normal 2 9 3 3" xfId="8676"/>
    <cellStyle name="Normal 2 9 4" xfId="5709"/>
    <cellStyle name="Normal 2 9 4 2" xfId="5710"/>
    <cellStyle name="Normal 2 9 4 2 2" xfId="9977"/>
    <cellStyle name="Normal 2 9 4 3" xfId="8677"/>
    <cellStyle name="Normal 2 9 5" xfId="5711"/>
    <cellStyle name="Normal 2 9 5 2" xfId="5712"/>
    <cellStyle name="Normal 2 9 5 2 2" xfId="9978"/>
    <cellStyle name="Normal 2 9 5 3" xfId="8678"/>
    <cellStyle name="Normal 2 9 6" xfId="5713"/>
    <cellStyle name="Normal 2 9 6 2" xfId="9974"/>
    <cellStyle name="Normal 2 9 7" xfId="8674"/>
    <cellStyle name="Normal 2 9_Cities" xfId="5714"/>
    <cellStyle name="Normal 2 90" xfId="12155"/>
    <cellStyle name="Normal 2 91" xfId="12168"/>
    <cellStyle name="Normal 2 92" xfId="12179"/>
    <cellStyle name="Normal 2 93" xfId="12169"/>
    <cellStyle name="Normal 20" xfId="196"/>
    <cellStyle name="Normal 20 10" xfId="5716"/>
    <cellStyle name="Normal 20 11" xfId="5717"/>
    <cellStyle name="Normal 20 12" xfId="5715"/>
    <cellStyle name="Normal 20 13" xfId="8679"/>
    <cellStyle name="Normal 20 2" xfId="5718"/>
    <cellStyle name="Normal 20 2 2" xfId="5719"/>
    <cellStyle name="Normal 20 2 2 2" xfId="5720"/>
    <cellStyle name="Normal 20 2 2 2 2" xfId="10895"/>
    <cellStyle name="Normal 20 2 2 3" xfId="8681"/>
    <cellStyle name="Normal 20 2 3" xfId="5721"/>
    <cellStyle name="Normal 20 2 3 2" xfId="8682"/>
    <cellStyle name="Normal 20 2 4" xfId="5722"/>
    <cellStyle name="Normal 20 2 4 2" xfId="8683"/>
    <cellStyle name="Normal 20 2 5" xfId="5723"/>
    <cellStyle name="Normal 20 2 5 2" xfId="10839"/>
    <cellStyle name="Normal 20 2 6" xfId="8680"/>
    <cellStyle name="Normal 20 2_Q410 Novosibirsk" xfId="5724"/>
    <cellStyle name="Normal 20 3" xfId="5725"/>
    <cellStyle name="Normal 20 4" xfId="5726"/>
    <cellStyle name="Normal 20 5" xfId="5727"/>
    <cellStyle name="Normal 20 6" xfId="5728"/>
    <cellStyle name="Normal 20 7" xfId="5729"/>
    <cellStyle name="Normal 20 8" xfId="5730"/>
    <cellStyle name="Normal 20 9" xfId="5731"/>
    <cellStyle name="Normal 20_Q410 Novosibirsk" xfId="5732"/>
    <cellStyle name="Normal 21" xfId="197"/>
    <cellStyle name="Normal 21 10" xfId="5734"/>
    <cellStyle name="Normal 21 11" xfId="5735"/>
    <cellStyle name="Normal 21 12" xfId="5733"/>
    <cellStyle name="Normal 21 13" xfId="8684"/>
    <cellStyle name="Normal 21 2" xfId="5736"/>
    <cellStyle name="Normal 21 2 2" xfId="5737"/>
    <cellStyle name="Normal 21 2 2 2" xfId="5738"/>
    <cellStyle name="Normal 21 2 2 2 2" xfId="10893"/>
    <cellStyle name="Normal 21 2 2 3" xfId="8686"/>
    <cellStyle name="Normal 21 2 3" xfId="5739"/>
    <cellStyle name="Normal 21 2 3 2" xfId="8687"/>
    <cellStyle name="Normal 21 2 4" xfId="5740"/>
    <cellStyle name="Normal 21 2 4 2" xfId="8688"/>
    <cellStyle name="Normal 21 2 5" xfId="5741"/>
    <cellStyle name="Normal 21 2 5 2" xfId="10840"/>
    <cellStyle name="Normal 21 2 6" xfId="8685"/>
    <cellStyle name="Normal 21 2_Q410 Novosibirsk" xfId="5742"/>
    <cellStyle name="Normal 21 3" xfId="5743"/>
    <cellStyle name="Normal 21 4" xfId="5744"/>
    <cellStyle name="Normal 21 5" xfId="5745"/>
    <cellStyle name="Normal 21 6" xfId="5746"/>
    <cellStyle name="Normal 21 7" xfId="5747"/>
    <cellStyle name="Normal 21 8" xfId="5748"/>
    <cellStyle name="Normal 21 9" xfId="5749"/>
    <cellStyle name="Normal 21_Q410 Novosibirsk" xfId="5750"/>
    <cellStyle name="Normal 22" xfId="198"/>
    <cellStyle name="Normal 22 10" xfId="5752"/>
    <cellStyle name="Normal 22 11" xfId="5753"/>
    <cellStyle name="Normal 22 12" xfId="5751"/>
    <cellStyle name="Normal 22 13" xfId="8689"/>
    <cellStyle name="Normal 22 2" xfId="5754"/>
    <cellStyle name="Normal 22 2 2" xfId="5755"/>
    <cellStyle name="Normal 22 2 2 2" xfId="5756"/>
    <cellStyle name="Normal 22 2 2 2 2" xfId="10889"/>
    <cellStyle name="Normal 22 2 2 3" xfId="8691"/>
    <cellStyle name="Normal 22 2 3" xfId="5757"/>
    <cellStyle name="Normal 22 2 3 2" xfId="8692"/>
    <cellStyle name="Normal 22 2 4" xfId="5758"/>
    <cellStyle name="Normal 22 2 4 2" xfId="8693"/>
    <cellStyle name="Normal 22 2 5" xfId="5759"/>
    <cellStyle name="Normal 22 2 5 2" xfId="10836"/>
    <cellStyle name="Normal 22 2 6" xfId="8690"/>
    <cellStyle name="Normal 22 2_Q410 Novosibirsk" xfId="5760"/>
    <cellStyle name="Normal 22 3" xfId="5761"/>
    <cellStyle name="Normal 22 4" xfId="5762"/>
    <cellStyle name="Normal 22 5" xfId="5763"/>
    <cellStyle name="Normal 22 6" xfId="5764"/>
    <cellStyle name="Normal 22 7" xfId="5765"/>
    <cellStyle name="Normal 22 8" xfId="5766"/>
    <cellStyle name="Normal 22 9" xfId="5767"/>
    <cellStyle name="Normal 22_Q410 Novosibirsk" xfId="5768"/>
    <cellStyle name="Normal 23" xfId="255"/>
    <cellStyle name="Normal 23 10" xfId="5770"/>
    <cellStyle name="Normal 23 11" xfId="5769"/>
    <cellStyle name="Normal 23 12" xfId="8694"/>
    <cellStyle name="Normal 23 2" xfId="5771"/>
    <cellStyle name="Normal 23 2 2" xfId="5772"/>
    <cellStyle name="Normal 23 2 2 2" xfId="5773"/>
    <cellStyle name="Normal 23 2 2 2 2" xfId="10887"/>
    <cellStyle name="Normal 23 2 2 3" xfId="8696"/>
    <cellStyle name="Normal 23 2 3" xfId="5774"/>
    <cellStyle name="Normal 23 2 3 2" xfId="8697"/>
    <cellStyle name="Normal 23 2 4" xfId="5775"/>
    <cellStyle name="Normal 23 2 4 2" xfId="8698"/>
    <cellStyle name="Normal 23 2 5" xfId="5776"/>
    <cellStyle name="Normal 23 2 5 2" xfId="10829"/>
    <cellStyle name="Normal 23 2 6" xfId="8695"/>
    <cellStyle name="Normal 23 2_Q410 Novosibirsk" xfId="5777"/>
    <cellStyle name="Normal 23 3" xfId="5778"/>
    <cellStyle name="Normal 23 4" xfId="5779"/>
    <cellStyle name="Normal 23 5" xfId="5780"/>
    <cellStyle name="Normal 23 6" xfId="5781"/>
    <cellStyle name="Normal 23 7" xfId="5782"/>
    <cellStyle name="Normal 23 8" xfId="5783"/>
    <cellStyle name="Normal 23 9" xfId="5784"/>
    <cellStyle name="Normal 23_Q410 Novosibirsk" xfId="5785"/>
    <cellStyle name="Normal 24" xfId="254"/>
    <cellStyle name="Normal 24 2" xfId="262"/>
    <cellStyle name="Normal 24 2 2" xfId="5788"/>
    <cellStyle name="Normal 24 2 2 2" xfId="10891"/>
    <cellStyle name="Normal 24 2 3" xfId="5787"/>
    <cellStyle name="Normal 24 2 4" xfId="10830"/>
    <cellStyle name="Normal 24 3" xfId="5789"/>
    <cellStyle name="Normal 24 4" xfId="5790"/>
    <cellStyle name="Normal 24 5" xfId="5791"/>
    <cellStyle name="Normal 24 6" xfId="5792"/>
    <cellStyle name="Normal 24 7" xfId="5793"/>
    <cellStyle name="Normal 24 8" xfId="5786"/>
    <cellStyle name="Normal 24 9" xfId="8699"/>
    <cellStyle name="Normal 25" xfId="307"/>
    <cellStyle name="Normal 25 10" xfId="5795"/>
    <cellStyle name="Normal 25 11" xfId="5794"/>
    <cellStyle name="Normal 25 12" xfId="8700"/>
    <cellStyle name="Normal 25 2" xfId="5796"/>
    <cellStyle name="Normal 25 2 2" xfId="5797"/>
    <cellStyle name="Normal 25 2 2 2" xfId="5798"/>
    <cellStyle name="Normal 25 2 2 2 2" xfId="10894"/>
    <cellStyle name="Normal 25 2 2 3" xfId="8702"/>
    <cellStyle name="Normal 25 2 3" xfId="5799"/>
    <cellStyle name="Normal 25 2 3 2" xfId="8703"/>
    <cellStyle name="Normal 25 2 4" xfId="5800"/>
    <cellStyle name="Normal 25 2 4 2" xfId="8704"/>
    <cellStyle name="Normal 25 2 5" xfId="5801"/>
    <cellStyle name="Normal 25 2 5 2" xfId="10826"/>
    <cellStyle name="Normal 25 2 6" xfId="8701"/>
    <cellStyle name="Normal 25 2_Q410 Novosibirsk" xfId="5802"/>
    <cellStyle name="Normal 25 3" xfId="5803"/>
    <cellStyle name="Normal 25 4" xfId="5804"/>
    <cellStyle name="Normal 25 5" xfId="5805"/>
    <cellStyle name="Normal 25 6" xfId="5806"/>
    <cellStyle name="Normal 25 7" xfId="5807"/>
    <cellStyle name="Normal 25 8" xfId="5808"/>
    <cellStyle name="Normal 25 9" xfId="5809"/>
    <cellStyle name="Normal 25_Q410 Novosibirsk" xfId="5810"/>
    <cellStyle name="Normal 26" xfId="310"/>
    <cellStyle name="Normal 26 2" xfId="5812"/>
    <cellStyle name="Normal 26 2 2" xfId="5813"/>
    <cellStyle name="Normal 26 2 2 2" xfId="10888"/>
    <cellStyle name="Normal 26 2 3" xfId="10842"/>
    <cellStyle name="Normal 26 3" xfId="5814"/>
    <cellStyle name="Normal 26 4" xfId="5815"/>
    <cellStyle name="Normal 26 5" xfId="5816"/>
    <cellStyle name="Normal 26 6" xfId="5817"/>
    <cellStyle name="Normal 26 7" xfId="5811"/>
    <cellStyle name="Normal 26 8" xfId="8705"/>
    <cellStyle name="Normal 27" xfId="5818"/>
    <cellStyle name="Normal 27 10" xfId="5819"/>
    <cellStyle name="Normal 27 11" xfId="8706"/>
    <cellStyle name="Normal 27 2" xfId="5820"/>
    <cellStyle name="Normal 27 2 2" xfId="5821"/>
    <cellStyle name="Normal 27 2 2 2" xfId="5822"/>
    <cellStyle name="Normal 27 2 2 2 2" xfId="10884"/>
    <cellStyle name="Normal 27 2 2 3" xfId="8708"/>
    <cellStyle name="Normal 27 2 3" xfId="5823"/>
    <cellStyle name="Normal 27 2 3 2" xfId="8709"/>
    <cellStyle name="Normal 27 2 4" xfId="5824"/>
    <cellStyle name="Normal 27 2 4 2" xfId="8710"/>
    <cellStyle name="Normal 27 2 5" xfId="5825"/>
    <cellStyle name="Normal 27 2 5 2" xfId="10828"/>
    <cellStyle name="Normal 27 2 6" xfId="8707"/>
    <cellStyle name="Normal 27 2_Q410 Novosibirsk" xfId="5826"/>
    <cellStyle name="Normal 27 3" xfId="5827"/>
    <cellStyle name="Normal 27 4" xfId="5828"/>
    <cellStyle name="Normal 27 5" xfId="5829"/>
    <cellStyle name="Normal 27 6" xfId="5830"/>
    <cellStyle name="Normal 27 7" xfId="5831"/>
    <cellStyle name="Normal 27 8" xfId="5832"/>
    <cellStyle name="Normal 27 9" xfId="5833"/>
    <cellStyle name="Normal 27_Q410 Novosibirsk" xfId="5834"/>
    <cellStyle name="Normal 28" xfId="5835"/>
    <cellStyle name="Normal 28 2" xfId="5836"/>
    <cellStyle name="Normal 28 2 2" xfId="5837"/>
    <cellStyle name="Normal 28 2 2 2" xfId="10899"/>
    <cellStyle name="Normal 28 2 3" xfId="10834"/>
    <cellStyle name="Normal 28 3" xfId="5838"/>
    <cellStyle name="Normal 28 4" xfId="5839"/>
    <cellStyle name="Normal 28 5" xfId="5840"/>
    <cellStyle name="Normal 28 6" xfId="5841"/>
    <cellStyle name="Normal 28 7" xfId="8711"/>
    <cellStyle name="Normal 29" xfId="5842"/>
    <cellStyle name="Normal 29 10" xfId="5843"/>
    <cellStyle name="Normal 29 10 2" xfId="12060"/>
    <cellStyle name="Normal 29 11" xfId="8712"/>
    <cellStyle name="Normal 29 2" xfId="5844"/>
    <cellStyle name="Normal 29 2 2" xfId="5845"/>
    <cellStyle name="Normal 29 2 2 2" xfId="8714"/>
    <cellStyle name="Normal 29 2 3" xfId="5846"/>
    <cellStyle name="Normal 29 2 3 2" xfId="8715"/>
    <cellStyle name="Normal 29 2 4" xfId="5847"/>
    <cellStyle name="Normal 29 2 4 2" xfId="8716"/>
    <cellStyle name="Normal 29 2 5" xfId="5848"/>
    <cellStyle name="Normal 29 2 5 2" xfId="10900"/>
    <cellStyle name="Normal 29 2 6" xfId="8713"/>
    <cellStyle name="Normal 29 2_Q410 Novosibirsk" xfId="5849"/>
    <cellStyle name="Normal 29 3" xfId="5850"/>
    <cellStyle name="Normal 29 3 2" xfId="10837"/>
    <cellStyle name="Normal 29 4" xfId="5851"/>
    <cellStyle name="Normal 29 4 2" xfId="12040"/>
    <cellStyle name="Normal 29 5" xfId="5852"/>
    <cellStyle name="Normal 29 5 2" xfId="12083"/>
    <cellStyle name="Normal 29 6" xfId="5853"/>
    <cellStyle name="Normal 29 6 2" xfId="12050"/>
    <cellStyle name="Normal 29 7" xfId="5854"/>
    <cellStyle name="Normal 29 7 2" xfId="12085"/>
    <cellStyle name="Normal 29 8" xfId="5855"/>
    <cellStyle name="Normal 29 8 2" xfId="12082"/>
    <cellStyle name="Normal 29 9" xfId="5856"/>
    <cellStyle name="Normal 29 9 2" xfId="12047"/>
    <cellStyle name="Normal 29_Q410 Novosibirsk" xfId="5857"/>
    <cellStyle name="Normal 3" xfId="75"/>
    <cellStyle name="Normal 3 10" xfId="256"/>
    <cellStyle name="Normal 3 10 2" xfId="5860"/>
    <cellStyle name="Normal 3 10 2 2" xfId="12185"/>
    <cellStyle name="Normal 3 10 3" xfId="5859"/>
    <cellStyle name="Normal 3 10 4" xfId="8717"/>
    <cellStyle name="Normal 3 11" xfId="259"/>
    <cellStyle name="Normal 3 11 2" xfId="5862"/>
    <cellStyle name="Normal 3 11 2 2" xfId="12186"/>
    <cellStyle name="Normal 3 11 3" xfId="5861"/>
    <cellStyle name="Normal 3 11 4" xfId="8718"/>
    <cellStyle name="Normal 3 12" xfId="5863"/>
    <cellStyle name="Normal 3 12 2" xfId="8719"/>
    <cellStyle name="Normal 3 13" xfId="5864"/>
    <cellStyle name="Normal 3 13 2" xfId="8720"/>
    <cellStyle name="Normal 3 14" xfId="5865"/>
    <cellStyle name="Normal 3 14 2" xfId="8721"/>
    <cellStyle name="Normal 3 15" xfId="5866"/>
    <cellStyle name="Normal 3 15 2" xfId="8722"/>
    <cellStyle name="Normal 3 16" xfId="5867"/>
    <cellStyle name="Normal 3 16 2" xfId="8723"/>
    <cellStyle name="Normal 3 17" xfId="5868"/>
    <cellStyle name="Normal 3 17 2" xfId="8724"/>
    <cellStyle name="Normal 3 18" xfId="5869"/>
    <cellStyle name="Normal 3 18 2" xfId="8725"/>
    <cellStyle name="Normal 3 19" xfId="5870"/>
    <cellStyle name="Normal 3 19 2" xfId="8726"/>
    <cellStyle name="Normal 3 2" xfId="200"/>
    <cellStyle name="Normal 3 2 2" xfId="5872"/>
    <cellStyle name="Normal 3 2 2 2" xfId="10882"/>
    <cellStyle name="Normal 3 2 3" xfId="5873"/>
    <cellStyle name="Normal 3 2 3 2" xfId="10822"/>
    <cellStyle name="Normal 3 2 4" xfId="5874"/>
    <cellStyle name="Normal 3 2 5" xfId="5871"/>
    <cellStyle name="Normal 3 2 6" xfId="8727"/>
    <cellStyle name="Normal 3 20" xfId="5875"/>
    <cellStyle name="Normal 3 20 2" xfId="8728"/>
    <cellStyle name="Normal 3 21" xfId="5876"/>
    <cellStyle name="Normal 3 21 2" xfId="8729"/>
    <cellStyle name="Normal 3 22" xfId="5877"/>
    <cellStyle name="Normal 3 22 2" xfId="8730"/>
    <cellStyle name="Normal 3 23" xfId="5878"/>
    <cellStyle name="Normal 3 23 2" xfId="8731"/>
    <cellStyle name="Normal 3 24" xfId="5879"/>
    <cellStyle name="Normal 3 24 2" xfId="8732"/>
    <cellStyle name="Normal 3 25" xfId="5880"/>
    <cellStyle name="Normal 3 25 2" xfId="8733"/>
    <cellStyle name="Normal 3 26" xfId="5881"/>
    <cellStyle name="Normal 3 26 2" xfId="8734"/>
    <cellStyle name="Normal 3 27" xfId="5882"/>
    <cellStyle name="Normal 3 27 2" xfId="8735"/>
    <cellStyle name="Normal 3 28" xfId="5883"/>
    <cellStyle name="Normal 3 28 2" xfId="8736"/>
    <cellStyle name="Normal 3 29" xfId="5884"/>
    <cellStyle name="Normal 3 29 2" xfId="8737"/>
    <cellStyle name="Normal 3 3" xfId="201"/>
    <cellStyle name="Normal 3 3 2" xfId="5886"/>
    <cellStyle name="Normal 3 3 3" xfId="5887"/>
    <cellStyle name="Normal 3 3 3 2" xfId="12187"/>
    <cellStyle name="Normal 3 3 4" xfId="5885"/>
    <cellStyle name="Normal 3 3 5" xfId="8738"/>
    <cellStyle name="Normal 3 30" xfId="5888"/>
    <cellStyle name="Normal 3 30 2" xfId="8739"/>
    <cellStyle name="Normal 3 31" xfId="5889"/>
    <cellStyle name="Normal 3 31 2" xfId="8740"/>
    <cellStyle name="Normal 3 32" xfId="5890"/>
    <cellStyle name="Normal 3 32 2" xfId="8741"/>
    <cellStyle name="Normal 3 33" xfId="5891"/>
    <cellStyle name="Normal 3 33 2" xfId="8742"/>
    <cellStyle name="Normal 3 34" xfId="5892"/>
    <cellStyle name="Normal 3 34 2" xfId="8743"/>
    <cellStyle name="Normal 3 35" xfId="5893"/>
    <cellStyle name="Normal 3 35 2" xfId="8744"/>
    <cellStyle name="Normal 3 36" xfId="5894"/>
    <cellStyle name="Normal 3 36 2" xfId="8745"/>
    <cellStyle name="Normal 3 37" xfId="5895"/>
    <cellStyle name="Normal 3 37 2" xfId="8746"/>
    <cellStyle name="Normal 3 38" xfId="5896"/>
    <cellStyle name="Normal 3 38 2" xfId="8747"/>
    <cellStyle name="Normal 3 39" xfId="5897"/>
    <cellStyle name="Normal 3 39 2" xfId="8748"/>
    <cellStyle name="Normal 3 4" xfId="202"/>
    <cellStyle name="Normal 3 4 2" xfId="5899"/>
    <cellStyle name="Normal 3 4 3" xfId="5900"/>
    <cellStyle name="Normal 3 4 3 2" xfId="12188"/>
    <cellStyle name="Normal 3 4 4" xfId="5898"/>
    <cellStyle name="Normal 3 4 5" xfId="8749"/>
    <cellStyle name="Normal 3 40" xfId="5901"/>
    <cellStyle name="Normal 3 40 2" xfId="8750"/>
    <cellStyle name="Normal 3 41" xfId="5902"/>
    <cellStyle name="Normal 3 41 2" xfId="8751"/>
    <cellStyle name="Normal 3 42" xfId="5903"/>
    <cellStyle name="Normal 3 42 2" xfId="8752"/>
    <cellStyle name="Normal 3 43" xfId="5904"/>
    <cellStyle name="Normal 3 43 2" xfId="8753"/>
    <cellStyle name="Normal 3 44" xfId="5905"/>
    <cellStyle name="Normal 3 44 2" xfId="8754"/>
    <cellStyle name="Normal 3 45" xfId="5906"/>
    <cellStyle name="Normal 3 46" xfId="5907"/>
    <cellStyle name="Normal 3 47" xfId="5858"/>
    <cellStyle name="Normal 3 48" xfId="199"/>
    <cellStyle name="Normal 3 49" xfId="10790"/>
    <cellStyle name="Normal 3 5" xfId="203"/>
    <cellStyle name="Normal 3 5 2" xfId="5909"/>
    <cellStyle name="Normal 3 5 3" xfId="5910"/>
    <cellStyle name="Normal 3 5 3 2" xfId="12189"/>
    <cellStyle name="Normal 3 5 4" xfId="5908"/>
    <cellStyle name="Normal 3 5 5" xfId="8755"/>
    <cellStyle name="Normal 3 6" xfId="204"/>
    <cellStyle name="Normal 3 6 2" xfId="5912"/>
    <cellStyle name="Normal 3 6 2 2" xfId="12190"/>
    <cellStyle name="Normal 3 6 3" xfId="5911"/>
    <cellStyle name="Normal 3 6 4" xfId="8756"/>
    <cellStyle name="Normal 3 7" xfId="205"/>
    <cellStyle name="Normal 3 7 2" xfId="5914"/>
    <cellStyle name="Normal 3 7 2 2" xfId="12191"/>
    <cellStyle name="Normal 3 7 3" xfId="5913"/>
    <cellStyle name="Normal 3 7 4" xfId="8757"/>
    <cellStyle name="Normal 3 8" xfId="206"/>
    <cellStyle name="Normal 3 8 2" xfId="5916"/>
    <cellStyle name="Normal 3 8 2 2" xfId="12192"/>
    <cellStyle name="Normal 3 8 3" xfId="5915"/>
    <cellStyle name="Normal 3 8 4" xfId="8758"/>
    <cellStyle name="Normal 3 9" xfId="207"/>
    <cellStyle name="Normal 3 9 2" xfId="5918"/>
    <cellStyle name="Normal 3 9 2 2" xfId="12193"/>
    <cellStyle name="Normal 3 9 3" xfId="5917"/>
    <cellStyle name="Normal 3 9 4" xfId="8759"/>
    <cellStyle name="Normal 30" xfId="5919"/>
    <cellStyle name="Normal 30 2" xfId="5920"/>
    <cellStyle name="Normal 30 2 2" xfId="5921"/>
    <cellStyle name="Normal 30 2 2 2" xfId="10901"/>
    <cellStyle name="Normal 30 2 3" xfId="10847"/>
    <cellStyle name="Normal 30 3" xfId="5922"/>
    <cellStyle name="Normal 30 3 2" xfId="12030"/>
    <cellStyle name="Normal 30 4" xfId="5923"/>
    <cellStyle name="Normal 30 4 2" xfId="12029"/>
    <cellStyle name="Normal 30 5" xfId="5924"/>
    <cellStyle name="Normal 30 5 2" xfId="12027"/>
    <cellStyle name="Normal 30 6" xfId="5925"/>
    <cellStyle name="Normal 30 6 2" xfId="10800"/>
    <cellStyle name="Normal 30 7" xfId="8760"/>
    <cellStyle name="Normal 31" xfId="5926"/>
    <cellStyle name="Normal 31 10" xfId="5927"/>
    <cellStyle name="Normal 31 10 2" xfId="12061"/>
    <cellStyle name="Normal 31 11" xfId="8761"/>
    <cellStyle name="Normal 31 2" xfId="5928"/>
    <cellStyle name="Normal 31 2 2" xfId="5929"/>
    <cellStyle name="Normal 31 2 2 2" xfId="8763"/>
    <cellStyle name="Normal 31 2 3" xfId="5930"/>
    <cellStyle name="Normal 31 2 3 2" xfId="8764"/>
    <cellStyle name="Normal 31 2 4" xfId="5931"/>
    <cellStyle name="Normal 31 2 4 2" xfId="8765"/>
    <cellStyle name="Normal 31 2 5" xfId="5932"/>
    <cellStyle name="Normal 31 2 5 2" xfId="10903"/>
    <cellStyle name="Normal 31 2 6" xfId="8762"/>
    <cellStyle name="Normal 31 2_Q410 Novosibirsk" xfId="5933"/>
    <cellStyle name="Normal 31 3" xfId="5934"/>
    <cellStyle name="Normal 31 3 2" xfId="10827"/>
    <cellStyle name="Normal 31 4" xfId="5935"/>
    <cellStyle name="Normal 31 4 2" xfId="12038"/>
    <cellStyle name="Normal 31 5" xfId="5936"/>
    <cellStyle name="Normal 31 5 2" xfId="12049"/>
    <cellStyle name="Normal 31 6" xfId="5937"/>
    <cellStyle name="Normal 31 6 2" xfId="12080"/>
    <cellStyle name="Normal 31 7" xfId="5938"/>
    <cellStyle name="Normal 31 7 2" xfId="12070"/>
    <cellStyle name="Normal 31 8" xfId="5939"/>
    <cellStyle name="Normal 31 8 2" xfId="12055"/>
    <cellStyle name="Normal 31 9" xfId="5940"/>
    <cellStyle name="Normal 31 9 2" xfId="12062"/>
    <cellStyle name="Normal 31_Q410 Novosibirsk" xfId="5941"/>
    <cellStyle name="Normal 32" xfId="5942"/>
    <cellStyle name="Normal 32 2" xfId="5943"/>
    <cellStyle name="Normal 32 2 2" xfId="5944"/>
    <cellStyle name="Normal 32 2 2 2" xfId="10875"/>
    <cellStyle name="Normal 32 2 3" xfId="8767"/>
    <cellStyle name="Normal 32 3" xfId="5945"/>
    <cellStyle name="Normal 32 3 2" xfId="8768"/>
    <cellStyle name="Normal 32 4" xfId="5946"/>
    <cellStyle name="Normal 32 4 2" xfId="8769"/>
    <cellStyle name="Normal 32 5" xfId="5947"/>
    <cellStyle name="Normal 32 5 2" xfId="8770"/>
    <cellStyle name="Normal 32 6" xfId="5948"/>
    <cellStyle name="Normal 32 6 2" xfId="8771"/>
    <cellStyle name="Normal 32 7" xfId="5949"/>
    <cellStyle name="Normal 32 7 2" xfId="10838"/>
    <cellStyle name="Normal 32 8" xfId="8766"/>
    <cellStyle name="Normal 32_Oblasts" xfId="5950"/>
    <cellStyle name="Normal 33" xfId="5951"/>
    <cellStyle name="Normal 33 10" xfId="5952"/>
    <cellStyle name="Normal 33 10 2" xfId="12087"/>
    <cellStyle name="Normal 33 11" xfId="8772"/>
    <cellStyle name="Normal 33 2" xfId="5953"/>
    <cellStyle name="Normal 33 2 2" xfId="5954"/>
    <cellStyle name="Normal 33 2 2 2" xfId="8774"/>
    <cellStyle name="Normal 33 2 3" xfId="5955"/>
    <cellStyle name="Normal 33 2 3 2" xfId="8775"/>
    <cellStyle name="Normal 33 2 4" xfId="5956"/>
    <cellStyle name="Normal 33 2 4 2" xfId="8776"/>
    <cellStyle name="Normal 33 2 5" xfId="5957"/>
    <cellStyle name="Normal 33 2 5 2" xfId="10878"/>
    <cellStyle name="Normal 33 2 6" xfId="8773"/>
    <cellStyle name="Normal 33 2_Oblasts" xfId="5958"/>
    <cellStyle name="Normal 33 3" xfId="5959"/>
    <cellStyle name="Normal 33 3 2" xfId="8777"/>
    <cellStyle name="Normal 33 4" xfId="5960"/>
    <cellStyle name="Normal 33 4 2" xfId="8778"/>
    <cellStyle name="Normal 33 5" xfId="5961"/>
    <cellStyle name="Normal 33 5 2" xfId="8779"/>
    <cellStyle name="Normal 33 6" xfId="5962"/>
    <cellStyle name="Normal 33 6 2" xfId="8780"/>
    <cellStyle name="Normal 33 7" xfId="5963"/>
    <cellStyle name="Normal 33 7 2" xfId="10844"/>
    <cellStyle name="Normal 33 8" xfId="5964"/>
    <cellStyle name="Normal 33 8 2" xfId="12041"/>
    <cellStyle name="Normal 33 9" xfId="5965"/>
    <cellStyle name="Normal 33 9 2" xfId="12048"/>
    <cellStyle name="Normal 33_Oblasts" xfId="5966"/>
    <cellStyle name="Normal 34" xfId="5967"/>
    <cellStyle name="Normal 34 2" xfId="5968"/>
    <cellStyle name="Normal 34 2 2" xfId="5969"/>
    <cellStyle name="Normal 34 2 2 2" xfId="10879"/>
    <cellStyle name="Normal 34 2 3" xfId="8782"/>
    <cellStyle name="Normal 34 3" xfId="5970"/>
    <cellStyle name="Normal 34 3 2" xfId="8783"/>
    <cellStyle name="Normal 34 4" xfId="5971"/>
    <cellStyle name="Normal 34 4 2" xfId="8784"/>
    <cellStyle name="Normal 34 5" xfId="5972"/>
    <cellStyle name="Normal 34 5 2" xfId="8785"/>
    <cellStyle name="Normal 34 6" xfId="5973"/>
    <cellStyle name="Normal 34 6 2" xfId="8786"/>
    <cellStyle name="Normal 34 7" xfId="5974"/>
    <cellStyle name="Normal 34 7 2" xfId="10843"/>
    <cellStyle name="Normal 34 8" xfId="8781"/>
    <cellStyle name="Normal 34_Oblasts" xfId="5975"/>
    <cellStyle name="Normal 35" xfId="5976"/>
    <cellStyle name="Normal 35 10" xfId="5977"/>
    <cellStyle name="Normal 35 10 2" xfId="12072"/>
    <cellStyle name="Normal 35 11" xfId="8787"/>
    <cellStyle name="Normal 35 2" xfId="5978"/>
    <cellStyle name="Normal 35 2 2" xfId="5979"/>
    <cellStyle name="Normal 35 2 2 2" xfId="8789"/>
    <cellStyle name="Normal 35 2 3" xfId="5980"/>
    <cellStyle name="Normal 35 2 3 2" xfId="8790"/>
    <cellStyle name="Normal 35 2 4" xfId="5981"/>
    <cellStyle name="Normal 35 2 4 2" xfId="8791"/>
    <cellStyle name="Normal 35 2 5" xfId="8788"/>
    <cellStyle name="Normal 35 2_Q410 Novosibirsk" xfId="5982"/>
    <cellStyle name="Normal 35 3" xfId="5983"/>
    <cellStyle name="Normal 35 3 2" xfId="10848"/>
    <cellStyle name="Normal 35 4" xfId="5984"/>
    <cellStyle name="Normal 35 4 2" xfId="12042"/>
    <cellStyle name="Normal 35 5" xfId="5985"/>
    <cellStyle name="Normal 35 5 2" xfId="12078"/>
    <cellStyle name="Normal 35 6" xfId="5986"/>
    <cellStyle name="Normal 35 6 2" xfId="12081"/>
    <cellStyle name="Normal 35 7" xfId="5987"/>
    <cellStyle name="Normal 35 7 2" xfId="12059"/>
    <cellStyle name="Normal 35 8" xfId="5988"/>
    <cellStyle name="Normal 35 8 2" xfId="12053"/>
    <cellStyle name="Normal 35 9" xfId="5989"/>
    <cellStyle name="Normal 35 9 2" xfId="12069"/>
    <cellStyle name="Normal 35_Q410 Novosibirsk" xfId="5990"/>
    <cellStyle name="Normal 36" xfId="5991"/>
    <cellStyle name="Normal 36 2" xfId="5992"/>
    <cellStyle name="Normal 36 2 2" xfId="10851"/>
    <cellStyle name="Normal 36 3" xfId="8792"/>
    <cellStyle name="Normal 37" xfId="5993"/>
    <cellStyle name="Normal 37 10" xfId="5994"/>
    <cellStyle name="Normal 37 10 2" xfId="12056"/>
    <cellStyle name="Normal 37 11" xfId="8793"/>
    <cellStyle name="Normal 37 2" xfId="5995"/>
    <cellStyle name="Normal 37 2 2" xfId="5996"/>
    <cellStyle name="Normal 37 2 2 2" xfId="8795"/>
    <cellStyle name="Normal 37 2 3" xfId="5997"/>
    <cellStyle name="Normal 37 2 3 2" xfId="8796"/>
    <cellStyle name="Normal 37 2 4" xfId="5998"/>
    <cellStyle name="Normal 37 2 4 2" xfId="8797"/>
    <cellStyle name="Normal 37 2 5" xfId="8794"/>
    <cellStyle name="Normal 37 2_Oblasts" xfId="5999"/>
    <cellStyle name="Normal 37 3" xfId="6000"/>
    <cellStyle name="Normal 37 3 2" xfId="8798"/>
    <cellStyle name="Normal 37 4" xfId="6001"/>
    <cellStyle name="Normal 37 4 2" xfId="8799"/>
    <cellStyle name="Normal 37 5" xfId="6002"/>
    <cellStyle name="Normal 37 5 2" xfId="8800"/>
    <cellStyle name="Normal 37 6" xfId="6003"/>
    <cellStyle name="Normal 37 6 2" xfId="8801"/>
    <cellStyle name="Normal 37 7" xfId="6004"/>
    <cellStyle name="Normal 37 7 2" xfId="10857"/>
    <cellStyle name="Normal 37 8" xfId="6005"/>
    <cellStyle name="Normal 37 8 2" xfId="12046"/>
    <cellStyle name="Normal 37 9" xfId="6006"/>
    <cellStyle name="Normal 37 9 2" xfId="12066"/>
    <cellStyle name="Normal 37_Oblasts" xfId="6007"/>
    <cellStyle name="Normal 38" xfId="6008"/>
    <cellStyle name="Normal 38 2" xfId="6009"/>
    <cellStyle name="Normal 38 2 2" xfId="8803"/>
    <cellStyle name="Normal 38 3" xfId="6010"/>
    <cellStyle name="Normal 38 3 2" xfId="8804"/>
    <cellStyle name="Normal 38 4" xfId="6011"/>
    <cellStyle name="Normal 38 4 2" xfId="8805"/>
    <cellStyle name="Normal 38 5" xfId="6012"/>
    <cellStyle name="Normal 38 5 2" xfId="8806"/>
    <cellStyle name="Normal 38 6" xfId="6013"/>
    <cellStyle name="Normal 38 6 2" xfId="8807"/>
    <cellStyle name="Normal 38 7" xfId="6014"/>
    <cellStyle name="Normal 38 7 2" xfId="10858"/>
    <cellStyle name="Normal 38 8" xfId="8802"/>
    <cellStyle name="Normal 38_Oblasts" xfId="6015"/>
    <cellStyle name="Normal 39" xfId="6016"/>
    <cellStyle name="Normal 39 10" xfId="6017"/>
    <cellStyle name="Normal 39 10 2" xfId="12075"/>
    <cellStyle name="Normal 39 11" xfId="8808"/>
    <cellStyle name="Normal 39 2" xfId="6018"/>
    <cellStyle name="Normal 39 2 2" xfId="6019"/>
    <cellStyle name="Normal 39 2 2 2" xfId="8810"/>
    <cellStyle name="Normal 39 2 3" xfId="6020"/>
    <cellStyle name="Normal 39 2 3 2" xfId="8811"/>
    <cellStyle name="Normal 39 2 4" xfId="6021"/>
    <cellStyle name="Normal 39 2 4 2" xfId="8812"/>
    <cellStyle name="Normal 39 2 5" xfId="8809"/>
    <cellStyle name="Normal 39 2_Oblasts" xfId="6022"/>
    <cellStyle name="Normal 39 3" xfId="6023"/>
    <cellStyle name="Normal 39 3 2" xfId="8813"/>
    <cellStyle name="Normal 39 4" xfId="6024"/>
    <cellStyle name="Normal 39 4 2" xfId="8814"/>
    <cellStyle name="Normal 39 5" xfId="6025"/>
    <cellStyle name="Normal 39 5 2" xfId="8815"/>
    <cellStyle name="Normal 39 6" xfId="6026"/>
    <cellStyle name="Normal 39 6 2" xfId="8816"/>
    <cellStyle name="Normal 39 7" xfId="6027"/>
    <cellStyle name="Normal 39 7 2" xfId="10856"/>
    <cellStyle name="Normal 39 8" xfId="6028"/>
    <cellStyle name="Normal 39 8 2" xfId="12045"/>
    <cellStyle name="Normal 39 9" xfId="6029"/>
    <cellStyle name="Normal 39 9 2" xfId="12068"/>
    <cellStyle name="Normal 39_Oblasts" xfId="6030"/>
    <cellStyle name="Normal 4" xfId="127"/>
    <cellStyle name="Normal 4 10" xfId="257"/>
    <cellStyle name="Normal 4 10 2" xfId="6033"/>
    <cellStyle name="Normal 4 10 2 2" xfId="12194"/>
    <cellStyle name="Normal 4 10 3" xfId="6032"/>
    <cellStyle name="Normal 4 10 4" xfId="8817"/>
    <cellStyle name="Normal 4 11" xfId="260"/>
    <cellStyle name="Normal 4 11 2" xfId="6035"/>
    <cellStyle name="Normal 4 11 2 2" xfId="12195"/>
    <cellStyle name="Normal 4 11 3" xfId="6034"/>
    <cellStyle name="Normal 4 11 4" xfId="8818"/>
    <cellStyle name="Normal 4 12" xfId="6036"/>
    <cellStyle name="Normal 4 12 2" xfId="8819"/>
    <cellStyle name="Normal 4 13" xfId="6037"/>
    <cellStyle name="Normal 4 13 2" xfId="8820"/>
    <cellStyle name="Normal 4 14" xfId="6038"/>
    <cellStyle name="Normal 4 14 2" xfId="8821"/>
    <cellStyle name="Normal 4 15" xfId="6039"/>
    <cellStyle name="Normal 4 15 2" xfId="8822"/>
    <cellStyle name="Normal 4 16" xfId="6040"/>
    <cellStyle name="Normal 4 16 2" xfId="8823"/>
    <cellStyle name="Normal 4 17" xfId="6041"/>
    <cellStyle name="Normal 4 17 2" xfId="8824"/>
    <cellStyle name="Normal 4 18" xfId="6042"/>
    <cellStyle name="Normal 4 18 2" xfId="8825"/>
    <cellStyle name="Normal 4 19" xfId="6043"/>
    <cellStyle name="Normal 4 19 2" xfId="8826"/>
    <cellStyle name="Normal 4 2" xfId="209"/>
    <cellStyle name="Normal 4 2 2" xfId="6045"/>
    <cellStyle name="Normal 4 2 2 2" xfId="10876"/>
    <cellStyle name="Normal 4 2 3" xfId="6046"/>
    <cellStyle name="Normal 4 2 3 2" xfId="10821"/>
    <cellStyle name="Normal 4 2 4" xfId="6047"/>
    <cellStyle name="Normal 4 2 5" xfId="6044"/>
    <cellStyle name="Normal 4 2 6" xfId="8827"/>
    <cellStyle name="Normal 4 20" xfId="6048"/>
    <cellStyle name="Normal 4 20 2" xfId="8828"/>
    <cellStyle name="Normal 4 21" xfId="6049"/>
    <cellStyle name="Normal 4 21 2" xfId="8829"/>
    <cellStyle name="Normal 4 22" xfId="6050"/>
    <cellStyle name="Normal 4 22 2" xfId="8830"/>
    <cellStyle name="Normal 4 23" xfId="6051"/>
    <cellStyle name="Normal 4 23 2" xfId="8831"/>
    <cellStyle name="Normal 4 24" xfId="6052"/>
    <cellStyle name="Normal 4 24 2" xfId="8832"/>
    <cellStyle name="Normal 4 25" xfId="6053"/>
    <cellStyle name="Normal 4 25 2" xfId="8833"/>
    <cellStyle name="Normal 4 26" xfId="6054"/>
    <cellStyle name="Normal 4 26 2" xfId="8834"/>
    <cellStyle name="Normal 4 27" xfId="6055"/>
    <cellStyle name="Normal 4 27 2" xfId="8835"/>
    <cellStyle name="Normal 4 28" xfId="6056"/>
    <cellStyle name="Normal 4 28 2" xfId="8836"/>
    <cellStyle name="Normal 4 29" xfId="6057"/>
    <cellStyle name="Normal 4 29 2" xfId="8837"/>
    <cellStyle name="Normal 4 3" xfId="210"/>
    <cellStyle name="Normal 4 3 2" xfId="6059"/>
    <cellStyle name="Normal 4 3 3" xfId="6060"/>
    <cellStyle name="Normal 4 3 3 2" xfId="12196"/>
    <cellStyle name="Normal 4 3 4" xfId="6058"/>
    <cellStyle name="Normal 4 3 5" xfId="8838"/>
    <cellStyle name="Normal 4 30" xfId="6061"/>
    <cellStyle name="Normal 4 30 2" xfId="8839"/>
    <cellStyle name="Normal 4 31" xfId="6062"/>
    <cellStyle name="Normal 4 31 2" xfId="8840"/>
    <cellStyle name="Normal 4 32" xfId="6063"/>
    <cellStyle name="Normal 4 32 2" xfId="8841"/>
    <cellStyle name="Normal 4 33" xfId="6064"/>
    <cellStyle name="Normal 4 33 2" xfId="8842"/>
    <cellStyle name="Normal 4 34" xfId="6065"/>
    <cellStyle name="Normal 4 34 2" xfId="8843"/>
    <cellStyle name="Normal 4 35" xfId="6066"/>
    <cellStyle name="Normal 4 35 2" xfId="8844"/>
    <cellStyle name="Normal 4 36" xfId="6067"/>
    <cellStyle name="Normal 4 36 2" xfId="8845"/>
    <cellStyle name="Normal 4 37" xfId="6068"/>
    <cellStyle name="Normal 4 37 2" xfId="8846"/>
    <cellStyle name="Normal 4 38" xfId="6069"/>
    <cellStyle name="Normal 4 38 2" xfId="8847"/>
    <cellStyle name="Normal 4 39" xfId="6070"/>
    <cellStyle name="Normal 4 39 2" xfId="8848"/>
    <cellStyle name="Normal 4 4" xfId="211"/>
    <cellStyle name="Normal 4 4 2" xfId="6072"/>
    <cellStyle name="Normal 4 4 3" xfId="6073"/>
    <cellStyle name="Normal 4 4 3 2" xfId="12197"/>
    <cellStyle name="Normal 4 4 4" xfId="6071"/>
    <cellStyle name="Normal 4 4 5" xfId="8849"/>
    <cellStyle name="Normal 4 40" xfId="6074"/>
    <cellStyle name="Normal 4 40 2" xfId="8850"/>
    <cellStyle name="Normal 4 41" xfId="6075"/>
    <cellStyle name="Normal 4 41 2" xfId="8851"/>
    <cellStyle name="Normal 4 42" xfId="6076"/>
    <cellStyle name="Normal 4 42 2" xfId="8852"/>
    <cellStyle name="Normal 4 43" xfId="6077"/>
    <cellStyle name="Normal 4 43 2" xfId="8853"/>
    <cellStyle name="Normal 4 44" xfId="6078"/>
    <cellStyle name="Normal 4 44 2" xfId="8854"/>
    <cellStyle name="Normal 4 45" xfId="6079"/>
    <cellStyle name="Normal 4 46" xfId="6080"/>
    <cellStyle name="Normal 4 47" xfId="6031"/>
    <cellStyle name="Normal 4 48" xfId="208"/>
    <cellStyle name="Normal 4 49" xfId="10791"/>
    <cellStyle name="Normal 4 5" xfId="212"/>
    <cellStyle name="Normal 4 5 2" xfId="6082"/>
    <cellStyle name="Normal 4 5 3" xfId="6083"/>
    <cellStyle name="Normal 4 5 3 2" xfId="12198"/>
    <cellStyle name="Normal 4 5 4" xfId="6081"/>
    <cellStyle name="Normal 4 5 5" xfId="8855"/>
    <cellStyle name="Normal 4 6" xfId="213"/>
    <cellStyle name="Normal 4 6 2" xfId="6085"/>
    <cellStyle name="Normal 4 6 2 2" xfId="12199"/>
    <cellStyle name="Normal 4 6 3" xfId="6084"/>
    <cellStyle name="Normal 4 6 4" xfId="8856"/>
    <cellStyle name="Normal 4 7" xfId="214"/>
    <cellStyle name="Normal 4 7 2" xfId="6087"/>
    <cellStyle name="Normal 4 7 2 2" xfId="12200"/>
    <cellStyle name="Normal 4 7 3" xfId="6086"/>
    <cellStyle name="Normal 4 7 4" xfId="8857"/>
    <cellStyle name="Normal 4 8" xfId="215"/>
    <cellStyle name="Normal 4 8 2" xfId="6089"/>
    <cellStyle name="Normal 4 8 2 2" xfId="12201"/>
    <cellStyle name="Normal 4 8 3" xfId="6088"/>
    <cellStyle name="Normal 4 8 4" xfId="8858"/>
    <cellStyle name="Normal 4 9" xfId="216"/>
    <cellStyle name="Normal 4 9 2" xfId="6091"/>
    <cellStyle name="Normal 4 9 2 2" xfId="12202"/>
    <cellStyle name="Normal 4 9 3" xfId="6090"/>
    <cellStyle name="Normal 4 9 4" xfId="8859"/>
    <cellStyle name="Normal 40" xfId="6092"/>
    <cellStyle name="Normal 40 2" xfId="6093"/>
    <cellStyle name="Normal 40 2 2" xfId="10855"/>
    <cellStyle name="Normal 40 3" xfId="8860"/>
    <cellStyle name="Normal 41" xfId="6094"/>
    <cellStyle name="Normal 41 10" xfId="6095"/>
    <cellStyle name="Normal 41 10 2" xfId="12065"/>
    <cellStyle name="Normal 41 11" xfId="8861"/>
    <cellStyle name="Normal 41 2" xfId="6096"/>
    <cellStyle name="Normal 41 2 2" xfId="6097"/>
    <cellStyle name="Normal 41 2 2 2" xfId="8863"/>
    <cellStyle name="Normal 41 2 3" xfId="6098"/>
    <cellStyle name="Normal 41 2 3 2" xfId="8864"/>
    <cellStyle name="Normal 41 2 4" xfId="6099"/>
    <cellStyle name="Normal 41 2 4 2" xfId="8865"/>
    <cellStyle name="Normal 41 2 5" xfId="8862"/>
    <cellStyle name="Normal 41 2_Q410 Novosibirsk" xfId="6100"/>
    <cellStyle name="Normal 41 3" xfId="6101"/>
    <cellStyle name="Normal 41 3 2" xfId="10850"/>
    <cellStyle name="Normal 41 4" xfId="6102"/>
    <cellStyle name="Normal 41 4 2" xfId="12043"/>
    <cellStyle name="Normal 41 5" xfId="6103"/>
    <cellStyle name="Normal 41 5 2" xfId="12077"/>
    <cellStyle name="Normal 41 6" xfId="6104"/>
    <cellStyle name="Normal 41 6 2" xfId="12079"/>
    <cellStyle name="Normal 41 7" xfId="6105"/>
    <cellStyle name="Normal 41 7 2" xfId="12074"/>
    <cellStyle name="Normal 41 8" xfId="6106"/>
    <cellStyle name="Normal 41 8 2" xfId="12054"/>
    <cellStyle name="Normal 41 9" xfId="6107"/>
    <cellStyle name="Normal 41 9 2" xfId="12052"/>
    <cellStyle name="Normal 41_Q410 Novosibirsk" xfId="6108"/>
    <cellStyle name="Normal 42" xfId="6109"/>
    <cellStyle name="Normal 42 2" xfId="6110"/>
    <cellStyle name="Normal 42 2 2" xfId="10854"/>
    <cellStyle name="Normal 42 3" xfId="8866"/>
    <cellStyle name="Normal 43" xfId="6111"/>
    <cellStyle name="Normal 43 10" xfId="6112"/>
    <cellStyle name="Normal 43 10 2" xfId="12063"/>
    <cellStyle name="Normal 43 11" xfId="8867"/>
    <cellStyle name="Normal 43 2" xfId="6113"/>
    <cellStyle name="Normal 43 2 2" xfId="6114"/>
    <cellStyle name="Normal 43 2 2 2" xfId="8869"/>
    <cellStyle name="Normal 43 2 3" xfId="6115"/>
    <cellStyle name="Normal 43 2 3 2" xfId="8870"/>
    <cellStyle name="Normal 43 2 4" xfId="6116"/>
    <cellStyle name="Normal 43 2 4 2" xfId="8871"/>
    <cellStyle name="Normal 43 2 5" xfId="8868"/>
    <cellStyle name="Normal 43 2_Q410 Novosibirsk" xfId="6117"/>
    <cellStyle name="Normal 43 3" xfId="6118"/>
    <cellStyle name="Normal 43 3 2" xfId="10852"/>
    <cellStyle name="Normal 43 4" xfId="6119"/>
    <cellStyle name="Normal 43 4 2" xfId="12044"/>
    <cellStyle name="Normal 43 5" xfId="6120"/>
    <cellStyle name="Normal 43 5 2" xfId="12073"/>
    <cellStyle name="Normal 43 6" xfId="6121"/>
    <cellStyle name="Normal 43 6 2" xfId="12058"/>
    <cellStyle name="Normal 43 7" xfId="6122"/>
    <cellStyle name="Normal 43 7 2" xfId="12067"/>
    <cellStyle name="Normal 43 8" xfId="6123"/>
    <cellStyle name="Normal 43 8 2" xfId="12076"/>
    <cellStyle name="Normal 43 9" xfId="6124"/>
    <cellStyle name="Normal 43 9 2" xfId="12057"/>
    <cellStyle name="Normal 43_Q410 Novosibirsk" xfId="6125"/>
    <cellStyle name="Normal 44" xfId="6126"/>
    <cellStyle name="Normal 44 2" xfId="6127"/>
    <cellStyle name="Normal 44 2 2" xfId="10849"/>
    <cellStyle name="Normal 44 3" xfId="8872"/>
    <cellStyle name="Normal 45" xfId="6128"/>
    <cellStyle name="Normal 45 10" xfId="6129"/>
    <cellStyle name="Normal 45 10 2" xfId="12088"/>
    <cellStyle name="Normal 45 11" xfId="8873"/>
    <cellStyle name="Normal 45 2" xfId="6130"/>
    <cellStyle name="Normal 45 2 2" xfId="6131"/>
    <cellStyle name="Normal 45 2 2 2" xfId="8875"/>
    <cellStyle name="Normal 45 2 3" xfId="6132"/>
    <cellStyle name="Normal 45 2 3 2" xfId="8876"/>
    <cellStyle name="Normal 45 2 4" xfId="6133"/>
    <cellStyle name="Normal 45 2 4 2" xfId="8877"/>
    <cellStyle name="Normal 45 2 5" xfId="8874"/>
    <cellStyle name="Normal 45 2_Q410 Novosibirsk" xfId="6134"/>
    <cellStyle name="Normal 45 3" xfId="6135"/>
    <cellStyle name="Normal 45 3 2" xfId="10831"/>
    <cellStyle name="Normal 45 4" xfId="6136"/>
    <cellStyle name="Normal 45 4 2" xfId="12039"/>
    <cellStyle name="Normal 45 5" xfId="6137"/>
    <cellStyle name="Normal 45 5 2" xfId="12084"/>
    <cellStyle name="Normal 45 6" xfId="6138"/>
    <cellStyle name="Normal 45 6 2" xfId="12064"/>
    <cellStyle name="Normal 45 7" xfId="6139"/>
    <cellStyle name="Normal 45 7 2" xfId="12051"/>
    <cellStyle name="Normal 45 8" xfId="6140"/>
    <cellStyle name="Normal 45 8 2" xfId="12071"/>
    <cellStyle name="Normal 45 9" xfId="6141"/>
    <cellStyle name="Normal 45 9 2" xfId="12086"/>
    <cellStyle name="Normal 45_Q410 Novosibirsk" xfId="6142"/>
    <cellStyle name="Normal 46" xfId="6143"/>
    <cellStyle name="Normal 46 2" xfId="6144"/>
    <cellStyle name="Normal 46 2 2" xfId="10860"/>
    <cellStyle name="Normal 46 3" xfId="8878"/>
    <cellStyle name="Normal 47" xfId="6145"/>
    <cellStyle name="Normal 47 2" xfId="6146"/>
    <cellStyle name="Normal 47 2 2" xfId="10862"/>
    <cellStyle name="Normal 47 3" xfId="8879"/>
    <cellStyle name="Normal 48" xfId="6147"/>
    <cellStyle name="Normal 48 2" xfId="6148"/>
    <cellStyle name="Normal 48 2 2" xfId="10859"/>
    <cellStyle name="Normal 48 3" xfId="8880"/>
    <cellStyle name="Normal 49" xfId="6149"/>
    <cellStyle name="Normal 49 2" xfId="6150"/>
    <cellStyle name="Normal 49 2 2" xfId="6151"/>
    <cellStyle name="Normal 49 2 2 2" xfId="9979"/>
    <cellStyle name="Normal 49 2 3" xfId="8881"/>
    <cellStyle name="Normal 49 3" xfId="6152"/>
    <cellStyle name="Normal 49 3 2" xfId="6153"/>
    <cellStyle name="Normal 49 3 2 2" xfId="9980"/>
    <cellStyle name="Normal 49 3 3" xfId="8882"/>
    <cellStyle name="Normal 49 4" xfId="6154"/>
    <cellStyle name="Normal 49 4 2" xfId="6155"/>
    <cellStyle name="Normal 49 4 2 2" xfId="9981"/>
    <cellStyle name="Normal 49 4 3" xfId="8883"/>
    <cellStyle name="Normal 49 5" xfId="6156"/>
    <cellStyle name="Normal 49 5 2" xfId="6157"/>
    <cellStyle name="Normal 49 5 2 2" xfId="9982"/>
    <cellStyle name="Normal 49 5 3" xfId="8884"/>
    <cellStyle name="Normal 49 6" xfId="8412"/>
    <cellStyle name="Normal 5" xfId="217"/>
    <cellStyle name="Normal 5 10" xfId="258"/>
    <cellStyle name="Normal 5 10 2" xfId="6159"/>
    <cellStyle name="Normal 5 11" xfId="261"/>
    <cellStyle name="Normal 5 11 2" xfId="6160"/>
    <cellStyle name="Normal 5 12" xfId="6161"/>
    <cellStyle name="Normal 5 13" xfId="6158"/>
    <cellStyle name="Normal 5 14" xfId="10792"/>
    <cellStyle name="Normal 5 2" xfId="218"/>
    <cellStyle name="Normal 5 2 2" xfId="6163"/>
    <cellStyle name="Normal 5 2 2 2" xfId="10890"/>
    <cellStyle name="Normal 5 2 3" xfId="6164"/>
    <cellStyle name="Normal 5 2 3 2" xfId="10824"/>
    <cellStyle name="Normal 5 2 4" xfId="6165"/>
    <cellStyle name="Normal 5 2 5" xfId="6162"/>
    <cellStyle name="Normal 5 2 6" xfId="8885"/>
    <cellStyle name="Normal 5 3" xfId="219"/>
    <cellStyle name="Normal 5 3 2" xfId="6167"/>
    <cellStyle name="Normal 5 3 3" xfId="6168"/>
    <cellStyle name="Normal 5 3 3 2" xfId="12203"/>
    <cellStyle name="Normal 5 3 4" xfId="6166"/>
    <cellStyle name="Normal 5 3 5" xfId="8886"/>
    <cellStyle name="Normal 5 4" xfId="220"/>
    <cellStyle name="Normal 5 4 2" xfId="6170"/>
    <cellStyle name="Normal 5 4 3" xfId="6171"/>
    <cellStyle name="Normal 5 4 3 2" xfId="12204"/>
    <cellStyle name="Normal 5 4 4" xfId="6169"/>
    <cellStyle name="Normal 5 4 5" xfId="8887"/>
    <cellStyle name="Normal 5 5" xfId="221"/>
    <cellStyle name="Normal 5 5 2" xfId="6173"/>
    <cellStyle name="Normal 5 5 3" xfId="6174"/>
    <cellStyle name="Normal 5 5 3 2" xfId="12205"/>
    <cellStyle name="Normal 5 5 4" xfId="6172"/>
    <cellStyle name="Normal 5 5 5" xfId="8888"/>
    <cellStyle name="Normal 5 6" xfId="222"/>
    <cellStyle name="Normal 5 6 2" xfId="6176"/>
    <cellStyle name="Normal 5 6 3" xfId="6175"/>
    <cellStyle name="Normal 5 7" xfId="223"/>
    <cellStyle name="Normal 5 7 2" xfId="6177"/>
    <cellStyle name="Normal 5 8" xfId="224"/>
    <cellStyle name="Normal 5 8 2" xfId="6178"/>
    <cellStyle name="Normal 5 9" xfId="225"/>
    <cellStyle name="Normal 5 9 2" xfId="6179"/>
    <cellStyle name="Normal 50" xfId="6180"/>
    <cellStyle name="Normal 50 2" xfId="6181"/>
    <cellStyle name="Normal 50 2 2" xfId="6182"/>
    <cellStyle name="Normal 50 2 2 2" xfId="9983"/>
    <cellStyle name="Normal 50 2 3" xfId="8889"/>
    <cellStyle name="Normal 50 3" xfId="6183"/>
    <cellStyle name="Normal 50 3 2" xfId="6184"/>
    <cellStyle name="Normal 50 3 2 2" xfId="9984"/>
    <cellStyle name="Normal 50 3 3" xfId="8890"/>
    <cellStyle name="Normal 50 4" xfId="6185"/>
    <cellStyle name="Normal 50 4 2" xfId="6186"/>
    <cellStyle name="Normal 50 4 2 2" xfId="9985"/>
    <cellStyle name="Normal 50 4 3" xfId="8891"/>
    <cellStyle name="Normal 50 5" xfId="6187"/>
    <cellStyle name="Normal 50 5 2" xfId="6188"/>
    <cellStyle name="Normal 50 5 2 2" xfId="9986"/>
    <cellStyle name="Normal 50 5 3" xfId="8892"/>
    <cellStyle name="Normal 50 6" xfId="10798"/>
    <cellStyle name="Normal 51" xfId="6189"/>
    <cellStyle name="Normal 51 2" xfId="6190"/>
    <cellStyle name="Normal 51 2 2" xfId="6191"/>
    <cellStyle name="Normal 51 2 2 2" xfId="9987"/>
    <cellStyle name="Normal 51 2 3" xfId="8893"/>
    <cellStyle name="Normal 51 3" xfId="6192"/>
    <cellStyle name="Normal 51 3 2" xfId="6193"/>
    <cellStyle name="Normal 51 3 2 2" xfId="9988"/>
    <cellStyle name="Normal 51 3 3" xfId="8894"/>
    <cellStyle name="Normal 51 4" xfId="6194"/>
    <cellStyle name="Normal 51 4 2" xfId="6195"/>
    <cellStyle name="Normal 51 4 2 2" xfId="9989"/>
    <cellStyle name="Normal 51 4 3" xfId="8895"/>
    <cellStyle name="Normal 51 5" xfId="6196"/>
    <cellStyle name="Normal 51 5 2" xfId="6197"/>
    <cellStyle name="Normal 51 5 2 2" xfId="9990"/>
    <cellStyle name="Normal 51 5 3" xfId="8896"/>
    <cellStyle name="Normal 51 6" xfId="10853"/>
    <cellStyle name="Normal 52" xfId="6198"/>
    <cellStyle name="Normal 52 2" xfId="6199"/>
    <cellStyle name="Normal 52 2 2" xfId="6200"/>
    <cellStyle name="Normal 52 2 2 2" xfId="9991"/>
    <cellStyle name="Normal 52 2 3" xfId="8897"/>
    <cellStyle name="Normal 52 3" xfId="6201"/>
    <cellStyle name="Normal 52 3 2" xfId="6202"/>
    <cellStyle name="Normal 52 3 2 2" xfId="9992"/>
    <cellStyle name="Normal 52 3 3" xfId="8898"/>
    <cellStyle name="Normal 52 4" xfId="6203"/>
    <cellStyle name="Normal 52 4 2" xfId="6204"/>
    <cellStyle name="Normal 52 4 2 2" xfId="9993"/>
    <cellStyle name="Normal 52 4 3" xfId="8899"/>
    <cellStyle name="Normal 52 5" xfId="6205"/>
    <cellStyle name="Normal 52 5 2" xfId="6206"/>
    <cellStyle name="Normal 52 5 2 2" xfId="9994"/>
    <cellStyle name="Normal 52 5 3" xfId="8900"/>
    <cellStyle name="Normal 52 6" xfId="10861"/>
    <cellStyle name="Normal 53" xfId="6207"/>
    <cellStyle name="Normal 53 10" xfId="6208"/>
    <cellStyle name="Normal 53 10 2" xfId="6209"/>
    <cellStyle name="Normal 53 10 2 2" xfId="9995"/>
    <cellStyle name="Normal 53 10 3" xfId="8901"/>
    <cellStyle name="Normal 53 11" xfId="6210"/>
    <cellStyle name="Normal 53 11 2" xfId="6211"/>
    <cellStyle name="Normal 53 11 2 2" xfId="9996"/>
    <cellStyle name="Normal 53 11 3" xfId="8902"/>
    <cellStyle name="Normal 53 12" xfId="6212"/>
    <cellStyle name="Normal 53 12 2" xfId="6213"/>
    <cellStyle name="Normal 53 12 2 2" xfId="9997"/>
    <cellStyle name="Normal 53 12 3" xfId="8903"/>
    <cellStyle name="Normal 53 13" xfId="6214"/>
    <cellStyle name="Normal 53 13 2" xfId="6215"/>
    <cellStyle name="Normal 53 13 2 2" xfId="9998"/>
    <cellStyle name="Normal 53 13 3" xfId="8904"/>
    <cellStyle name="Normal 53 14" xfId="6216"/>
    <cellStyle name="Normal 53 14 2" xfId="6217"/>
    <cellStyle name="Normal 53 14 2 2" xfId="9999"/>
    <cellStyle name="Normal 53 14 3" xfId="8905"/>
    <cellStyle name="Normal 53 15" xfId="6218"/>
    <cellStyle name="Normal 53 15 2" xfId="6219"/>
    <cellStyle name="Normal 53 15 2 2" xfId="10000"/>
    <cellStyle name="Normal 53 15 3" xfId="8906"/>
    <cellStyle name="Normal 53 16" xfId="6220"/>
    <cellStyle name="Normal 53 16 2" xfId="6221"/>
    <cellStyle name="Normal 53 16 2 2" xfId="10001"/>
    <cellStyle name="Normal 53 16 3" xfId="8907"/>
    <cellStyle name="Normal 53 17" xfId="6222"/>
    <cellStyle name="Normal 53 17 2" xfId="6223"/>
    <cellStyle name="Normal 53 17 2 2" xfId="10002"/>
    <cellStyle name="Normal 53 17 3" xfId="8908"/>
    <cellStyle name="Normal 53 18" xfId="6224"/>
    <cellStyle name="Normal 53 18 2" xfId="6225"/>
    <cellStyle name="Normal 53 18 2 2" xfId="10003"/>
    <cellStyle name="Normal 53 18 3" xfId="8909"/>
    <cellStyle name="Normal 53 19" xfId="6226"/>
    <cellStyle name="Normal 53 19 2" xfId="6227"/>
    <cellStyle name="Normal 53 19 2 2" xfId="10004"/>
    <cellStyle name="Normal 53 19 3" xfId="8910"/>
    <cellStyle name="Normal 53 2" xfId="6228"/>
    <cellStyle name="Normal 53 2 2" xfId="6229"/>
    <cellStyle name="Normal 53 2 2 2" xfId="10005"/>
    <cellStyle name="Normal 53 2 3" xfId="8911"/>
    <cellStyle name="Normal 53 20" xfId="6230"/>
    <cellStyle name="Normal 53 20 2" xfId="6231"/>
    <cellStyle name="Normal 53 20 2 2" xfId="10006"/>
    <cellStyle name="Normal 53 20 3" xfId="8912"/>
    <cellStyle name="Normal 53 21" xfId="6232"/>
    <cellStyle name="Normal 53 21 2" xfId="6233"/>
    <cellStyle name="Normal 53 21 2 2" xfId="10007"/>
    <cellStyle name="Normal 53 21 3" xfId="8913"/>
    <cellStyle name="Normal 53 22" xfId="6234"/>
    <cellStyle name="Normal 53 22 2" xfId="6235"/>
    <cellStyle name="Normal 53 22 2 2" xfId="10008"/>
    <cellStyle name="Normal 53 22 3" xfId="8914"/>
    <cellStyle name="Normal 53 23" xfId="6236"/>
    <cellStyle name="Normal 53 23 2" xfId="6237"/>
    <cellStyle name="Normal 53 23 2 2" xfId="10009"/>
    <cellStyle name="Normal 53 23 3" xfId="8915"/>
    <cellStyle name="Normal 53 24" xfId="6238"/>
    <cellStyle name="Normal 53 24 2" xfId="6239"/>
    <cellStyle name="Normal 53 24 2 2" xfId="10010"/>
    <cellStyle name="Normal 53 24 3" xfId="8916"/>
    <cellStyle name="Normal 53 25" xfId="6240"/>
    <cellStyle name="Normal 53 25 2" xfId="6241"/>
    <cellStyle name="Normal 53 25 2 2" xfId="10011"/>
    <cellStyle name="Normal 53 25 3" xfId="8917"/>
    <cellStyle name="Normal 53 26" xfId="6242"/>
    <cellStyle name="Normal 53 26 2" xfId="6243"/>
    <cellStyle name="Normal 53 26 2 2" xfId="10012"/>
    <cellStyle name="Normal 53 26 3" xfId="8918"/>
    <cellStyle name="Normal 53 3" xfId="6244"/>
    <cellStyle name="Normal 53 3 2" xfId="6245"/>
    <cellStyle name="Normal 53 3 2 2" xfId="10013"/>
    <cellStyle name="Normal 53 3 3" xfId="8919"/>
    <cellStyle name="Normal 53 4" xfId="6246"/>
    <cellStyle name="Normal 53 4 2" xfId="6247"/>
    <cellStyle name="Normal 53 4 2 2" xfId="10014"/>
    <cellStyle name="Normal 53 4 3" xfId="8920"/>
    <cellStyle name="Normal 53 5" xfId="6248"/>
    <cellStyle name="Normal 53 5 2" xfId="6249"/>
    <cellStyle name="Normal 53 5 2 2" xfId="10015"/>
    <cellStyle name="Normal 53 5 3" xfId="8921"/>
    <cellStyle name="Normal 53 6" xfId="6250"/>
    <cellStyle name="Normal 53 6 2" xfId="6251"/>
    <cellStyle name="Normal 53 6 2 2" xfId="10016"/>
    <cellStyle name="Normal 53 6 3" xfId="8922"/>
    <cellStyle name="Normal 53 7" xfId="6252"/>
    <cellStyle name="Normal 53 7 2" xfId="6253"/>
    <cellStyle name="Normal 53 7 2 2" xfId="10017"/>
    <cellStyle name="Normal 53 7 3" xfId="8923"/>
    <cellStyle name="Normal 53 8" xfId="6254"/>
    <cellStyle name="Normal 53 8 2" xfId="6255"/>
    <cellStyle name="Normal 53 8 2 2" xfId="10018"/>
    <cellStyle name="Normal 53 8 3" xfId="8924"/>
    <cellStyle name="Normal 53 9" xfId="6256"/>
    <cellStyle name="Normal 53 9 2" xfId="6257"/>
    <cellStyle name="Normal 53 9 2 2" xfId="10019"/>
    <cellStyle name="Normal 53 9 3" xfId="8925"/>
    <cellStyle name="Normal 54" xfId="6258"/>
    <cellStyle name="Normal 54 10" xfId="6259"/>
    <cellStyle name="Normal 54 10 2" xfId="6260"/>
    <cellStyle name="Normal 54 10 2 2" xfId="10020"/>
    <cellStyle name="Normal 54 10 3" xfId="8926"/>
    <cellStyle name="Normal 54 11" xfId="6261"/>
    <cellStyle name="Normal 54 11 2" xfId="6262"/>
    <cellStyle name="Normal 54 11 2 2" xfId="10021"/>
    <cellStyle name="Normal 54 11 3" xfId="8927"/>
    <cellStyle name="Normal 54 12" xfId="6263"/>
    <cellStyle name="Normal 54 12 2" xfId="6264"/>
    <cellStyle name="Normal 54 12 2 2" xfId="10022"/>
    <cellStyle name="Normal 54 12 3" xfId="8928"/>
    <cellStyle name="Normal 54 13" xfId="6265"/>
    <cellStyle name="Normal 54 13 2" xfId="6266"/>
    <cellStyle name="Normal 54 13 2 2" xfId="10023"/>
    <cellStyle name="Normal 54 13 3" xfId="8929"/>
    <cellStyle name="Normal 54 14" xfId="6267"/>
    <cellStyle name="Normal 54 14 2" xfId="6268"/>
    <cellStyle name="Normal 54 14 2 2" xfId="10024"/>
    <cellStyle name="Normal 54 14 3" xfId="8930"/>
    <cellStyle name="Normal 54 15" xfId="6269"/>
    <cellStyle name="Normal 54 15 2" xfId="6270"/>
    <cellStyle name="Normal 54 15 2 2" xfId="10025"/>
    <cellStyle name="Normal 54 15 3" xfId="8931"/>
    <cellStyle name="Normal 54 16" xfId="10904"/>
    <cellStyle name="Normal 54 2" xfId="6271"/>
    <cellStyle name="Normal 54 2 2" xfId="6272"/>
    <cellStyle name="Normal 54 2 2 2" xfId="10026"/>
    <cellStyle name="Normal 54 2 3" xfId="8932"/>
    <cellStyle name="Normal 54 3" xfId="6273"/>
    <cellStyle name="Normal 54 3 2" xfId="6274"/>
    <cellStyle name="Normal 54 3 2 2" xfId="10027"/>
    <cellStyle name="Normal 54 3 3" xfId="8933"/>
    <cellStyle name="Normal 54 4" xfId="6275"/>
    <cellStyle name="Normal 54 4 2" xfId="6276"/>
    <cellStyle name="Normal 54 4 2 2" xfId="10028"/>
    <cellStyle name="Normal 54 4 3" xfId="8934"/>
    <cellStyle name="Normal 54 5" xfId="6277"/>
    <cellStyle name="Normal 54 5 2" xfId="6278"/>
    <cellStyle name="Normal 54 5 2 2" xfId="10029"/>
    <cellStyle name="Normal 54 5 3" xfId="8935"/>
    <cellStyle name="Normal 54 6" xfId="6279"/>
    <cellStyle name="Normal 54 6 2" xfId="6280"/>
    <cellStyle name="Normal 54 6 2 2" xfId="10030"/>
    <cellStyle name="Normal 54 6 3" xfId="8936"/>
    <cellStyle name="Normal 54 7" xfId="6281"/>
    <cellStyle name="Normal 54 7 2" xfId="6282"/>
    <cellStyle name="Normal 54 7 2 2" xfId="10031"/>
    <cellStyle name="Normal 54 7 3" xfId="8937"/>
    <cellStyle name="Normal 54 8" xfId="6283"/>
    <cellStyle name="Normal 54 8 2" xfId="6284"/>
    <cellStyle name="Normal 54 8 2 2" xfId="10032"/>
    <cellStyle name="Normal 54 8 3" xfId="8938"/>
    <cellStyle name="Normal 54 9" xfId="6285"/>
    <cellStyle name="Normal 54 9 2" xfId="6286"/>
    <cellStyle name="Normal 54 9 2 2" xfId="10033"/>
    <cellStyle name="Normal 54 9 3" xfId="8939"/>
    <cellStyle name="Normal 55" xfId="6287"/>
    <cellStyle name="Normal 55 10" xfId="6288"/>
    <cellStyle name="Normal 55 10 2" xfId="6289"/>
    <cellStyle name="Normal 55 10 2 2" xfId="10034"/>
    <cellStyle name="Normal 55 10 3" xfId="8940"/>
    <cellStyle name="Normal 55 11" xfId="6290"/>
    <cellStyle name="Normal 55 11 2" xfId="6291"/>
    <cellStyle name="Normal 55 11 2 2" xfId="10035"/>
    <cellStyle name="Normal 55 11 3" xfId="8941"/>
    <cellStyle name="Normal 55 12" xfId="6292"/>
    <cellStyle name="Normal 55 12 2" xfId="6293"/>
    <cellStyle name="Normal 55 12 2 2" xfId="10036"/>
    <cellStyle name="Normal 55 12 3" xfId="8942"/>
    <cellStyle name="Normal 55 13" xfId="6294"/>
    <cellStyle name="Normal 55 13 2" xfId="6295"/>
    <cellStyle name="Normal 55 13 2 2" xfId="10037"/>
    <cellStyle name="Normal 55 13 3" xfId="8943"/>
    <cellStyle name="Normal 55 14" xfId="6296"/>
    <cellStyle name="Normal 55 14 2" xfId="6297"/>
    <cellStyle name="Normal 55 14 2 2" xfId="10038"/>
    <cellStyle name="Normal 55 14 3" xfId="8944"/>
    <cellStyle name="Normal 55 15" xfId="6298"/>
    <cellStyle name="Normal 55 15 2" xfId="6299"/>
    <cellStyle name="Normal 55 15 2 2" xfId="10039"/>
    <cellStyle name="Normal 55 15 3" xfId="8945"/>
    <cellStyle name="Normal 55 16" xfId="10910"/>
    <cellStyle name="Normal 55 2" xfId="6300"/>
    <cellStyle name="Normal 55 2 2" xfId="6301"/>
    <cellStyle name="Normal 55 2 2 2" xfId="10040"/>
    <cellStyle name="Normal 55 2 3" xfId="8946"/>
    <cellStyle name="Normal 55 3" xfId="6302"/>
    <cellStyle name="Normal 55 3 2" xfId="6303"/>
    <cellStyle name="Normal 55 3 2 2" xfId="10041"/>
    <cellStyle name="Normal 55 3 3" xfId="8947"/>
    <cellStyle name="Normal 55 4" xfId="6304"/>
    <cellStyle name="Normal 55 4 2" xfId="6305"/>
    <cellStyle name="Normal 55 4 2 2" xfId="10042"/>
    <cellStyle name="Normal 55 4 3" xfId="8948"/>
    <cellStyle name="Normal 55 5" xfId="6306"/>
    <cellStyle name="Normal 55 5 2" xfId="6307"/>
    <cellStyle name="Normal 55 5 2 2" xfId="10043"/>
    <cellStyle name="Normal 55 5 3" xfId="8949"/>
    <cellStyle name="Normal 55 6" xfId="6308"/>
    <cellStyle name="Normal 55 6 2" xfId="6309"/>
    <cellStyle name="Normal 55 6 2 2" xfId="10044"/>
    <cellStyle name="Normal 55 6 3" xfId="8950"/>
    <cellStyle name="Normal 55 7" xfId="6310"/>
    <cellStyle name="Normal 55 7 2" xfId="6311"/>
    <cellStyle name="Normal 55 7 2 2" xfId="10045"/>
    <cellStyle name="Normal 55 7 3" xfId="8951"/>
    <cellStyle name="Normal 55 8" xfId="6312"/>
    <cellStyle name="Normal 55 8 2" xfId="6313"/>
    <cellStyle name="Normal 55 8 2 2" xfId="10046"/>
    <cellStyle name="Normal 55 8 3" xfId="8952"/>
    <cellStyle name="Normal 55 9" xfId="6314"/>
    <cellStyle name="Normal 55 9 2" xfId="6315"/>
    <cellStyle name="Normal 55 9 2 2" xfId="10047"/>
    <cellStyle name="Normal 55 9 3" xfId="8953"/>
    <cellStyle name="Normal 56" xfId="6316"/>
    <cellStyle name="Normal 56 2" xfId="6317"/>
    <cellStyle name="Normal 56 2 2" xfId="6318"/>
    <cellStyle name="Normal 56 2 2 2" xfId="10048"/>
    <cellStyle name="Normal 56 2 3" xfId="8954"/>
    <cellStyle name="Normal 56 3" xfId="6319"/>
    <cellStyle name="Normal 56 3 2" xfId="6320"/>
    <cellStyle name="Normal 56 3 2 2" xfId="10049"/>
    <cellStyle name="Normal 56 3 3" xfId="8955"/>
    <cellStyle name="Normal 56 4" xfId="6321"/>
    <cellStyle name="Normal 56 4 2" xfId="6322"/>
    <cellStyle name="Normal 56 4 2 2" xfId="10050"/>
    <cellStyle name="Normal 56 4 3" xfId="8956"/>
    <cellStyle name="Normal 56 5" xfId="6323"/>
    <cellStyle name="Normal 56 5 2" xfId="6324"/>
    <cellStyle name="Normal 56 5 2 2" xfId="10051"/>
    <cellStyle name="Normal 56 5 3" xfId="8957"/>
    <cellStyle name="Normal 56 6" xfId="10912"/>
    <cellStyle name="Normal 57" xfId="6325"/>
    <cellStyle name="Normal 57 2" xfId="6326"/>
    <cellStyle name="Normal 57 2 2" xfId="6327"/>
    <cellStyle name="Normal 57 2 2 2" xfId="10052"/>
    <cellStyle name="Normal 57 2 3" xfId="8958"/>
    <cellStyle name="Normal 57 3" xfId="6328"/>
    <cellStyle name="Normal 57 3 2" xfId="6329"/>
    <cellStyle name="Normal 57 3 2 2" xfId="10053"/>
    <cellStyle name="Normal 57 3 3" xfId="8959"/>
    <cellStyle name="Normal 57 4" xfId="6330"/>
    <cellStyle name="Normal 57 4 2" xfId="6331"/>
    <cellStyle name="Normal 57 4 2 2" xfId="10054"/>
    <cellStyle name="Normal 57 4 3" xfId="8960"/>
    <cellStyle name="Normal 57 5" xfId="6332"/>
    <cellStyle name="Normal 57 5 2" xfId="6333"/>
    <cellStyle name="Normal 57 5 2 2" xfId="10055"/>
    <cellStyle name="Normal 57 5 3" xfId="8961"/>
    <cellStyle name="Normal 57 6" xfId="10908"/>
    <cellStyle name="Normal 58" xfId="6334"/>
    <cellStyle name="Normal 58 2" xfId="6335"/>
    <cellStyle name="Normal 58 2 2" xfId="6336"/>
    <cellStyle name="Normal 58 2 2 2" xfId="10056"/>
    <cellStyle name="Normal 58 2 3" xfId="8962"/>
    <cellStyle name="Normal 58 3" xfId="6337"/>
    <cellStyle name="Normal 58 3 2" xfId="6338"/>
    <cellStyle name="Normal 58 3 2 2" xfId="10057"/>
    <cellStyle name="Normal 58 3 3" xfId="8963"/>
    <cellStyle name="Normal 58 4" xfId="6339"/>
    <cellStyle name="Normal 58 4 2" xfId="6340"/>
    <cellStyle name="Normal 58 4 2 2" xfId="10058"/>
    <cellStyle name="Normal 58 4 3" xfId="8964"/>
    <cellStyle name="Normal 58 5" xfId="6341"/>
    <cellStyle name="Normal 58 5 2" xfId="6342"/>
    <cellStyle name="Normal 58 5 2 2" xfId="10059"/>
    <cellStyle name="Normal 58 5 3" xfId="8965"/>
    <cellStyle name="Normal 58 6" xfId="10907"/>
    <cellStyle name="Normal 59" xfId="6343"/>
    <cellStyle name="Normal 59 10" xfId="6344"/>
    <cellStyle name="Normal 59 10 2" xfId="6345"/>
    <cellStyle name="Normal 59 10 2 2" xfId="10060"/>
    <cellStyle name="Normal 59 10 3" xfId="8966"/>
    <cellStyle name="Normal 59 11" xfId="6346"/>
    <cellStyle name="Normal 59 11 2" xfId="6347"/>
    <cellStyle name="Normal 59 11 2 2" xfId="10061"/>
    <cellStyle name="Normal 59 11 3" xfId="8967"/>
    <cellStyle name="Normal 59 12" xfId="6348"/>
    <cellStyle name="Normal 59 12 2" xfId="6349"/>
    <cellStyle name="Normal 59 12 2 2" xfId="10062"/>
    <cellStyle name="Normal 59 12 3" xfId="8968"/>
    <cellStyle name="Normal 59 13" xfId="6350"/>
    <cellStyle name="Normal 59 13 2" xfId="6351"/>
    <cellStyle name="Normal 59 13 2 2" xfId="10063"/>
    <cellStyle name="Normal 59 13 3" xfId="8969"/>
    <cellStyle name="Normal 59 14" xfId="6352"/>
    <cellStyle name="Normal 59 14 2" xfId="6353"/>
    <cellStyle name="Normal 59 14 2 2" xfId="10064"/>
    <cellStyle name="Normal 59 14 3" xfId="8970"/>
    <cellStyle name="Normal 59 15" xfId="6354"/>
    <cellStyle name="Normal 59 15 2" xfId="6355"/>
    <cellStyle name="Normal 59 15 2 2" xfId="10065"/>
    <cellStyle name="Normal 59 15 3" xfId="8971"/>
    <cellStyle name="Normal 59 16" xfId="6356"/>
    <cellStyle name="Normal 59 16 2" xfId="6357"/>
    <cellStyle name="Normal 59 16 2 2" xfId="10066"/>
    <cellStyle name="Normal 59 16 3" xfId="8972"/>
    <cellStyle name="Normal 59 17" xfId="10906"/>
    <cellStyle name="Normal 59 2" xfId="6358"/>
    <cellStyle name="Normal 59 2 2" xfId="6359"/>
    <cellStyle name="Normal 59 2 2 2" xfId="10067"/>
    <cellStyle name="Normal 59 2 3" xfId="8973"/>
    <cellStyle name="Normal 59 3" xfId="6360"/>
    <cellStyle name="Normal 59 3 2" xfId="6361"/>
    <cellStyle name="Normal 59 3 2 2" xfId="10068"/>
    <cellStyle name="Normal 59 3 3" xfId="8974"/>
    <cellStyle name="Normal 59 4" xfId="6362"/>
    <cellStyle name="Normal 59 4 2" xfId="6363"/>
    <cellStyle name="Normal 59 4 2 2" xfId="10069"/>
    <cellStyle name="Normal 59 4 3" xfId="8975"/>
    <cellStyle name="Normal 59 5" xfId="6364"/>
    <cellStyle name="Normal 59 5 2" xfId="6365"/>
    <cellStyle name="Normal 59 5 2 2" xfId="10070"/>
    <cellStyle name="Normal 59 5 3" xfId="8976"/>
    <cellStyle name="Normal 59 6" xfId="6366"/>
    <cellStyle name="Normal 59 6 2" xfId="6367"/>
    <cellStyle name="Normal 59 6 2 2" xfId="10071"/>
    <cellStyle name="Normal 59 6 3" xfId="8977"/>
    <cellStyle name="Normal 59 7" xfId="6368"/>
    <cellStyle name="Normal 59 7 2" xfId="6369"/>
    <cellStyle name="Normal 59 7 2 2" xfId="10072"/>
    <cellStyle name="Normal 59 7 3" xfId="8978"/>
    <cellStyle name="Normal 59 8" xfId="6370"/>
    <cellStyle name="Normal 59 8 2" xfId="6371"/>
    <cellStyle name="Normal 59 8 2 2" xfId="10073"/>
    <cellStyle name="Normal 59 8 3" xfId="8979"/>
    <cellStyle name="Normal 59 9" xfId="6372"/>
    <cellStyle name="Normal 59 9 2" xfId="6373"/>
    <cellStyle name="Normal 59 9 2 2" xfId="10074"/>
    <cellStyle name="Normal 59 9 3" xfId="8980"/>
    <cellStyle name="Normal 6" xfId="226"/>
    <cellStyle name="Normal 6 10" xfId="6375"/>
    <cellStyle name="Normal 6 10 2" xfId="8981"/>
    <cellStyle name="Normal 6 11" xfId="6376"/>
    <cellStyle name="Normal 6 11 2" xfId="8982"/>
    <cellStyle name="Normal 6 12" xfId="6377"/>
    <cellStyle name="Normal 6 12 2" xfId="8983"/>
    <cellStyle name="Normal 6 13" xfId="6378"/>
    <cellStyle name="Normal 6 13 2" xfId="8984"/>
    <cellStyle name="Normal 6 14" xfId="6379"/>
    <cellStyle name="Normal 6 14 2" xfId="8985"/>
    <cellStyle name="Normal 6 15" xfId="6380"/>
    <cellStyle name="Normal 6 15 2" xfId="8986"/>
    <cellStyle name="Normal 6 16" xfId="6381"/>
    <cellStyle name="Normal 6 16 2" xfId="8987"/>
    <cellStyle name="Normal 6 17" xfId="6382"/>
    <cellStyle name="Normal 6 17 2" xfId="8988"/>
    <cellStyle name="Normal 6 18" xfId="6383"/>
    <cellStyle name="Normal 6 18 2" xfId="8989"/>
    <cellStyle name="Normal 6 19" xfId="6384"/>
    <cellStyle name="Normal 6 19 2" xfId="8990"/>
    <cellStyle name="Normal 6 2" xfId="6385"/>
    <cellStyle name="Normal 6 2 2" xfId="6386"/>
    <cellStyle name="Normal 6 2 2 2" xfId="10880"/>
    <cellStyle name="Normal 6 2 3" xfId="6387"/>
    <cellStyle name="Normal 6 2 3 2" xfId="10818"/>
    <cellStyle name="Normal 6 2 4" xfId="8991"/>
    <cellStyle name="Normal 6 20" xfId="6388"/>
    <cellStyle name="Normal 6 20 2" xfId="8992"/>
    <cellStyle name="Normal 6 21" xfId="6389"/>
    <cellStyle name="Normal 6 21 2" xfId="8993"/>
    <cellStyle name="Normal 6 22" xfId="6390"/>
    <cellStyle name="Normal 6 22 2" xfId="8994"/>
    <cellStyle name="Normal 6 23" xfId="6391"/>
    <cellStyle name="Normal 6 23 2" xfId="8995"/>
    <cellStyle name="Normal 6 24" xfId="6392"/>
    <cellStyle name="Normal 6 24 2" xfId="8996"/>
    <cellStyle name="Normal 6 25" xfId="6393"/>
    <cellStyle name="Normal 6 25 2" xfId="8997"/>
    <cellStyle name="Normal 6 26" xfId="6394"/>
    <cellStyle name="Normal 6 26 2" xfId="8998"/>
    <cellStyle name="Normal 6 27" xfId="6395"/>
    <cellStyle name="Normal 6 27 2" xfId="8999"/>
    <cellStyle name="Normal 6 28" xfId="6396"/>
    <cellStyle name="Normal 6 28 2" xfId="9000"/>
    <cellStyle name="Normal 6 29" xfId="6397"/>
    <cellStyle name="Normal 6 29 2" xfId="9001"/>
    <cellStyle name="Normal 6 3" xfId="6398"/>
    <cellStyle name="Normal 6 3 2" xfId="6399"/>
    <cellStyle name="Normal 6 3 3" xfId="9002"/>
    <cellStyle name="Normal 6 30" xfId="6400"/>
    <cellStyle name="Normal 6 30 2" xfId="9003"/>
    <cellStyle name="Normal 6 31" xfId="6401"/>
    <cellStyle name="Normal 6 31 2" xfId="9004"/>
    <cellStyle name="Normal 6 32" xfId="6402"/>
    <cellStyle name="Normal 6 32 2" xfId="9005"/>
    <cellStyle name="Normal 6 33" xfId="6403"/>
    <cellStyle name="Normal 6 33 2" xfId="9006"/>
    <cellStyle name="Normal 6 34" xfId="6404"/>
    <cellStyle name="Normal 6 34 2" xfId="9007"/>
    <cellStyle name="Normal 6 35" xfId="6405"/>
    <cellStyle name="Normal 6 35 2" xfId="9008"/>
    <cellStyle name="Normal 6 36" xfId="6406"/>
    <cellStyle name="Normal 6 36 2" xfId="9009"/>
    <cellStyle name="Normal 6 37" xfId="6407"/>
    <cellStyle name="Normal 6 37 2" xfId="9010"/>
    <cellStyle name="Normal 6 38" xfId="6408"/>
    <cellStyle name="Normal 6 38 2" xfId="9011"/>
    <cellStyle name="Normal 6 39" xfId="6409"/>
    <cellStyle name="Normal 6 39 2" xfId="9012"/>
    <cellStyle name="Normal 6 4" xfId="6410"/>
    <cellStyle name="Normal 6 4 2" xfId="6411"/>
    <cellStyle name="Normal 6 4 3" xfId="9013"/>
    <cellStyle name="Normal 6 40" xfId="6412"/>
    <cellStyle name="Normal 6 40 2" xfId="9014"/>
    <cellStyle name="Normal 6 41" xfId="6413"/>
    <cellStyle name="Normal 6 41 2" xfId="9015"/>
    <cellStyle name="Normal 6 42" xfId="6414"/>
    <cellStyle name="Normal 6 42 2" xfId="9016"/>
    <cellStyle name="Normal 6 43" xfId="6415"/>
    <cellStyle name="Normal 6 43 2" xfId="9017"/>
    <cellStyle name="Normal 6 44" xfId="6416"/>
    <cellStyle name="Normal 6 44 2" xfId="9018"/>
    <cellStyle name="Normal 6 45" xfId="6417"/>
    <cellStyle name="Normal 6 46" xfId="6418"/>
    <cellStyle name="Normal 6 47" xfId="6374"/>
    <cellStyle name="Normal 6 48" xfId="10793"/>
    <cellStyle name="Normal 6 5" xfId="6419"/>
    <cellStyle name="Normal 6 5 2" xfId="6420"/>
    <cellStyle name="Normal 6 5 3" xfId="9019"/>
    <cellStyle name="Normal 6 6" xfId="6421"/>
    <cellStyle name="Normal 6 6 2" xfId="9020"/>
    <cellStyle name="Normal 6 7" xfId="6422"/>
    <cellStyle name="Normal 6 7 2" xfId="9021"/>
    <cellStyle name="Normal 6 8" xfId="6423"/>
    <cellStyle name="Normal 6 8 2" xfId="9022"/>
    <cellStyle name="Normal 6 9" xfId="6424"/>
    <cellStyle name="Normal 6 9 2" xfId="9023"/>
    <cellStyle name="Normal 60" xfId="6425"/>
    <cellStyle name="Normal 60 2" xfId="6426"/>
    <cellStyle name="Normal 60 2 2" xfId="6427"/>
    <cellStyle name="Normal 60 2 2 2" xfId="10075"/>
    <cellStyle name="Normal 60 2 3" xfId="9024"/>
    <cellStyle name="Normal 60 3" xfId="6428"/>
    <cellStyle name="Normal 60 3 2" xfId="6429"/>
    <cellStyle name="Normal 60 3 2 2" xfId="10076"/>
    <cellStyle name="Normal 60 3 3" xfId="9025"/>
    <cellStyle name="Normal 60 4" xfId="6430"/>
    <cellStyle name="Normal 60 4 2" xfId="6431"/>
    <cellStyle name="Normal 60 4 2 2" xfId="10077"/>
    <cellStyle name="Normal 60 4 3" xfId="9026"/>
    <cellStyle name="Normal 60 5" xfId="6432"/>
    <cellStyle name="Normal 60 5 2" xfId="6433"/>
    <cellStyle name="Normal 60 5 2 2" xfId="10078"/>
    <cellStyle name="Normal 60 5 3" xfId="9027"/>
    <cellStyle name="Normal 60 6" xfId="10911"/>
    <cellStyle name="Normal 61" xfId="6434"/>
    <cellStyle name="Normal 61 2" xfId="6435"/>
    <cellStyle name="Normal 61 2 2" xfId="6436"/>
    <cellStyle name="Normal 61 2 2 2" xfId="10079"/>
    <cellStyle name="Normal 61 2 3" xfId="9028"/>
    <cellStyle name="Normal 61 3" xfId="6437"/>
    <cellStyle name="Normal 61 3 2" xfId="6438"/>
    <cellStyle name="Normal 61 3 2 2" xfId="10080"/>
    <cellStyle name="Normal 61 3 3" xfId="9029"/>
    <cellStyle name="Normal 61 4" xfId="6439"/>
    <cellStyle name="Normal 61 4 2" xfId="6440"/>
    <cellStyle name="Normal 61 4 2 2" xfId="10081"/>
    <cellStyle name="Normal 61 4 3" xfId="9030"/>
    <cellStyle name="Normal 61 5" xfId="6441"/>
    <cellStyle name="Normal 61 5 2" xfId="6442"/>
    <cellStyle name="Normal 61 5 2 2" xfId="10082"/>
    <cellStyle name="Normal 61 5 3" xfId="9031"/>
    <cellStyle name="Normal 61 6" xfId="10909"/>
    <cellStyle name="Normal 62" xfId="6443"/>
    <cellStyle name="Normal 62 2" xfId="6444"/>
    <cellStyle name="Normal 62 2 2" xfId="6445"/>
    <cellStyle name="Normal 62 2 2 2" xfId="10083"/>
    <cellStyle name="Normal 62 2 3" xfId="9032"/>
    <cellStyle name="Normal 62 3" xfId="6446"/>
    <cellStyle name="Normal 62 3 2" xfId="6447"/>
    <cellStyle name="Normal 62 3 2 2" xfId="10084"/>
    <cellStyle name="Normal 62 3 3" xfId="9033"/>
    <cellStyle name="Normal 62 4" xfId="6448"/>
    <cellStyle name="Normal 62 4 2" xfId="6449"/>
    <cellStyle name="Normal 62 4 2 2" xfId="10085"/>
    <cellStyle name="Normal 62 4 3" xfId="9034"/>
    <cellStyle name="Normal 62 5" xfId="6450"/>
    <cellStyle name="Normal 62 5 2" xfId="6451"/>
    <cellStyle name="Normal 62 5 2 2" xfId="10086"/>
    <cellStyle name="Normal 62 5 3" xfId="9035"/>
    <cellStyle name="Normal 62 6" xfId="6452"/>
    <cellStyle name="Normal 62 6 2" xfId="6453"/>
    <cellStyle name="Normal 62 6 2 2" xfId="10087"/>
    <cellStyle name="Normal 62 6 3" xfId="9036"/>
    <cellStyle name="Normal 62 7" xfId="6454"/>
    <cellStyle name="Normal 62 7 2" xfId="6455"/>
    <cellStyle name="Normal 62 7 2 2" xfId="10088"/>
    <cellStyle name="Normal 62 7 3" xfId="9037"/>
    <cellStyle name="Normal 62 8" xfId="6456"/>
    <cellStyle name="Normal 62 8 2" xfId="6457"/>
    <cellStyle name="Normal 62 8 2 2" xfId="10089"/>
    <cellStyle name="Normal 62 8 3" xfId="9038"/>
    <cellStyle name="Normal 62 9" xfId="10905"/>
    <cellStyle name="Normal 63" xfId="6458"/>
    <cellStyle name="Normal 63 2" xfId="6459"/>
    <cellStyle name="Normal 63 2 2" xfId="6460"/>
    <cellStyle name="Normal 63 2 2 2" xfId="10090"/>
    <cellStyle name="Normal 63 2 3" xfId="9039"/>
    <cellStyle name="Normal 63 3" xfId="6461"/>
    <cellStyle name="Normal 63 3 2" xfId="6462"/>
    <cellStyle name="Normal 63 3 2 2" xfId="10091"/>
    <cellStyle name="Normal 63 3 3" xfId="9040"/>
    <cellStyle name="Normal 63 4" xfId="6463"/>
    <cellStyle name="Normal 63 4 2" xfId="6464"/>
    <cellStyle name="Normal 63 4 2 2" xfId="10092"/>
    <cellStyle name="Normal 63 4 3" xfId="9041"/>
    <cellStyle name="Normal 63 5" xfId="6465"/>
    <cellStyle name="Normal 63 5 2" xfId="6466"/>
    <cellStyle name="Normal 63 5 2 2" xfId="10093"/>
    <cellStyle name="Normal 63 5 3" xfId="9042"/>
    <cellStyle name="Normal 63 6" xfId="6467"/>
    <cellStyle name="Normal 63 6 2" xfId="6468"/>
    <cellStyle name="Normal 63 6 2 2" xfId="10094"/>
    <cellStyle name="Normal 63 6 3" xfId="9043"/>
    <cellStyle name="Normal 63 7" xfId="6469"/>
    <cellStyle name="Normal 63 7 2" xfId="6470"/>
    <cellStyle name="Normal 63 7 2 2" xfId="10095"/>
    <cellStyle name="Normal 63 7 3" xfId="9044"/>
    <cellStyle name="Normal 63 8" xfId="6471"/>
    <cellStyle name="Normal 63 8 2" xfId="6472"/>
    <cellStyle name="Normal 63 8 2 2" xfId="10096"/>
    <cellStyle name="Normal 63 8 3" xfId="9045"/>
    <cellStyle name="Normal 63 9" xfId="10913"/>
    <cellStyle name="Normal 64" xfId="6473"/>
    <cellStyle name="Normal 64 2" xfId="6474"/>
    <cellStyle name="Normal 64 2 2" xfId="6475"/>
    <cellStyle name="Normal 64 2 2 2" xfId="10097"/>
    <cellStyle name="Normal 64 2 3" xfId="9046"/>
    <cellStyle name="Normal 64 3" xfId="6476"/>
    <cellStyle name="Normal 64 3 2" xfId="6477"/>
    <cellStyle name="Normal 64 3 2 2" xfId="10098"/>
    <cellStyle name="Normal 64 3 3" xfId="9047"/>
    <cellStyle name="Normal 64 4" xfId="6478"/>
    <cellStyle name="Normal 64 4 2" xfId="6479"/>
    <cellStyle name="Normal 64 4 2 2" xfId="10099"/>
    <cellStyle name="Normal 64 4 3" xfId="9048"/>
    <cellStyle name="Normal 64 5" xfId="6480"/>
    <cellStyle name="Normal 64 5 2" xfId="6481"/>
    <cellStyle name="Normal 64 5 2 2" xfId="10100"/>
    <cellStyle name="Normal 64 5 3" xfId="9049"/>
    <cellStyle name="Normal 64 6" xfId="10914"/>
    <cellStyle name="Normal 65" xfId="6482"/>
    <cellStyle name="Normal 65 10" xfId="6483"/>
    <cellStyle name="Normal 65 10 2" xfId="6484"/>
    <cellStyle name="Normal 65 10 2 2" xfId="10102"/>
    <cellStyle name="Normal 65 10 3" xfId="9051"/>
    <cellStyle name="Normal 65 11" xfId="6485"/>
    <cellStyle name="Normal 65 11 2" xfId="6486"/>
    <cellStyle name="Normal 65 11 2 2" xfId="10103"/>
    <cellStyle name="Normal 65 11 3" xfId="9052"/>
    <cellStyle name="Normal 65 12" xfId="6487"/>
    <cellStyle name="Normal 65 12 2" xfId="6488"/>
    <cellStyle name="Normal 65 12 2 2" xfId="10104"/>
    <cellStyle name="Normal 65 12 3" xfId="9053"/>
    <cellStyle name="Normal 65 13" xfId="6489"/>
    <cellStyle name="Normal 65 13 2" xfId="6490"/>
    <cellStyle name="Normal 65 13 2 2" xfId="10105"/>
    <cellStyle name="Normal 65 13 3" xfId="9054"/>
    <cellStyle name="Normal 65 14" xfId="6491"/>
    <cellStyle name="Normal 65 14 2" xfId="6492"/>
    <cellStyle name="Normal 65 14 2 2" xfId="10106"/>
    <cellStyle name="Normal 65 14 3" xfId="9055"/>
    <cellStyle name="Normal 65 15" xfId="6493"/>
    <cellStyle name="Normal 65 15 2" xfId="6494"/>
    <cellStyle name="Normal 65 15 2 2" xfId="10107"/>
    <cellStyle name="Normal 65 15 3" xfId="9056"/>
    <cellStyle name="Normal 65 16" xfId="6495"/>
    <cellStyle name="Normal 65 16 2" xfId="6496"/>
    <cellStyle name="Normal 65 16 2 2" xfId="10108"/>
    <cellStyle name="Normal 65 16 3" xfId="9057"/>
    <cellStyle name="Normal 65 17" xfId="6497"/>
    <cellStyle name="Normal 65 17 2" xfId="6498"/>
    <cellStyle name="Normal 65 17 2 2" xfId="10109"/>
    <cellStyle name="Normal 65 17 3" xfId="9058"/>
    <cellStyle name="Normal 65 18" xfId="6499"/>
    <cellStyle name="Normal 65 18 2" xfId="6500"/>
    <cellStyle name="Normal 65 18 2 2" xfId="10110"/>
    <cellStyle name="Normal 65 18 3" xfId="9059"/>
    <cellStyle name="Normal 65 19" xfId="6501"/>
    <cellStyle name="Normal 65 19 2" xfId="6502"/>
    <cellStyle name="Normal 65 19 2 2" xfId="10111"/>
    <cellStyle name="Normal 65 19 3" xfId="9060"/>
    <cellStyle name="Normal 65 2" xfId="6503"/>
    <cellStyle name="Normal 65 2 2" xfId="6504"/>
    <cellStyle name="Normal 65 2 2 2" xfId="10112"/>
    <cellStyle name="Normal 65 2 3" xfId="9061"/>
    <cellStyle name="Normal 65 20" xfId="6505"/>
    <cellStyle name="Normal 65 20 2" xfId="6506"/>
    <cellStyle name="Normal 65 20 2 2" xfId="10113"/>
    <cellStyle name="Normal 65 20 3" xfId="9062"/>
    <cellStyle name="Normal 65 21" xfId="6507"/>
    <cellStyle name="Normal 65 21 2" xfId="6508"/>
    <cellStyle name="Normal 65 21 2 2" xfId="10114"/>
    <cellStyle name="Normal 65 21 3" xfId="9063"/>
    <cellStyle name="Normal 65 22" xfId="6509"/>
    <cellStyle name="Normal 65 22 2" xfId="6510"/>
    <cellStyle name="Normal 65 22 2 2" xfId="10115"/>
    <cellStyle name="Normal 65 22 3" xfId="9064"/>
    <cellStyle name="Normal 65 23" xfId="6511"/>
    <cellStyle name="Normal 65 23 2" xfId="6512"/>
    <cellStyle name="Normal 65 23 2 2" xfId="10116"/>
    <cellStyle name="Normal 65 23 3" xfId="9065"/>
    <cellStyle name="Normal 65 24" xfId="6513"/>
    <cellStyle name="Normal 65 24 2" xfId="6514"/>
    <cellStyle name="Normal 65 24 2 2" xfId="10117"/>
    <cellStyle name="Normal 65 24 3" xfId="9066"/>
    <cellStyle name="Normal 65 25" xfId="6515"/>
    <cellStyle name="Normal 65 25 2" xfId="6516"/>
    <cellStyle name="Normal 65 25 2 2" xfId="10118"/>
    <cellStyle name="Normal 65 25 3" xfId="9067"/>
    <cellStyle name="Normal 65 26" xfId="6517"/>
    <cellStyle name="Normal 65 26 2" xfId="6518"/>
    <cellStyle name="Normal 65 26 2 2" xfId="10119"/>
    <cellStyle name="Normal 65 26 3" xfId="9068"/>
    <cellStyle name="Normal 65 27" xfId="6519"/>
    <cellStyle name="Normal 65 27 2" xfId="6520"/>
    <cellStyle name="Normal 65 27 2 2" xfId="10120"/>
    <cellStyle name="Normal 65 27 3" xfId="9069"/>
    <cellStyle name="Normal 65 28" xfId="6521"/>
    <cellStyle name="Normal 65 28 2" xfId="6522"/>
    <cellStyle name="Normal 65 28 2 2" xfId="10121"/>
    <cellStyle name="Normal 65 28 3" xfId="9070"/>
    <cellStyle name="Normal 65 29" xfId="6523"/>
    <cellStyle name="Normal 65 29 2" xfId="6524"/>
    <cellStyle name="Normal 65 29 2 2" xfId="10122"/>
    <cellStyle name="Normal 65 29 3" xfId="9071"/>
    <cellStyle name="Normal 65 3" xfId="6525"/>
    <cellStyle name="Normal 65 3 2" xfId="6526"/>
    <cellStyle name="Normal 65 3 2 2" xfId="10123"/>
    <cellStyle name="Normal 65 3 3" xfId="9072"/>
    <cellStyle name="Normal 65 30" xfId="6527"/>
    <cellStyle name="Normal 65 30 2" xfId="6528"/>
    <cellStyle name="Normal 65 30 2 2" xfId="10124"/>
    <cellStyle name="Normal 65 30 3" xfId="9073"/>
    <cellStyle name="Normal 65 31" xfId="6529"/>
    <cellStyle name="Normal 65 31 2" xfId="6530"/>
    <cellStyle name="Normal 65 31 2 2" xfId="10125"/>
    <cellStyle name="Normal 65 31 3" xfId="9074"/>
    <cellStyle name="Normal 65 32" xfId="6531"/>
    <cellStyle name="Normal 65 32 2" xfId="6532"/>
    <cellStyle name="Normal 65 32 2 2" xfId="10126"/>
    <cellStyle name="Normal 65 32 3" xfId="9075"/>
    <cellStyle name="Normal 65 33" xfId="6533"/>
    <cellStyle name="Normal 65 33 2" xfId="6534"/>
    <cellStyle name="Normal 65 33 2 2" xfId="10127"/>
    <cellStyle name="Normal 65 33 3" xfId="9076"/>
    <cellStyle name="Normal 65 34" xfId="6535"/>
    <cellStyle name="Normal 65 34 2" xfId="6536"/>
    <cellStyle name="Normal 65 34 2 2" xfId="10128"/>
    <cellStyle name="Normal 65 34 3" xfId="9077"/>
    <cellStyle name="Normal 65 35" xfId="6537"/>
    <cellStyle name="Normal 65 35 2" xfId="6538"/>
    <cellStyle name="Normal 65 35 2 2" xfId="10129"/>
    <cellStyle name="Normal 65 35 3" xfId="9078"/>
    <cellStyle name="Normal 65 36" xfId="6539"/>
    <cellStyle name="Normal 65 36 2" xfId="6540"/>
    <cellStyle name="Normal 65 36 2 2" xfId="10130"/>
    <cellStyle name="Normal 65 36 3" xfId="9079"/>
    <cellStyle name="Normal 65 37" xfId="6541"/>
    <cellStyle name="Normal 65 37 2" xfId="6542"/>
    <cellStyle name="Normal 65 37 2 2" xfId="10131"/>
    <cellStyle name="Normal 65 37 3" xfId="9080"/>
    <cellStyle name="Normal 65 38" xfId="6543"/>
    <cellStyle name="Normal 65 38 2" xfId="6544"/>
    <cellStyle name="Normal 65 38 2 2" xfId="10132"/>
    <cellStyle name="Normal 65 38 3" xfId="9081"/>
    <cellStyle name="Normal 65 39" xfId="6545"/>
    <cellStyle name="Normal 65 39 2" xfId="6546"/>
    <cellStyle name="Normal 65 39 2 2" xfId="10133"/>
    <cellStyle name="Normal 65 39 3" xfId="9082"/>
    <cellStyle name="Normal 65 4" xfId="6547"/>
    <cellStyle name="Normal 65 4 2" xfId="6548"/>
    <cellStyle name="Normal 65 4 2 2" xfId="10134"/>
    <cellStyle name="Normal 65 4 3" xfId="9083"/>
    <cellStyle name="Normal 65 40" xfId="6549"/>
    <cellStyle name="Normal 65 40 2" xfId="6550"/>
    <cellStyle name="Normal 65 40 2 2" xfId="10135"/>
    <cellStyle name="Normal 65 40 3" xfId="9084"/>
    <cellStyle name="Normal 65 41" xfId="6551"/>
    <cellStyle name="Normal 65 41 2" xfId="6552"/>
    <cellStyle name="Normal 65 41 2 2" xfId="10136"/>
    <cellStyle name="Normal 65 41 3" xfId="9085"/>
    <cellStyle name="Normal 65 42" xfId="6553"/>
    <cellStyle name="Normal 65 42 2" xfId="6554"/>
    <cellStyle name="Normal 65 42 2 2" xfId="10137"/>
    <cellStyle name="Normal 65 42 3" xfId="9086"/>
    <cellStyle name="Normal 65 43" xfId="6555"/>
    <cellStyle name="Normal 65 43 2" xfId="6556"/>
    <cellStyle name="Normal 65 43 2 2" xfId="10138"/>
    <cellStyle name="Normal 65 43 3" xfId="9087"/>
    <cellStyle name="Normal 65 44" xfId="6557"/>
    <cellStyle name="Normal 65 44 2" xfId="6558"/>
    <cellStyle name="Normal 65 44 2 2" xfId="10139"/>
    <cellStyle name="Normal 65 44 3" xfId="9088"/>
    <cellStyle name="Normal 65 45" xfId="6559"/>
    <cellStyle name="Normal 65 45 2" xfId="6560"/>
    <cellStyle name="Normal 65 45 2 2" xfId="10140"/>
    <cellStyle name="Normal 65 45 3" xfId="9089"/>
    <cellStyle name="Normal 65 46" xfId="6561"/>
    <cellStyle name="Normal 65 46 2" xfId="6562"/>
    <cellStyle name="Normal 65 46 2 2" xfId="10141"/>
    <cellStyle name="Normal 65 46 3" xfId="9090"/>
    <cellStyle name="Normal 65 47" xfId="6563"/>
    <cellStyle name="Normal 65 47 2" xfId="6564"/>
    <cellStyle name="Normal 65 47 2 2" xfId="10142"/>
    <cellStyle name="Normal 65 47 3" xfId="9091"/>
    <cellStyle name="Normal 65 48" xfId="6565"/>
    <cellStyle name="Normal 65 48 2" xfId="6566"/>
    <cellStyle name="Normal 65 48 2 2" xfId="10143"/>
    <cellStyle name="Normal 65 48 3" xfId="9092"/>
    <cellStyle name="Normal 65 49" xfId="6567"/>
    <cellStyle name="Normal 65 49 2" xfId="6568"/>
    <cellStyle name="Normal 65 49 2 2" xfId="10144"/>
    <cellStyle name="Normal 65 49 3" xfId="9093"/>
    <cellStyle name="Normal 65 5" xfId="6569"/>
    <cellStyle name="Normal 65 5 2" xfId="6570"/>
    <cellStyle name="Normal 65 5 2 2" xfId="10145"/>
    <cellStyle name="Normal 65 5 3" xfId="9094"/>
    <cellStyle name="Normal 65 50" xfId="6571"/>
    <cellStyle name="Normal 65 50 2" xfId="6572"/>
    <cellStyle name="Normal 65 50 2 2" xfId="10146"/>
    <cellStyle name="Normal 65 50 3" xfId="9095"/>
    <cellStyle name="Normal 65 51" xfId="6573"/>
    <cellStyle name="Normal 65 51 2" xfId="6574"/>
    <cellStyle name="Normal 65 51 2 2" xfId="10147"/>
    <cellStyle name="Normal 65 51 3" xfId="9096"/>
    <cellStyle name="Normal 65 52" xfId="6575"/>
    <cellStyle name="Normal 65 52 2" xfId="6576"/>
    <cellStyle name="Normal 65 52 2 2" xfId="10148"/>
    <cellStyle name="Normal 65 52 3" xfId="9097"/>
    <cellStyle name="Normal 65 53" xfId="6577"/>
    <cellStyle name="Normal 65 53 2" xfId="6578"/>
    <cellStyle name="Normal 65 53 2 2" xfId="10149"/>
    <cellStyle name="Normal 65 53 3" xfId="9098"/>
    <cellStyle name="Normal 65 54" xfId="6579"/>
    <cellStyle name="Normal 65 54 2" xfId="6580"/>
    <cellStyle name="Normal 65 54 2 2" xfId="10150"/>
    <cellStyle name="Normal 65 54 3" xfId="9099"/>
    <cellStyle name="Normal 65 55" xfId="6581"/>
    <cellStyle name="Normal 65 55 2" xfId="6582"/>
    <cellStyle name="Normal 65 55 2 2" xfId="10151"/>
    <cellStyle name="Normal 65 55 3" xfId="9100"/>
    <cellStyle name="Normal 65 56" xfId="6583"/>
    <cellStyle name="Normal 65 56 2" xfId="6584"/>
    <cellStyle name="Normal 65 56 2 2" xfId="10152"/>
    <cellStyle name="Normal 65 56 3" xfId="9101"/>
    <cellStyle name="Normal 65 57" xfId="6585"/>
    <cellStyle name="Normal 65 57 2" xfId="6586"/>
    <cellStyle name="Normal 65 57 2 2" xfId="10153"/>
    <cellStyle name="Normal 65 57 3" xfId="9102"/>
    <cellStyle name="Normal 65 58" xfId="6587"/>
    <cellStyle name="Normal 65 58 2" xfId="6588"/>
    <cellStyle name="Normal 65 58 2 2" xfId="10154"/>
    <cellStyle name="Normal 65 58 3" xfId="9103"/>
    <cellStyle name="Normal 65 59" xfId="6589"/>
    <cellStyle name="Normal 65 59 2" xfId="10101"/>
    <cellStyle name="Normal 65 6" xfId="6590"/>
    <cellStyle name="Normal 65 6 2" xfId="6591"/>
    <cellStyle name="Normal 65 6 2 2" xfId="10155"/>
    <cellStyle name="Normal 65 6 3" xfId="9104"/>
    <cellStyle name="Normal 65 60" xfId="6592"/>
    <cellStyle name="Normal 65 60 2" xfId="10915"/>
    <cellStyle name="Normal 65 61" xfId="9050"/>
    <cellStyle name="Normal 65 7" xfId="6593"/>
    <cellStyle name="Normal 65 7 2" xfId="6594"/>
    <cellStyle name="Normal 65 7 2 2" xfId="10156"/>
    <cellStyle name="Normal 65 7 3" xfId="9105"/>
    <cellStyle name="Normal 65 8" xfId="6595"/>
    <cellStyle name="Normal 65 8 2" xfId="6596"/>
    <cellStyle name="Normal 65 8 2 2" xfId="10157"/>
    <cellStyle name="Normal 65 8 3" xfId="9106"/>
    <cellStyle name="Normal 65 9" xfId="6597"/>
    <cellStyle name="Normal 65 9 2" xfId="6598"/>
    <cellStyle name="Normal 65 9 2 2" xfId="10158"/>
    <cellStyle name="Normal 65 9 3" xfId="9107"/>
    <cellStyle name="Normal 66" xfId="6599"/>
    <cellStyle name="Normal 66 2" xfId="6600"/>
    <cellStyle name="Normal 66 2 2" xfId="6601"/>
    <cellStyle name="Normal 66 2 2 2" xfId="10159"/>
    <cellStyle name="Normal 66 2 3" xfId="9108"/>
    <cellStyle name="Normal 66 3" xfId="6602"/>
    <cellStyle name="Normal 66 3 2" xfId="6603"/>
    <cellStyle name="Normal 66 3 2 2" xfId="10160"/>
    <cellStyle name="Normal 66 3 3" xfId="9109"/>
    <cellStyle name="Normal 66 4" xfId="6604"/>
    <cellStyle name="Normal 66 4 2" xfId="6605"/>
    <cellStyle name="Normal 66 4 2 2" xfId="10161"/>
    <cellStyle name="Normal 66 4 3" xfId="9110"/>
    <cellStyle name="Normal 66 5" xfId="6606"/>
    <cellStyle name="Normal 66 5 2" xfId="6607"/>
    <cellStyle name="Normal 66 5 2 2" xfId="10162"/>
    <cellStyle name="Normal 66 5 3" xfId="9111"/>
    <cellStyle name="Normal 66 6" xfId="10916"/>
    <cellStyle name="Normal 67" xfId="6608"/>
    <cellStyle name="Normal 67 2" xfId="6609"/>
    <cellStyle name="Normal 67 2 2" xfId="6610"/>
    <cellStyle name="Normal 67 2 2 2" xfId="10163"/>
    <cellStyle name="Normal 67 2 3" xfId="9112"/>
    <cellStyle name="Normal 67 3" xfId="6611"/>
    <cellStyle name="Normal 67 3 2" xfId="6612"/>
    <cellStyle name="Normal 67 3 2 2" xfId="10164"/>
    <cellStyle name="Normal 67 3 3" xfId="9113"/>
    <cellStyle name="Normal 67 4" xfId="6613"/>
    <cellStyle name="Normal 67 4 2" xfId="6614"/>
    <cellStyle name="Normal 67 4 2 2" xfId="10165"/>
    <cellStyle name="Normal 67 4 3" xfId="9114"/>
    <cellStyle name="Normal 67 5" xfId="6615"/>
    <cellStyle name="Normal 67 5 2" xfId="6616"/>
    <cellStyle name="Normal 67 5 2 2" xfId="10166"/>
    <cellStyle name="Normal 67 5 3" xfId="9115"/>
    <cellStyle name="Normal 67 6" xfId="10917"/>
    <cellStyle name="Normal 68" xfId="6617"/>
    <cellStyle name="Normal 68 10" xfId="6618"/>
    <cellStyle name="Normal 68 10 2" xfId="6619"/>
    <cellStyle name="Normal 68 10 2 2" xfId="10167"/>
    <cellStyle name="Normal 68 10 3" xfId="9117"/>
    <cellStyle name="Normal 68 11" xfId="6620"/>
    <cellStyle name="Normal 68 11 2" xfId="6621"/>
    <cellStyle name="Normal 68 11 2 2" xfId="10168"/>
    <cellStyle name="Normal 68 11 3" xfId="9118"/>
    <cellStyle name="Normal 68 12" xfId="6622"/>
    <cellStyle name="Normal 68 12 2" xfId="6623"/>
    <cellStyle name="Normal 68 12 2 2" xfId="10169"/>
    <cellStyle name="Normal 68 12 3" xfId="9119"/>
    <cellStyle name="Normal 68 13" xfId="6624"/>
    <cellStyle name="Normal 68 13 2" xfId="6625"/>
    <cellStyle name="Normal 68 13 2 2" xfId="10170"/>
    <cellStyle name="Normal 68 13 3" xfId="9120"/>
    <cellStyle name="Normal 68 14" xfId="6626"/>
    <cellStyle name="Normal 68 14 2" xfId="6627"/>
    <cellStyle name="Normal 68 14 2 2" xfId="10171"/>
    <cellStyle name="Normal 68 14 3" xfId="9121"/>
    <cellStyle name="Normal 68 15" xfId="6628"/>
    <cellStyle name="Normal 68 15 2" xfId="6629"/>
    <cellStyle name="Normal 68 15 2 2" xfId="10172"/>
    <cellStyle name="Normal 68 15 3" xfId="9122"/>
    <cellStyle name="Normal 68 16" xfId="6630"/>
    <cellStyle name="Normal 68 16 2" xfId="6631"/>
    <cellStyle name="Normal 68 16 2 2" xfId="10173"/>
    <cellStyle name="Normal 68 16 3" xfId="9123"/>
    <cellStyle name="Normal 68 17" xfId="6632"/>
    <cellStyle name="Normal 68 17 2" xfId="6633"/>
    <cellStyle name="Normal 68 17 2 2" xfId="10174"/>
    <cellStyle name="Normal 68 17 3" xfId="9124"/>
    <cellStyle name="Normal 68 18" xfId="6634"/>
    <cellStyle name="Normal 68 18 2" xfId="6635"/>
    <cellStyle name="Normal 68 18 2 2" xfId="10175"/>
    <cellStyle name="Normal 68 18 3" xfId="9125"/>
    <cellStyle name="Normal 68 19" xfId="6636"/>
    <cellStyle name="Normal 68 19 2" xfId="6637"/>
    <cellStyle name="Normal 68 19 2 2" xfId="10176"/>
    <cellStyle name="Normal 68 19 3" xfId="9126"/>
    <cellStyle name="Normal 68 2" xfId="6638"/>
    <cellStyle name="Normal 68 2 2" xfId="6639"/>
    <cellStyle name="Normal 68 2 2 2" xfId="10177"/>
    <cellStyle name="Normal 68 2 3" xfId="9127"/>
    <cellStyle name="Normal 68 20" xfId="6640"/>
    <cellStyle name="Normal 68 20 2" xfId="6641"/>
    <cellStyle name="Normal 68 20 2 2" xfId="10178"/>
    <cellStyle name="Normal 68 20 3" xfId="9128"/>
    <cellStyle name="Normal 68 21" xfId="6642"/>
    <cellStyle name="Normal 68 21 2" xfId="6643"/>
    <cellStyle name="Normal 68 21 2 2" xfId="10179"/>
    <cellStyle name="Normal 68 21 3" xfId="9129"/>
    <cellStyle name="Normal 68 22" xfId="6644"/>
    <cellStyle name="Normal 68 22 2" xfId="6645"/>
    <cellStyle name="Normal 68 22 2 2" xfId="10180"/>
    <cellStyle name="Normal 68 22 3" xfId="9130"/>
    <cellStyle name="Normal 68 23" xfId="6646"/>
    <cellStyle name="Normal 68 23 2" xfId="6647"/>
    <cellStyle name="Normal 68 23 2 2" xfId="10181"/>
    <cellStyle name="Normal 68 23 3" xfId="9131"/>
    <cellStyle name="Normal 68 24" xfId="6648"/>
    <cellStyle name="Normal 68 24 2" xfId="6649"/>
    <cellStyle name="Normal 68 24 2 2" xfId="10182"/>
    <cellStyle name="Normal 68 24 3" xfId="9132"/>
    <cellStyle name="Normal 68 25" xfId="6650"/>
    <cellStyle name="Normal 68 25 2" xfId="6651"/>
    <cellStyle name="Normal 68 25 2 2" xfId="10183"/>
    <cellStyle name="Normal 68 25 3" xfId="9133"/>
    <cellStyle name="Normal 68 26" xfId="6652"/>
    <cellStyle name="Normal 68 26 2" xfId="6653"/>
    <cellStyle name="Normal 68 26 2 2" xfId="10184"/>
    <cellStyle name="Normal 68 26 3" xfId="9134"/>
    <cellStyle name="Normal 68 27" xfId="6654"/>
    <cellStyle name="Normal 68 27 2" xfId="6655"/>
    <cellStyle name="Normal 68 27 2 2" xfId="10185"/>
    <cellStyle name="Normal 68 27 3" xfId="9135"/>
    <cellStyle name="Normal 68 28" xfId="6656"/>
    <cellStyle name="Normal 68 28 2" xfId="6657"/>
    <cellStyle name="Normal 68 28 2 2" xfId="10186"/>
    <cellStyle name="Normal 68 28 3" xfId="9136"/>
    <cellStyle name="Normal 68 29" xfId="6658"/>
    <cellStyle name="Normal 68 29 2" xfId="6659"/>
    <cellStyle name="Normal 68 29 2 2" xfId="10187"/>
    <cellStyle name="Normal 68 29 3" xfId="9137"/>
    <cellStyle name="Normal 68 3" xfId="6660"/>
    <cellStyle name="Normal 68 3 2" xfId="6661"/>
    <cellStyle name="Normal 68 3 2 2" xfId="10188"/>
    <cellStyle name="Normal 68 3 3" xfId="9138"/>
    <cellStyle name="Normal 68 30" xfId="6662"/>
    <cellStyle name="Normal 68 30 2" xfId="6663"/>
    <cellStyle name="Normal 68 30 2 2" xfId="10189"/>
    <cellStyle name="Normal 68 30 3" xfId="9139"/>
    <cellStyle name="Normal 68 31" xfId="6664"/>
    <cellStyle name="Normal 68 31 2" xfId="6665"/>
    <cellStyle name="Normal 68 31 2 2" xfId="10190"/>
    <cellStyle name="Normal 68 31 3" xfId="9140"/>
    <cellStyle name="Normal 68 32" xfId="6666"/>
    <cellStyle name="Normal 68 32 2" xfId="6667"/>
    <cellStyle name="Normal 68 32 2 2" xfId="10191"/>
    <cellStyle name="Normal 68 32 3" xfId="9141"/>
    <cellStyle name="Normal 68 33" xfId="6668"/>
    <cellStyle name="Normal 68 33 2" xfId="6669"/>
    <cellStyle name="Normal 68 33 2 2" xfId="10192"/>
    <cellStyle name="Normal 68 33 3" xfId="9142"/>
    <cellStyle name="Normal 68 34" xfId="6670"/>
    <cellStyle name="Normal 68 34 2" xfId="6671"/>
    <cellStyle name="Normal 68 34 2 2" xfId="10193"/>
    <cellStyle name="Normal 68 34 3" xfId="9143"/>
    <cellStyle name="Normal 68 35" xfId="6672"/>
    <cellStyle name="Normal 68 35 2" xfId="6673"/>
    <cellStyle name="Normal 68 35 2 2" xfId="10194"/>
    <cellStyle name="Normal 68 35 3" xfId="9144"/>
    <cellStyle name="Normal 68 36" xfId="6674"/>
    <cellStyle name="Normal 68 36 2" xfId="6675"/>
    <cellStyle name="Normal 68 36 2 2" xfId="10195"/>
    <cellStyle name="Normal 68 36 3" xfId="9145"/>
    <cellStyle name="Normal 68 37" xfId="6676"/>
    <cellStyle name="Normal 68 37 2" xfId="6677"/>
    <cellStyle name="Normal 68 37 2 2" xfId="10196"/>
    <cellStyle name="Normal 68 37 3" xfId="9146"/>
    <cellStyle name="Normal 68 38" xfId="6678"/>
    <cellStyle name="Normal 68 38 2" xfId="6679"/>
    <cellStyle name="Normal 68 38 2 2" xfId="10197"/>
    <cellStyle name="Normal 68 38 3" xfId="9147"/>
    <cellStyle name="Normal 68 39" xfId="6680"/>
    <cellStyle name="Normal 68 39 2" xfId="6681"/>
    <cellStyle name="Normal 68 39 2 2" xfId="10198"/>
    <cellStyle name="Normal 68 39 3" xfId="9148"/>
    <cellStyle name="Normal 68 4" xfId="6682"/>
    <cellStyle name="Normal 68 4 2" xfId="6683"/>
    <cellStyle name="Normal 68 4 2 2" xfId="10199"/>
    <cellStyle name="Normal 68 4 3" xfId="9149"/>
    <cellStyle name="Normal 68 40" xfId="6684"/>
    <cellStyle name="Normal 68 40 2" xfId="6685"/>
    <cellStyle name="Normal 68 40 2 2" xfId="10200"/>
    <cellStyle name="Normal 68 40 3" xfId="9150"/>
    <cellStyle name="Normal 68 41" xfId="6686"/>
    <cellStyle name="Normal 68 41 2" xfId="6687"/>
    <cellStyle name="Normal 68 41 2 2" xfId="10201"/>
    <cellStyle name="Normal 68 41 3" xfId="9151"/>
    <cellStyle name="Normal 68 42" xfId="6688"/>
    <cellStyle name="Normal 68 42 2" xfId="6689"/>
    <cellStyle name="Normal 68 42 2 2" xfId="10202"/>
    <cellStyle name="Normal 68 42 3" xfId="9152"/>
    <cellStyle name="Normal 68 43" xfId="6690"/>
    <cellStyle name="Normal 68 43 2" xfId="6691"/>
    <cellStyle name="Normal 68 43 2 2" xfId="10203"/>
    <cellStyle name="Normal 68 43 3" xfId="9153"/>
    <cellStyle name="Normal 68 44" xfId="6692"/>
    <cellStyle name="Normal 68 44 2" xfId="6693"/>
    <cellStyle name="Normal 68 44 2 2" xfId="10204"/>
    <cellStyle name="Normal 68 44 3" xfId="9154"/>
    <cellStyle name="Normal 68 45" xfId="6694"/>
    <cellStyle name="Normal 68 45 2" xfId="6695"/>
    <cellStyle name="Normal 68 45 2 2" xfId="10205"/>
    <cellStyle name="Normal 68 45 3" xfId="9155"/>
    <cellStyle name="Normal 68 46" xfId="6696"/>
    <cellStyle name="Normal 68 46 2" xfId="6697"/>
    <cellStyle name="Normal 68 46 2 2" xfId="10206"/>
    <cellStyle name="Normal 68 46 3" xfId="9156"/>
    <cellStyle name="Normal 68 47" xfId="6698"/>
    <cellStyle name="Normal 68 47 2" xfId="6699"/>
    <cellStyle name="Normal 68 47 2 2" xfId="10207"/>
    <cellStyle name="Normal 68 47 3" xfId="9157"/>
    <cellStyle name="Normal 68 48" xfId="6700"/>
    <cellStyle name="Normal 68 48 2" xfId="6701"/>
    <cellStyle name="Normal 68 48 2 2" xfId="10208"/>
    <cellStyle name="Normal 68 48 3" xfId="9158"/>
    <cellStyle name="Normal 68 49" xfId="6702"/>
    <cellStyle name="Normal 68 49 2" xfId="6703"/>
    <cellStyle name="Normal 68 49 2 2" xfId="10209"/>
    <cellStyle name="Normal 68 49 3" xfId="9159"/>
    <cellStyle name="Normal 68 5" xfId="6704"/>
    <cellStyle name="Normal 68 5 2" xfId="6705"/>
    <cellStyle name="Normal 68 5 2 2" xfId="10210"/>
    <cellStyle name="Normal 68 5 3" xfId="9160"/>
    <cellStyle name="Normal 68 50" xfId="6706"/>
    <cellStyle name="Normal 68 50 2" xfId="6707"/>
    <cellStyle name="Normal 68 50 2 2" xfId="10211"/>
    <cellStyle name="Normal 68 50 3" xfId="9161"/>
    <cellStyle name="Normal 68 51" xfId="6708"/>
    <cellStyle name="Normal 68 51 2" xfId="6709"/>
    <cellStyle name="Normal 68 51 2 2" xfId="10212"/>
    <cellStyle name="Normal 68 51 3" xfId="9162"/>
    <cellStyle name="Normal 68 52" xfId="6710"/>
    <cellStyle name="Normal 68 52 2" xfId="9779"/>
    <cellStyle name="Normal 68 53" xfId="6711"/>
    <cellStyle name="Normal 68 53 2" xfId="10918"/>
    <cellStyle name="Normal 68 54" xfId="9116"/>
    <cellStyle name="Normal 68 6" xfId="6712"/>
    <cellStyle name="Normal 68 6 2" xfId="6713"/>
    <cellStyle name="Normal 68 6 2 2" xfId="10213"/>
    <cellStyle name="Normal 68 6 3" xfId="9163"/>
    <cellStyle name="Normal 68 7" xfId="6714"/>
    <cellStyle name="Normal 68 7 2" xfId="6715"/>
    <cellStyle name="Normal 68 7 2 2" xfId="10214"/>
    <cellStyle name="Normal 68 7 3" xfId="9164"/>
    <cellStyle name="Normal 68 8" xfId="6716"/>
    <cellStyle name="Normal 68 8 2" xfId="6717"/>
    <cellStyle name="Normal 68 8 2 2" xfId="10215"/>
    <cellStyle name="Normal 68 8 3" xfId="9165"/>
    <cellStyle name="Normal 68 9" xfId="6718"/>
    <cellStyle name="Normal 68 9 2" xfId="6719"/>
    <cellStyle name="Normal 68 9 2 2" xfId="10216"/>
    <cellStyle name="Normal 68 9 3" xfId="9166"/>
    <cellStyle name="Normal 69" xfId="6720"/>
    <cellStyle name="Normal 69 10" xfId="6721"/>
    <cellStyle name="Normal 69 10 2" xfId="6722"/>
    <cellStyle name="Normal 69 10 2 2" xfId="10218"/>
    <cellStyle name="Normal 69 10 3" xfId="9168"/>
    <cellStyle name="Normal 69 11" xfId="6723"/>
    <cellStyle name="Normal 69 11 2" xfId="6724"/>
    <cellStyle name="Normal 69 11 2 2" xfId="10219"/>
    <cellStyle name="Normal 69 11 3" xfId="9169"/>
    <cellStyle name="Normal 69 12" xfId="6725"/>
    <cellStyle name="Normal 69 12 2" xfId="6726"/>
    <cellStyle name="Normal 69 12 2 2" xfId="10220"/>
    <cellStyle name="Normal 69 12 3" xfId="9170"/>
    <cellStyle name="Normal 69 13" xfId="6727"/>
    <cellStyle name="Normal 69 13 2" xfId="6728"/>
    <cellStyle name="Normal 69 13 2 2" xfId="10221"/>
    <cellStyle name="Normal 69 13 3" xfId="9171"/>
    <cellStyle name="Normal 69 14" xfId="6729"/>
    <cellStyle name="Normal 69 14 2" xfId="6730"/>
    <cellStyle name="Normal 69 14 2 2" xfId="10222"/>
    <cellStyle name="Normal 69 14 3" xfId="9172"/>
    <cellStyle name="Normal 69 15" xfId="6731"/>
    <cellStyle name="Normal 69 15 2" xfId="6732"/>
    <cellStyle name="Normal 69 15 2 2" xfId="10223"/>
    <cellStyle name="Normal 69 15 3" xfId="9173"/>
    <cellStyle name="Normal 69 16" xfId="6733"/>
    <cellStyle name="Normal 69 16 2" xfId="6734"/>
    <cellStyle name="Normal 69 16 2 2" xfId="10224"/>
    <cellStyle name="Normal 69 16 3" xfId="9174"/>
    <cellStyle name="Normal 69 17" xfId="6735"/>
    <cellStyle name="Normal 69 17 2" xfId="6736"/>
    <cellStyle name="Normal 69 17 2 2" xfId="10225"/>
    <cellStyle name="Normal 69 17 3" xfId="9175"/>
    <cellStyle name="Normal 69 18" xfId="6737"/>
    <cellStyle name="Normal 69 18 2" xfId="6738"/>
    <cellStyle name="Normal 69 18 2 2" xfId="10226"/>
    <cellStyle name="Normal 69 18 3" xfId="9176"/>
    <cellStyle name="Normal 69 19" xfId="6739"/>
    <cellStyle name="Normal 69 19 2" xfId="6740"/>
    <cellStyle name="Normal 69 19 2 2" xfId="10227"/>
    <cellStyle name="Normal 69 19 3" xfId="9177"/>
    <cellStyle name="Normal 69 2" xfId="6741"/>
    <cellStyle name="Normal 69 2 2" xfId="6742"/>
    <cellStyle name="Normal 69 2 2 2" xfId="10228"/>
    <cellStyle name="Normal 69 2 3" xfId="9178"/>
    <cellStyle name="Normal 69 20" xfId="6743"/>
    <cellStyle name="Normal 69 20 2" xfId="6744"/>
    <cellStyle name="Normal 69 20 2 2" xfId="10229"/>
    <cellStyle name="Normal 69 20 3" xfId="9179"/>
    <cellStyle name="Normal 69 21" xfId="6745"/>
    <cellStyle name="Normal 69 21 2" xfId="6746"/>
    <cellStyle name="Normal 69 21 2 2" xfId="10230"/>
    <cellStyle name="Normal 69 21 3" xfId="9180"/>
    <cellStyle name="Normal 69 22" xfId="6747"/>
    <cellStyle name="Normal 69 22 2" xfId="6748"/>
    <cellStyle name="Normal 69 22 2 2" xfId="10231"/>
    <cellStyle name="Normal 69 22 3" xfId="9181"/>
    <cellStyle name="Normal 69 23" xfId="6749"/>
    <cellStyle name="Normal 69 23 2" xfId="6750"/>
    <cellStyle name="Normal 69 23 2 2" xfId="10232"/>
    <cellStyle name="Normal 69 23 3" xfId="9182"/>
    <cellStyle name="Normal 69 24" xfId="6751"/>
    <cellStyle name="Normal 69 24 2" xfId="6752"/>
    <cellStyle name="Normal 69 24 2 2" xfId="10233"/>
    <cellStyle name="Normal 69 24 3" xfId="9183"/>
    <cellStyle name="Normal 69 25" xfId="6753"/>
    <cellStyle name="Normal 69 25 2" xfId="6754"/>
    <cellStyle name="Normal 69 25 2 2" xfId="10234"/>
    <cellStyle name="Normal 69 25 3" xfId="9184"/>
    <cellStyle name="Normal 69 26" xfId="6755"/>
    <cellStyle name="Normal 69 26 2" xfId="6756"/>
    <cellStyle name="Normal 69 26 2 2" xfId="10235"/>
    <cellStyle name="Normal 69 26 3" xfId="9185"/>
    <cellStyle name="Normal 69 27" xfId="6757"/>
    <cellStyle name="Normal 69 27 2" xfId="6758"/>
    <cellStyle name="Normal 69 27 2 2" xfId="10236"/>
    <cellStyle name="Normal 69 27 3" xfId="9186"/>
    <cellStyle name="Normal 69 28" xfId="6759"/>
    <cellStyle name="Normal 69 28 2" xfId="6760"/>
    <cellStyle name="Normal 69 28 2 2" xfId="10237"/>
    <cellStyle name="Normal 69 28 3" xfId="9187"/>
    <cellStyle name="Normal 69 29" xfId="6761"/>
    <cellStyle name="Normal 69 29 2" xfId="6762"/>
    <cellStyle name="Normal 69 29 2 2" xfId="10238"/>
    <cellStyle name="Normal 69 29 3" xfId="9188"/>
    <cellStyle name="Normal 69 3" xfId="6763"/>
    <cellStyle name="Normal 69 3 2" xfId="6764"/>
    <cellStyle name="Normal 69 3 2 2" xfId="10239"/>
    <cellStyle name="Normal 69 3 3" xfId="9189"/>
    <cellStyle name="Normal 69 30" xfId="6765"/>
    <cellStyle name="Normal 69 30 2" xfId="6766"/>
    <cellStyle name="Normal 69 30 2 2" xfId="10240"/>
    <cellStyle name="Normal 69 30 3" xfId="9190"/>
    <cellStyle name="Normal 69 31" xfId="6767"/>
    <cellStyle name="Normal 69 31 2" xfId="6768"/>
    <cellStyle name="Normal 69 31 2 2" xfId="10241"/>
    <cellStyle name="Normal 69 31 3" xfId="9191"/>
    <cellStyle name="Normal 69 32" xfId="6769"/>
    <cellStyle name="Normal 69 32 2" xfId="6770"/>
    <cellStyle name="Normal 69 32 2 2" xfId="10242"/>
    <cellStyle name="Normal 69 32 3" xfId="9192"/>
    <cellStyle name="Normal 69 33" xfId="6771"/>
    <cellStyle name="Normal 69 33 2" xfId="6772"/>
    <cellStyle name="Normal 69 33 2 2" xfId="10243"/>
    <cellStyle name="Normal 69 33 3" xfId="9193"/>
    <cellStyle name="Normal 69 34" xfId="6773"/>
    <cellStyle name="Normal 69 34 2" xfId="6774"/>
    <cellStyle name="Normal 69 34 2 2" xfId="10244"/>
    <cellStyle name="Normal 69 34 3" xfId="9194"/>
    <cellStyle name="Normal 69 35" xfId="6775"/>
    <cellStyle name="Normal 69 35 2" xfId="6776"/>
    <cellStyle name="Normal 69 35 2 2" xfId="10245"/>
    <cellStyle name="Normal 69 35 3" xfId="9195"/>
    <cellStyle name="Normal 69 36" xfId="6777"/>
    <cellStyle name="Normal 69 36 2" xfId="6778"/>
    <cellStyle name="Normal 69 36 2 2" xfId="10246"/>
    <cellStyle name="Normal 69 36 3" xfId="9196"/>
    <cellStyle name="Normal 69 37" xfId="6779"/>
    <cellStyle name="Normal 69 37 2" xfId="6780"/>
    <cellStyle name="Normal 69 37 2 2" xfId="10247"/>
    <cellStyle name="Normal 69 37 3" xfId="9197"/>
    <cellStyle name="Normal 69 38" xfId="6781"/>
    <cellStyle name="Normal 69 38 2" xfId="6782"/>
    <cellStyle name="Normal 69 38 2 2" xfId="10248"/>
    <cellStyle name="Normal 69 38 3" xfId="9198"/>
    <cellStyle name="Normal 69 39" xfId="6783"/>
    <cellStyle name="Normal 69 39 2" xfId="6784"/>
    <cellStyle name="Normal 69 39 2 2" xfId="10249"/>
    <cellStyle name="Normal 69 39 3" xfId="9199"/>
    <cellStyle name="Normal 69 4" xfId="6785"/>
    <cellStyle name="Normal 69 4 2" xfId="6786"/>
    <cellStyle name="Normal 69 4 2 2" xfId="10250"/>
    <cellStyle name="Normal 69 4 3" xfId="9200"/>
    <cellStyle name="Normal 69 40" xfId="6787"/>
    <cellStyle name="Normal 69 40 2" xfId="6788"/>
    <cellStyle name="Normal 69 40 2 2" xfId="10251"/>
    <cellStyle name="Normal 69 40 3" xfId="9201"/>
    <cellStyle name="Normal 69 41" xfId="6789"/>
    <cellStyle name="Normal 69 41 2" xfId="6790"/>
    <cellStyle name="Normal 69 41 2 2" xfId="10252"/>
    <cellStyle name="Normal 69 41 3" xfId="9202"/>
    <cellStyle name="Normal 69 42" xfId="6791"/>
    <cellStyle name="Normal 69 42 2" xfId="6792"/>
    <cellStyle name="Normal 69 42 2 2" xfId="10253"/>
    <cellStyle name="Normal 69 42 3" xfId="9203"/>
    <cellStyle name="Normal 69 43" xfId="6793"/>
    <cellStyle name="Normal 69 43 2" xfId="6794"/>
    <cellStyle name="Normal 69 43 2 2" xfId="10254"/>
    <cellStyle name="Normal 69 43 3" xfId="9204"/>
    <cellStyle name="Normal 69 44" xfId="6795"/>
    <cellStyle name="Normal 69 44 2" xfId="6796"/>
    <cellStyle name="Normal 69 44 2 2" xfId="10255"/>
    <cellStyle name="Normal 69 44 3" xfId="9205"/>
    <cellStyle name="Normal 69 45" xfId="6797"/>
    <cellStyle name="Normal 69 45 2" xfId="6798"/>
    <cellStyle name="Normal 69 45 2 2" xfId="10256"/>
    <cellStyle name="Normal 69 45 3" xfId="9206"/>
    <cellStyle name="Normal 69 46" xfId="6799"/>
    <cellStyle name="Normal 69 46 2" xfId="6800"/>
    <cellStyle name="Normal 69 46 2 2" xfId="10257"/>
    <cellStyle name="Normal 69 46 3" xfId="9207"/>
    <cellStyle name="Normal 69 47" xfId="6801"/>
    <cellStyle name="Normal 69 47 2" xfId="6802"/>
    <cellStyle name="Normal 69 47 2 2" xfId="10258"/>
    <cellStyle name="Normal 69 47 3" xfId="9208"/>
    <cellStyle name="Normal 69 48" xfId="6803"/>
    <cellStyle name="Normal 69 48 2" xfId="6804"/>
    <cellStyle name="Normal 69 48 2 2" xfId="10259"/>
    <cellStyle name="Normal 69 48 3" xfId="9209"/>
    <cellStyle name="Normal 69 49" xfId="6805"/>
    <cellStyle name="Normal 69 49 2" xfId="6806"/>
    <cellStyle name="Normal 69 49 2 2" xfId="10260"/>
    <cellStyle name="Normal 69 49 3" xfId="9210"/>
    <cellStyle name="Normal 69 5" xfId="6807"/>
    <cellStyle name="Normal 69 5 2" xfId="6808"/>
    <cellStyle name="Normal 69 5 2 2" xfId="10261"/>
    <cellStyle name="Normal 69 5 3" xfId="9211"/>
    <cellStyle name="Normal 69 50" xfId="6809"/>
    <cellStyle name="Normal 69 50 2" xfId="6810"/>
    <cellStyle name="Normal 69 50 2 2" xfId="10262"/>
    <cellStyle name="Normal 69 50 3" xfId="9212"/>
    <cellStyle name="Normal 69 51" xfId="6811"/>
    <cellStyle name="Normal 69 51 2" xfId="6812"/>
    <cellStyle name="Normal 69 51 2 2" xfId="10263"/>
    <cellStyle name="Normal 69 51 3" xfId="9213"/>
    <cellStyle name="Normal 69 52" xfId="6813"/>
    <cellStyle name="Normal 69 52 2" xfId="10217"/>
    <cellStyle name="Normal 69 53" xfId="6814"/>
    <cellStyle name="Normal 69 53 2" xfId="10919"/>
    <cellStyle name="Normal 69 54" xfId="9167"/>
    <cellStyle name="Normal 69 6" xfId="6815"/>
    <cellStyle name="Normal 69 6 2" xfId="6816"/>
    <cellStyle name="Normal 69 6 2 2" xfId="10264"/>
    <cellStyle name="Normal 69 6 3" xfId="9214"/>
    <cellStyle name="Normal 69 7" xfId="6817"/>
    <cellStyle name="Normal 69 7 2" xfId="6818"/>
    <cellStyle name="Normal 69 7 2 2" xfId="10265"/>
    <cellStyle name="Normal 69 7 3" xfId="9215"/>
    <cellStyle name="Normal 69 8" xfId="6819"/>
    <cellStyle name="Normal 69 8 2" xfId="6820"/>
    <cellStyle name="Normal 69 8 2 2" xfId="10266"/>
    <cellStyle name="Normal 69 8 3" xfId="9216"/>
    <cellStyle name="Normal 69 9" xfId="6821"/>
    <cellStyle name="Normal 69 9 2" xfId="6822"/>
    <cellStyle name="Normal 69 9 2 2" xfId="10267"/>
    <cellStyle name="Normal 69 9 3" xfId="9217"/>
    <cellStyle name="Normal 7" xfId="227"/>
    <cellStyle name="Normal 7 10" xfId="6824"/>
    <cellStyle name="Normal 7 11" xfId="6823"/>
    <cellStyle name="Normal 7 12" xfId="9218"/>
    <cellStyle name="Normal 7 2" xfId="228"/>
    <cellStyle name="Normal 7 2 2" xfId="6826"/>
    <cellStyle name="Normal 7 2 2 2" xfId="10897"/>
    <cellStyle name="Normal 7 2 3" xfId="6827"/>
    <cellStyle name="Normal 7 2 4" xfId="6825"/>
    <cellStyle name="Normal 7 2 5" xfId="10819"/>
    <cellStyle name="Normal 7 3" xfId="229"/>
    <cellStyle name="Normal 7 3 2" xfId="6829"/>
    <cellStyle name="Normal 7 3 3" xfId="6828"/>
    <cellStyle name="Normal 7 4" xfId="230"/>
    <cellStyle name="Normal 7 4 2" xfId="6831"/>
    <cellStyle name="Normal 7 4 3" xfId="6830"/>
    <cellStyle name="Normal 7 5" xfId="231"/>
    <cellStyle name="Normal 7 5 2" xfId="6833"/>
    <cellStyle name="Normal 7 5 3" xfId="6832"/>
    <cellStyle name="Normal 7 6" xfId="232"/>
    <cellStyle name="Normal 7 6 2" xfId="6835"/>
    <cellStyle name="Normal 7 6 3" xfId="6834"/>
    <cellStyle name="Normal 7 7" xfId="233"/>
    <cellStyle name="Normal 7 7 2" xfId="6836"/>
    <cellStyle name="Normal 7 8" xfId="234"/>
    <cellStyle name="Normal 7 8 2" xfId="6837"/>
    <cellStyle name="Normal 7 9" xfId="235"/>
    <cellStyle name="Normal 7 9 2" xfId="6838"/>
    <cellStyle name="Normal 70" xfId="6839"/>
    <cellStyle name="Normal 70 2" xfId="6840"/>
    <cellStyle name="Normal 70 2 2" xfId="6841"/>
    <cellStyle name="Normal 70 2 2 2" xfId="10268"/>
    <cellStyle name="Normal 70 2 3" xfId="9219"/>
    <cellStyle name="Normal 70 3" xfId="6842"/>
    <cellStyle name="Normal 70 3 2" xfId="6843"/>
    <cellStyle name="Normal 70 3 2 2" xfId="10269"/>
    <cellStyle name="Normal 70 3 3" xfId="9220"/>
    <cellStyle name="Normal 70 4" xfId="6844"/>
    <cellStyle name="Normal 70 4 2" xfId="6845"/>
    <cellStyle name="Normal 70 4 2 2" xfId="10270"/>
    <cellStyle name="Normal 70 4 3" xfId="9221"/>
    <cellStyle name="Normal 70 5" xfId="6846"/>
    <cellStyle name="Normal 70 5 2" xfId="6847"/>
    <cellStyle name="Normal 70 5 2 2" xfId="10271"/>
    <cellStyle name="Normal 70 5 3" xfId="9222"/>
    <cellStyle name="Normal 70 6" xfId="10920"/>
    <cellStyle name="Normal 71" xfId="6848"/>
    <cellStyle name="Normal 71 10" xfId="6849"/>
    <cellStyle name="Normal 71 10 2" xfId="6850"/>
    <cellStyle name="Normal 71 10 2 2" xfId="10272"/>
    <cellStyle name="Normal 71 10 3" xfId="9224"/>
    <cellStyle name="Normal 71 11" xfId="6851"/>
    <cellStyle name="Normal 71 11 2" xfId="6852"/>
    <cellStyle name="Normal 71 11 2 2" xfId="10273"/>
    <cellStyle name="Normal 71 11 3" xfId="9225"/>
    <cellStyle name="Normal 71 12" xfId="6853"/>
    <cellStyle name="Normal 71 12 2" xfId="6854"/>
    <cellStyle name="Normal 71 12 2 2" xfId="10274"/>
    <cellStyle name="Normal 71 12 3" xfId="9226"/>
    <cellStyle name="Normal 71 13" xfId="6855"/>
    <cellStyle name="Normal 71 13 2" xfId="6856"/>
    <cellStyle name="Normal 71 13 2 2" xfId="10275"/>
    <cellStyle name="Normal 71 13 3" xfId="9227"/>
    <cellStyle name="Normal 71 14" xfId="6857"/>
    <cellStyle name="Normal 71 14 2" xfId="6858"/>
    <cellStyle name="Normal 71 14 2 2" xfId="10276"/>
    <cellStyle name="Normal 71 14 3" xfId="9228"/>
    <cellStyle name="Normal 71 15" xfId="6859"/>
    <cellStyle name="Normal 71 15 2" xfId="6860"/>
    <cellStyle name="Normal 71 15 2 2" xfId="10277"/>
    <cellStyle name="Normal 71 15 3" xfId="9229"/>
    <cellStyle name="Normal 71 16" xfId="6861"/>
    <cellStyle name="Normal 71 16 2" xfId="6862"/>
    <cellStyle name="Normal 71 16 2 2" xfId="10278"/>
    <cellStyle name="Normal 71 16 3" xfId="9230"/>
    <cellStyle name="Normal 71 17" xfId="6863"/>
    <cellStyle name="Normal 71 17 2" xfId="6864"/>
    <cellStyle name="Normal 71 17 2 2" xfId="10279"/>
    <cellStyle name="Normal 71 17 3" xfId="9231"/>
    <cellStyle name="Normal 71 18" xfId="6865"/>
    <cellStyle name="Normal 71 18 2" xfId="6866"/>
    <cellStyle name="Normal 71 18 2 2" xfId="10280"/>
    <cellStyle name="Normal 71 18 3" xfId="9232"/>
    <cellStyle name="Normal 71 19" xfId="6867"/>
    <cellStyle name="Normal 71 19 2" xfId="6868"/>
    <cellStyle name="Normal 71 19 2 2" xfId="10281"/>
    <cellStyle name="Normal 71 19 3" xfId="9233"/>
    <cellStyle name="Normal 71 2" xfId="6869"/>
    <cellStyle name="Normal 71 2 2" xfId="6870"/>
    <cellStyle name="Normal 71 2 2 2" xfId="10282"/>
    <cellStyle name="Normal 71 2 3" xfId="9234"/>
    <cellStyle name="Normal 71 20" xfId="6871"/>
    <cellStyle name="Normal 71 20 2" xfId="6872"/>
    <cellStyle name="Normal 71 20 2 2" xfId="10283"/>
    <cellStyle name="Normal 71 20 3" xfId="9235"/>
    <cellStyle name="Normal 71 21" xfId="6873"/>
    <cellStyle name="Normal 71 21 2" xfId="6874"/>
    <cellStyle name="Normal 71 21 2 2" xfId="10284"/>
    <cellStyle name="Normal 71 21 3" xfId="9236"/>
    <cellStyle name="Normal 71 22" xfId="6875"/>
    <cellStyle name="Normal 71 22 2" xfId="6876"/>
    <cellStyle name="Normal 71 22 2 2" xfId="10285"/>
    <cellStyle name="Normal 71 22 3" xfId="9237"/>
    <cellStyle name="Normal 71 23" xfId="6877"/>
    <cellStyle name="Normal 71 23 2" xfId="6878"/>
    <cellStyle name="Normal 71 23 2 2" xfId="10286"/>
    <cellStyle name="Normal 71 23 3" xfId="9238"/>
    <cellStyle name="Normal 71 24" xfId="6879"/>
    <cellStyle name="Normal 71 24 2" xfId="6880"/>
    <cellStyle name="Normal 71 24 2 2" xfId="10287"/>
    <cellStyle name="Normal 71 24 3" xfId="9239"/>
    <cellStyle name="Normal 71 25" xfId="6881"/>
    <cellStyle name="Normal 71 25 2" xfId="6882"/>
    <cellStyle name="Normal 71 25 2 2" xfId="10288"/>
    <cellStyle name="Normal 71 25 3" xfId="9240"/>
    <cellStyle name="Normal 71 26" xfId="6883"/>
    <cellStyle name="Normal 71 26 2" xfId="6884"/>
    <cellStyle name="Normal 71 26 2 2" xfId="10289"/>
    <cellStyle name="Normal 71 26 3" xfId="9241"/>
    <cellStyle name="Normal 71 27" xfId="6885"/>
    <cellStyle name="Normal 71 27 2" xfId="6886"/>
    <cellStyle name="Normal 71 27 2 2" xfId="10290"/>
    <cellStyle name="Normal 71 27 3" xfId="9242"/>
    <cellStyle name="Normal 71 28" xfId="6887"/>
    <cellStyle name="Normal 71 28 2" xfId="6888"/>
    <cellStyle name="Normal 71 28 2 2" xfId="10291"/>
    <cellStyle name="Normal 71 28 3" xfId="9243"/>
    <cellStyle name="Normal 71 29" xfId="6889"/>
    <cellStyle name="Normal 71 29 2" xfId="6890"/>
    <cellStyle name="Normal 71 29 2 2" xfId="10292"/>
    <cellStyle name="Normal 71 29 3" xfId="9244"/>
    <cellStyle name="Normal 71 3" xfId="6891"/>
    <cellStyle name="Normal 71 3 2" xfId="6892"/>
    <cellStyle name="Normal 71 3 2 2" xfId="10293"/>
    <cellStyle name="Normal 71 3 3" xfId="9245"/>
    <cellStyle name="Normal 71 30" xfId="6893"/>
    <cellStyle name="Normal 71 30 2" xfId="6894"/>
    <cellStyle name="Normal 71 30 2 2" xfId="10294"/>
    <cellStyle name="Normal 71 30 3" xfId="9246"/>
    <cellStyle name="Normal 71 31" xfId="6895"/>
    <cellStyle name="Normal 71 31 2" xfId="6896"/>
    <cellStyle name="Normal 71 31 2 2" xfId="10295"/>
    <cellStyle name="Normal 71 31 3" xfId="9247"/>
    <cellStyle name="Normal 71 32" xfId="6897"/>
    <cellStyle name="Normal 71 32 2" xfId="6898"/>
    <cellStyle name="Normal 71 32 2 2" xfId="10296"/>
    <cellStyle name="Normal 71 32 3" xfId="9248"/>
    <cellStyle name="Normal 71 33" xfId="6899"/>
    <cellStyle name="Normal 71 33 2" xfId="6900"/>
    <cellStyle name="Normal 71 33 2 2" xfId="10297"/>
    <cellStyle name="Normal 71 33 3" xfId="9249"/>
    <cellStyle name="Normal 71 34" xfId="6901"/>
    <cellStyle name="Normal 71 34 2" xfId="6902"/>
    <cellStyle name="Normal 71 34 2 2" xfId="10298"/>
    <cellStyle name="Normal 71 34 3" xfId="9250"/>
    <cellStyle name="Normal 71 35" xfId="6903"/>
    <cellStyle name="Normal 71 35 2" xfId="6904"/>
    <cellStyle name="Normal 71 35 2 2" xfId="10299"/>
    <cellStyle name="Normal 71 35 3" xfId="9251"/>
    <cellStyle name="Normal 71 36" xfId="6905"/>
    <cellStyle name="Normal 71 36 2" xfId="6906"/>
    <cellStyle name="Normal 71 36 2 2" xfId="10300"/>
    <cellStyle name="Normal 71 36 3" xfId="9252"/>
    <cellStyle name="Normal 71 37" xfId="6907"/>
    <cellStyle name="Normal 71 37 2" xfId="6908"/>
    <cellStyle name="Normal 71 37 2 2" xfId="10301"/>
    <cellStyle name="Normal 71 37 3" xfId="9253"/>
    <cellStyle name="Normal 71 38" xfId="6909"/>
    <cellStyle name="Normal 71 38 2" xfId="6910"/>
    <cellStyle name="Normal 71 38 2 2" xfId="10302"/>
    <cellStyle name="Normal 71 38 3" xfId="9254"/>
    <cellStyle name="Normal 71 39" xfId="6911"/>
    <cellStyle name="Normal 71 39 2" xfId="6912"/>
    <cellStyle name="Normal 71 39 2 2" xfId="10303"/>
    <cellStyle name="Normal 71 39 3" xfId="9255"/>
    <cellStyle name="Normal 71 4" xfId="6913"/>
    <cellStyle name="Normal 71 4 2" xfId="6914"/>
    <cellStyle name="Normal 71 4 2 2" xfId="10304"/>
    <cellStyle name="Normal 71 4 3" xfId="9256"/>
    <cellStyle name="Normal 71 40" xfId="6915"/>
    <cellStyle name="Normal 71 40 2" xfId="6916"/>
    <cellStyle name="Normal 71 40 2 2" xfId="10305"/>
    <cellStyle name="Normal 71 40 3" xfId="9257"/>
    <cellStyle name="Normal 71 41" xfId="6917"/>
    <cellStyle name="Normal 71 41 2" xfId="6918"/>
    <cellStyle name="Normal 71 41 2 2" xfId="10306"/>
    <cellStyle name="Normal 71 41 3" xfId="9258"/>
    <cellStyle name="Normal 71 42" xfId="6919"/>
    <cellStyle name="Normal 71 42 2" xfId="6920"/>
    <cellStyle name="Normal 71 42 2 2" xfId="10307"/>
    <cellStyle name="Normal 71 42 3" xfId="9259"/>
    <cellStyle name="Normal 71 43" xfId="6921"/>
    <cellStyle name="Normal 71 43 2" xfId="6922"/>
    <cellStyle name="Normal 71 43 2 2" xfId="10308"/>
    <cellStyle name="Normal 71 43 3" xfId="9260"/>
    <cellStyle name="Normal 71 44" xfId="6923"/>
    <cellStyle name="Normal 71 44 2" xfId="6924"/>
    <cellStyle name="Normal 71 44 2 2" xfId="10309"/>
    <cellStyle name="Normal 71 44 3" xfId="9261"/>
    <cellStyle name="Normal 71 45" xfId="6925"/>
    <cellStyle name="Normal 71 45 2" xfId="6926"/>
    <cellStyle name="Normal 71 45 2 2" xfId="10310"/>
    <cellStyle name="Normal 71 45 3" xfId="9262"/>
    <cellStyle name="Normal 71 46" xfId="6927"/>
    <cellStyle name="Normal 71 46 2" xfId="6928"/>
    <cellStyle name="Normal 71 46 2 2" xfId="10311"/>
    <cellStyle name="Normal 71 46 3" xfId="9263"/>
    <cellStyle name="Normal 71 47" xfId="6929"/>
    <cellStyle name="Normal 71 47 2" xfId="6930"/>
    <cellStyle name="Normal 71 47 2 2" xfId="10312"/>
    <cellStyle name="Normal 71 47 3" xfId="9264"/>
    <cellStyle name="Normal 71 48" xfId="6931"/>
    <cellStyle name="Normal 71 48 2" xfId="6932"/>
    <cellStyle name="Normal 71 48 2 2" xfId="10313"/>
    <cellStyle name="Normal 71 48 3" xfId="9265"/>
    <cellStyle name="Normal 71 49" xfId="6933"/>
    <cellStyle name="Normal 71 49 2" xfId="6934"/>
    <cellStyle name="Normal 71 49 2 2" xfId="10314"/>
    <cellStyle name="Normal 71 49 3" xfId="9266"/>
    <cellStyle name="Normal 71 5" xfId="6935"/>
    <cellStyle name="Normal 71 5 2" xfId="6936"/>
    <cellStyle name="Normal 71 5 2 2" xfId="10315"/>
    <cellStyle name="Normal 71 5 3" xfId="9267"/>
    <cellStyle name="Normal 71 50" xfId="6937"/>
    <cellStyle name="Normal 71 50 2" xfId="6938"/>
    <cellStyle name="Normal 71 50 2 2" xfId="10316"/>
    <cellStyle name="Normal 71 50 3" xfId="9268"/>
    <cellStyle name="Normal 71 51" xfId="6939"/>
    <cellStyle name="Normal 71 51 2" xfId="6940"/>
    <cellStyle name="Normal 71 51 2 2" xfId="10317"/>
    <cellStyle name="Normal 71 51 3" xfId="9269"/>
    <cellStyle name="Normal 71 52" xfId="6941"/>
    <cellStyle name="Normal 71 52 2" xfId="9780"/>
    <cellStyle name="Normal 71 53" xfId="6942"/>
    <cellStyle name="Normal 71 53 2" xfId="10921"/>
    <cellStyle name="Normal 71 54" xfId="9223"/>
    <cellStyle name="Normal 71 6" xfId="6943"/>
    <cellStyle name="Normal 71 6 2" xfId="6944"/>
    <cellStyle name="Normal 71 6 2 2" xfId="10318"/>
    <cellStyle name="Normal 71 6 3" xfId="9270"/>
    <cellStyle name="Normal 71 7" xfId="6945"/>
    <cellStyle name="Normal 71 7 2" xfId="6946"/>
    <cellStyle name="Normal 71 7 2 2" xfId="10319"/>
    <cellStyle name="Normal 71 7 3" xfId="9271"/>
    <cellStyle name="Normal 71 8" xfId="6947"/>
    <cellStyle name="Normal 71 8 2" xfId="6948"/>
    <cellStyle name="Normal 71 8 2 2" xfId="10320"/>
    <cellStyle name="Normal 71 8 3" xfId="9272"/>
    <cellStyle name="Normal 71 9" xfId="6949"/>
    <cellStyle name="Normal 71 9 2" xfId="6950"/>
    <cellStyle name="Normal 71 9 2 2" xfId="10321"/>
    <cellStyle name="Normal 71 9 3" xfId="9273"/>
    <cellStyle name="Normal 72" xfId="6951"/>
    <cellStyle name="Normal 72 10" xfId="6952"/>
    <cellStyle name="Normal 72 10 2" xfId="6953"/>
    <cellStyle name="Normal 72 10 2 2" xfId="10323"/>
    <cellStyle name="Normal 72 10 3" xfId="9275"/>
    <cellStyle name="Normal 72 11" xfId="6954"/>
    <cellStyle name="Normal 72 11 2" xfId="6955"/>
    <cellStyle name="Normal 72 11 2 2" xfId="10324"/>
    <cellStyle name="Normal 72 11 3" xfId="9276"/>
    <cellStyle name="Normal 72 12" xfId="6956"/>
    <cellStyle name="Normal 72 12 2" xfId="6957"/>
    <cellStyle name="Normal 72 12 2 2" xfId="10325"/>
    <cellStyle name="Normal 72 12 3" xfId="9277"/>
    <cellStyle name="Normal 72 13" xfId="6958"/>
    <cellStyle name="Normal 72 13 2" xfId="6959"/>
    <cellStyle name="Normal 72 13 2 2" xfId="10326"/>
    <cellStyle name="Normal 72 13 3" xfId="9278"/>
    <cellStyle name="Normal 72 14" xfId="6960"/>
    <cellStyle name="Normal 72 14 2" xfId="6961"/>
    <cellStyle name="Normal 72 14 2 2" xfId="10327"/>
    <cellStyle name="Normal 72 14 3" xfId="9279"/>
    <cellStyle name="Normal 72 15" xfId="6962"/>
    <cellStyle name="Normal 72 15 2" xfId="6963"/>
    <cellStyle name="Normal 72 15 2 2" xfId="10328"/>
    <cellStyle name="Normal 72 15 3" xfId="9280"/>
    <cellStyle name="Normal 72 16" xfId="6964"/>
    <cellStyle name="Normal 72 16 2" xfId="6965"/>
    <cellStyle name="Normal 72 16 2 2" xfId="10329"/>
    <cellStyle name="Normal 72 16 3" xfId="9281"/>
    <cellStyle name="Normal 72 17" xfId="6966"/>
    <cellStyle name="Normal 72 17 2" xfId="6967"/>
    <cellStyle name="Normal 72 17 2 2" xfId="10330"/>
    <cellStyle name="Normal 72 17 3" xfId="9282"/>
    <cellStyle name="Normal 72 18" xfId="6968"/>
    <cellStyle name="Normal 72 18 2" xfId="6969"/>
    <cellStyle name="Normal 72 18 2 2" xfId="10331"/>
    <cellStyle name="Normal 72 18 3" xfId="9283"/>
    <cellStyle name="Normal 72 19" xfId="6970"/>
    <cellStyle name="Normal 72 19 2" xfId="6971"/>
    <cellStyle name="Normal 72 19 2 2" xfId="10332"/>
    <cellStyle name="Normal 72 19 3" xfId="9284"/>
    <cellStyle name="Normal 72 2" xfId="6972"/>
    <cellStyle name="Normal 72 2 2" xfId="6973"/>
    <cellStyle name="Normal 72 2 2 2" xfId="10333"/>
    <cellStyle name="Normal 72 2 3" xfId="9285"/>
    <cellStyle name="Normal 72 20" xfId="6974"/>
    <cellStyle name="Normal 72 20 2" xfId="6975"/>
    <cellStyle name="Normal 72 20 2 2" xfId="10334"/>
    <cellStyle name="Normal 72 20 3" xfId="9286"/>
    <cellStyle name="Normal 72 21" xfId="6976"/>
    <cellStyle name="Normal 72 21 2" xfId="6977"/>
    <cellStyle name="Normal 72 21 2 2" xfId="10335"/>
    <cellStyle name="Normal 72 21 3" xfId="9287"/>
    <cellStyle name="Normal 72 22" xfId="6978"/>
    <cellStyle name="Normal 72 22 2" xfId="6979"/>
    <cellStyle name="Normal 72 22 2 2" xfId="10336"/>
    <cellStyle name="Normal 72 22 3" xfId="9288"/>
    <cellStyle name="Normal 72 23" xfId="6980"/>
    <cellStyle name="Normal 72 23 2" xfId="6981"/>
    <cellStyle name="Normal 72 23 2 2" xfId="10337"/>
    <cellStyle name="Normal 72 23 3" xfId="9289"/>
    <cellStyle name="Normal 72 24" xfId="6982"/>
    <cellStyle name="Normal 72 24 2" xfId="6983"/>
    <cellStyle name="Normal 72 24 2 2" xfId="10338"/>
    <cellStyle name="Normal 72 24 3" xfId="9290"/>
    <cellStyle name="Normal 72 25" xfId="6984"/>
    <cellStyle name="Normal 72 25 2" xfId="6985"/>
    <cellStyle name="Normal 72 25 2 2" xfId="10339"/>
    <cellStyle name="Normal 72 25 3" xfId="9291"/>
    <cellStyle name="Normal 72 26" xfId="6986"/>
    <cellStyle name="Normal 72 26 2" xfId="6987"/>
    <cellStyle name="Normal 72 26 2 2" xfId="10340"/>
    <cellStyle name="Normal 72 26 3" xfId="9292"/>
    <cellStyle name="Normal 72 27" xfId="6988"/>
    <cellStyle name="Normal 72 27 2" xfId="6989"/>
    <cellStyle name="Normal 72 27 2 2" xfId="10341"/>
    <cellStyle name="Normal 72 27 3" xfId="9293"/>
    <cellStyle name="Normal 72 28" xfId="6990"/>
    <cellStyle name="Normal 72 28 2" xfId="6991"/>
    <cellStyle name="Normal 72 28 2 2" xfId="10342"/>
    <cellStyle name="Normal 72 28 3" xfId="9294"/>
    <cellStyle name="Normal 72 29" xfId="6992"/>
    <cellStyle name="Normal 72 29 2" xfId="6993"/>
    <cellStyle name="Normal 72 29 2 2" xfId="10343"/>
    <cellStyle name="Normal 72 29 3" xfId="9295"/>
    <cellStyle name="Normal 72 3" xfId="6994"/>
    <cellStyle name="Normal 72 3 2" xfId="6995"/>
    <cellStyle name="Normal 72 3 2 2" xfId="10344"/>
    <cellStyle name="Normal 72 3 3" xfId="9296"/>
    <cellStyle name="Normal 72 30" xfId="6996"/>
    <cellStyle name="Normal 72 30 2" xfId="6997"/>
    <cellStyle name="Normal 72 30 2 2" xfId="10345"/>
    <cellStyle name="Normal 72 30 3" xfId="9297"/>
    <cellStyle name="Normal 72 31" xfId="6998"/>
    <cellStyle name="Normal 72 31 2" xfId="6999"/>
    <cellStyle name="Normal 72 31 2 2" xfId="10346"/>
    <cellStyle name="Normal 72 31 3" xfId="9298"/>
    <cellStyle name="Normal 72 32" xfId="7000"/>
    <cellStyle name="Normal 72 32 2" xfId="7001"/>
    <cellStyle name="Normal 72 32 2 2" xfId="10347"/>
    <cellStyle name="Normal 72 32 3" xfId="9299"/>
    <cellStyle name="Normal 72 33" xfId="7002"/>
    <cellStyle name="Normal 72 33 2" xfId="7003"/>
    <cellStyle name="Normal 72 33 2 2" xfId="10348"/>
    <cellStyle name="Normal 72 33 3" xfId="9300"/>
    <cellStyle name="Normal 72 34" xfId="7004"/>
    <cellStyle name="Normal 72 34 2" xfId="7005"/>
    <cellStyle name="Normal 72 34 2 2" xfId="10349"/>
    <cellStyle name="Normal 72 34 3" xfId="9301"/>
    <cellStyle name="Normal 72 35" xfId="7006"/>
    <cellStyle name="Normal 72 35 2" xfId="7007"/>
    <cellStyle name="Normal 72 35 2 2" xfId="10350"/>
    <cellStyle name="Normal 72 35 3" xfId="9302"/>
    <cellStyle name="Normal 72 36" xfId="7008"/>
    <cellStyle name="Normal 72 36 2" xfId="7009"/>
    <cellStyle name="Normal 72 36 2 2" xfId="10351"/>
    <cellStyle name="Normal 72 36 3" xfId="9303"/>
    <cellStyle name="Normal 72 37" xfId="7010"/>
    <cellStyle name="Normal 72 37 2" xfId="7011"/>
    <cellStyle name="Normal 72 37 2 2" xfId="10352"/>
    <cellStyle name="Normal 72 37 3" xfId="9304"/>
    <cellStyle name="Normal 72 38" xfId="7012"/>
    <cellStyle name="Normal 72 38 2" xfId="7013"/>
    <cellStyle name="Normal 72 38 2 2" xfId="10353"/>
    <cellStyle name="Normal 72 38 3" xfId="9305"/>
    <cellStyle name="Normal 72 39" xfId="7014"/>
    <cellStyle name="Normal 72 39 2" xfId="7015"/>
    <cellStyle name="Normal 72 39 2 2" xfId="10354"/>
    <cellStyle name="Normal 72 39 3" xfId="9306"/>
    <cellStyle name="Normal 72 4" xfId="7016"/>
    <cellStyle name="Normal 72 4 2" xfId="7017"/>
    <cellStyle name="Normal 72 4 2 2" xfId="10355"/>
    <cellStyle name="Normal 72 4 3" xfId="9307"/>
    <cellStyle name="Normal 72 40" xfId="7018"/>
    <cellStyle name="Normal 72 40 2" xfId="7019"/>
    <cellStyle name="Normal 72 40 2 2" xfId="10356"/>
    <cellStyle name="Normal 72 40 3" xfId="9308"/>
    <cellStyle name="Normal 72 41" xfId="7020"/>
    <cellStyle name="Normal 72 41 2" xfId="7021"/>
    <cellStyle name="Normal 72 41 2 2" xfId="10357"/>
    <cellStyle name="Normal 72 41 3" xfId="9309"/>
    <cellStyle name="Normal 72 42" xfId="7022"/>
    <cellStyle name="Normal 72 42 2" xfId="7023"/>
    <cellStyle name="Normal 72 42 2 2" xfId="10358"/>
    <cellStyle name="Normal 72 42 3" xfId="9310"/>
    <cellStyle name="Normal 72 43" xfId="7024"/>
    <cellStyle name="Normal 72 43 2" xfId="7025"/>
    <cellStyle name="Normal 72 43 2 2" xfId="10359"/>
    <cellStyle name="Normal 72 43 3" xfId="9311"/>
    <cellStyle name="Normal 72 44" xfId="7026"/>
    <cellStyle name="Normal 72 44 2" xfId="7027"/>
    <cellStyle name="Normal 72 44 2 2" xfId="10360"/>
    <cellStyle name="Normal 72 44 3" xfId="9312"/>
    <cellStyle name="Normal 72 45" xfId="7028"/>
    <cellStyle name="Normal 72 45 2" xfId="7029"/>
    <cellStyle name="Normal 72 45 2 2" xfId="10361"/>
    <cellStyle name="Normal 72 45 3" xfId="9313"/>
    <cellStyle name="Normal 72 46" xfId="7030"/>
    <cellStyle name="Normal 72 46 2" xfId="7031"/>
    <cellStyle name="Normal 72 46 2 2" xfId="10362"/>
    <cellStyle name="Normal 72 46 3" xfId="9314"/>
    <cellStyle name="Normal 72 47" xfId="7032"/>
    <cellStyle name="Normal 72 47 2" xfId="7033"/>
    <cellStyle name="Normal 72 47 2 2" xfId="10363"/>
    <cellStyle name="Normal 72 47 3" xfId="9315"/>
    <cellStyle name="Normal 72 48" xfId="7034"/>
    <cellStyle name="Normal 72 48 2" xfId="7035"/>
    <cellStyle name="Normal 72 48 2 2" xfId="10364"/>
    <cellStyle name="Normal 72 48 3" xfId="9316"/>
    <cellStyle name="Normal 72 49" xfId="7036"/>
    <cellStyle name="Normal 72 49 2" xfId="7037"/>
    <cellStyle name="Normal 72 49 2 2" xfId="10365"/>
    <cellStyle name="Normal 72 49 3" xfId="9317"/>
    <cellStyle name="Normal 72 5" xfId="7038"/>
    <cellStyle name="Normal 72 5 2" xfId="7039"/>
    <cellStyle name="Normal 72 5 2 2" xfId="10366"/>
    <cellStyle name="Normal 72 5 3" xfId="9318"/>
    <cellStyle name="Normal 72 50" xfId="7040"/>
    <cellStyle name="Normal 72 50 2" xfId="7041"/>
    <cellStyle name="Normal 72 50 2 2" xfId="10367"/>
    <cellStyle name="Normal 72 50 3" xfId="9319"/>
    <cellStyle name="Normal 72 51" xfId="7042"/>
    <cellStyle name="Normal 72 51 2" xfId="7043"/>
    <cellStyle name="Normal 72 51 2 2" xfId="10368"/>
    <cellStyle name="Normal 72 51 3" xfId="9320"/>
    <cellStyle name="Normal 72 52" xfId="7044"/>
    <cellStyle name="Normal 72 52 2" xfId="10322"/>
    <cellStyle name="Normal 72 53" xfId="7045"/>
    <cellStyle name="Normal 72 53 2" xfId="10922"/>
    <cellStyle name="Normal 72 54" xfId="9274"/>
    <cellStyle name="Normal 72 6" xfId="7046"/>
    <cellStyle name="Normal 72 6 2" xfId="7047"/>
    <cellStyle name="Normal 72 6 2 2" xfId="10369"/>
    <cellStyle name="Normal 72 6 3" xfId="9321"/>
    <cellStyle name="Normal 72 7" xfId="7048"/>
    <cellStyle name="Normal 72 7 2" xfId="7049"/>
    <cellStyle name="Normal 72 7 2 2" xfId="10370"/>
    <cellStyle name="Normal 72 7 3" xfId="9322"/>
    <cellStyle name="Normal 72 8" xfId="7050"/>
    <cellStyle name="Normal 72 8 2" xfId="7051"/>
    <cellStyle name="Normal 72 8 2 2" xfId="10371"/>
    <cellStyle name="Normal 72 8 3" xfId="9323"/>
    <cellStyle name="Normal 72 9" xfId="7052"/>
    <cellStyle name="Normal 72 9 2" xfId="7053"/>
    <cellStyle name="Normal 72 9 2 2" xfId="10372"/>
    <cellStyle name="Normal 72 9 3" xfId="9324"/>
    <cellStyle name="Normal 73" xfId="7054"/>
    <cellStyle name="Normal 73 2" xfId="7055"/>
    <cellStyle name="Normal 73 2 2" xfId="9325"/>
    <cellStyle name="Normal 73 3" xfId="7056"/>
    <cellStyle name="Normal 73 3 2" xfId="9326"/>
    <cellStyle name="Normal 73 4" xfId="7057"/>
    <cellStyle name="Normal 73 4 2" xfId="9327"/>
    <cellStyle name="Normal 73 5" xfId="7058"/>
    <cellStyle name="Normal 73 5 2" xfId="9328"/>
    <cellStyle name="Normal 73 6" xfId="10923"/>
    <cellStyle name="Normal 74" xfId="7059"/>
    <cellStyle name="Normal 74 2" xfId="7060"/>
    <cellStyle name="Normal 74 2 2" xfId="9329"/>
    <cellStyle name="Normal 74 3" xfId="7061"/>
    <cellStyle name="Normal 74 3 2" xfId="9330"/>
    <cellStyle name="Normal 74 4" xfId="7062"/>
    <cellStyle name="Normal 74 4 2" xfId="9331"/>
    <cellStyle name="Normal 74 5" xfId="7063"/>
    <cellStyle name="Normal 74 5 2" xfId="9332"/>
    <cellStyle name="Normal 74 6" xfId="10924"/>
    <cellStyle name="Normal 75" xfId="7064"/>
    <cellStyle name="Normal 75 10" xfId="7065"/>
    <cellStyle name="Normal 75 10 2" xfId="7066"/>
    <cellStyle name="Normal 75 10 2 2" xfId="10374"/>
    <cellStyle name="Normal 75 10 3" xfId="9334"/>
    <cellStyle name="Normal 75 11" xfId="7067"/>
    <cellStyle name="Normal 75 11 2" xfId="7068"/>
    <cellStyle name="Normal 75 11 2 2" xfId="10375"/>
    <cellStyle name="Normal 75 11 3" xfId="9335"/>
    <cellStyle name="Normal 75 12" xfId="7069"/>
    <cellStyle name="Normal 75 12 2" xfId="7070"/>
    <cellStyle name="Normal 75 12 2 2" xfId="10376"/>
    <cellStyle name="Normal 75 12 3" xfId="9336"/>
    <cellStyle name="Normal 75 13" xfId="7071"/>
    <cellStyle name="Normal 75 13 2" xfId="7072"/>
    <cellStyle name="Normal 75 13 2 2" xfId="10377"/>
    <cellStyle name="Normal 75 13 3" xfId="9337"/>
    <cellStyle name="Normal 75 14" xfId="7073"/>
    <cellStyle name="Normal 75 14 2" xfId="7074"/>
    <cellStyle name="Normal 75 14 2 2" xfId="10378"/>
    <cellStyle name="Normal 75 14 3" xfId="9338"/>
    <cellStyle name="Normal 75 15" xfId="7075"/>
    <cellStyle name="Normal 75 15 2" xfId="7076"/>
    <cellStyle name="Normal 75 15 2 2" xfId="10379"/>
    <cellStyle name="Normal 75 15 3" xfId="9339"/>
    <cellStyle name="Normal 75 16" xfId="7077"/>
    <cellStyle name="Normal 75 16 2" xfId="7078"/>
    <cellStyle name="Normal 75 16 2 2" xfId="10380"/>
    <cellStyle name="Normal 75 16 3" xfId="9340"/>
    <cellStyle name="Normal 75 17" xfId="7079"/>
    <cellStyle name="Normal 75 17 2" xfId="7080"/>
    <cellStyle name="Normal 75 17 2 2" xfId="10381"/>
    <cellStyle name="Normal 75 17 3" xfId="9341"/>
    <cellStyle name="Normal 75 18" xfId="7081"/>
    <cellStyle name="Normal 75 18 2" xfId="7082"/>
    <cellStyle name="Normal 75 18 2 2" xfId="10382"/>
    <cellStyle name="Normal 75 18 3" xfId="9342"/>
    <cellStyle name="Normal 75 19" xfId="7083"/>
    <cellStyle name="Normal 75 19 2" xfId="7084"/>
    <cellStyle name="Normal 75 19 2 2" xfId="10383"/>
    <cellStyle name="Normal 75 19 3" xfId="9343"/>
    <cellStyle name="Normal 75 2" xfId="7085"/>
    <cellStyle name="Normal 75 2 2" xfId="7086"/>
    <cellStyle name="Normal 75 2 2 2" xfId="10384"/>
    <cellStyle name="Normal 75 2 3" xfId="9344"/>
    <cellStyle name="Normal 75 20" xfId="7087"/>
    <cellStyle name="Normal 75 20 2" xfId="7088"/>
    <cellStyle name="Normal 75 20 2 2" xfId="10385"/>
    <cellStyle name="Normal 75 20 3" xfId="9345"/>
    <cellStyle name="Normal 75 21" xfId="7089"/>
    <cellStyle name="Normal 75 21 2" xfId="7090"/>
    <cellStyle name="Normal 75 21 2 2" xfId="10386"/>
    <cellStyle name="Normal 75 21 3" xfId="9346"/>
    <cellStyle name="Normal 75 22" xfId="7091"/>
    <cellStyle name="Normal 75 22 2" xfId="7092"/>
    <cellStyle name="Normal 75 22 2 2" xfId="10387"/>
    <cellStyle name="Normal 75 22 3" xfId="9347"/>
    <cellStyle name="Normal 75 23" xfId="7093"/>
    <cellStyle name="Normal 75 23 2" xfId="7094"/>
    <cellStyle name="Normal 75 23 2 2" xfId="10388"/>
    <cellStyle name="Normal 75 23 3" xfId="9348"/>
    <cellStyle name="Normal 75 24" xfId="7095"/>
    <cellStyle name="Normal 75 24 2" xfId="7096"/>
    <cellStyle name="Normal 75 24 2 2" xfId="10389"/>
    <cellStyle name="Normal 75 24 3" xfId="9349"/>
    <cellStyle name="Normal 75 25" xfId="7097"/>
    <cellStyle name="Normal 75 25 2" xfId="7098"/>
    <cellStyle name="Normal 75 25 2 2" xfId="10390"/>
    <cellStyle name="Normal 75 25 3" xfId="9350"/>
    <cellStyle name="Normal 75 26" xfId="7099"/>
    <cellStyle name="Normal 75 26 2" xfId="7100"/>
    <cellStyle name="Normal 75 26 2 2" xfId="10391"/>
    <cellStyle name="Normal 75 26 3" xfId="9351"/>
    <cellStyle name="Normal 75 27" xfId="7101"/>
    <cellStyle name="Normal 75 27 2" xfId="7102"/>
    <cellStyle name="Normal 75 27 2 2" xfId="10392"/>
    <cellStyle name="Normal 75 27 3" xfId="9352"/>
    <cellStyle name="Normal 75 28" xfId="7103"/>
    <cellStyle name="Normal 75 28 2" xfId="7104"/>
    <cellStyle name="Normal 75 28 2 2" xfId="10393"/>
    <cellStyle name="Normal 75 28 3" xfId="9353"/>
    <cellStyle name="Normal 75 29" xfId="7105"/>
    <cellStyle name="Normal 75 29 2" xfId="7106"/>
    <cellStyle name="Normal 75 29 2 2" xfId="10394"/>
    <cellStyle name="Normal 75 29 3" xfId="9354"/>
    <cellStyle name="Normal 75 3" xfId="7107"/>
    <cellStyle name="Normal 75 3 2" xfId="7108"/>
    <cellStyle name="Normal 75 3 2 2" xfId="10395"/>
    <cellStyle name="Normal 75 3 3" xfId="9355"/>
    <cellStyle name="Normal 75 30" xfId="7109"/>
    <cellStyle name="Normal 75 30 2" xfId="7110"/>
    <cellStyle name="Normal 75 30 2 2" xfId="10396"/>
    <cellStyle name="Normal 75 30 3" xfId="9356"/>
    <cellStyle name="Normal 75 31" xfId="7111"/>
    <cellStyle name="Normal 75 31 2" xfId="7112"/>
    <cellStyle name="Normal 75 31 2 2" xfId="10397"/>
    <cellStyle name="Normal 75 31 3" xfId="9357"/>
    <cellStyle name="Normal 75 32" xfId="7113"/>
    <cellStyle name="Normal 75 32 2" xfId="7114"/>
    <cellStyle name="Normal 75 32 2 2" xfId="10398"/>
    <cellStyle name="Normal 75 32 3" xfId="9358"/>
    <cellStyle name="Normal 75 33" xfId="7115"/>
    <cellStyle name="Normal 75 33 2" xfId="7116"/>
    <cellStyle name="Normal 75 33 2 2" xfId="10399"/>
    <cellStyle name="Normal 75 33 3" xfId="9359"/>
    <cellStyle name="Normal 75 34" xfId="7117"/>
    <cellStyle name="Normal 75 34 2" xfId="7118"/>
    <cellStyle name="Normal 75 34 2 2" xfId="10400"/>
    <cellStyle name="Normal 75 34 3" xfId="9360"/>
    <cellStyle name="Normal 75 35" xfId="7119"/>
    <cellStyle name="Normal 75 35 2" xfId="7120"/>
    <cellStyle name="Normal 75 35 2 2" xfId="10401"/>
    <cellStyle name="Normal 75 35 3" xfId="9361"/>
    <cellStyle name="Normal 75 36" xfId="7121"/>
    <cellStyle name="Normal 75 36 2" xfId="7122"/>
    <cellStyle name="Normal 75 36 2 2" xfId="10402"/>
    <cellStyle name="Normal 75 36 3" xfId="9362"/>
    <cellStyle name="Normal 75 37" xfId="7123"/>
    <cellStyle name="Normal 75 37 2" xfId="7124"/>
    <cellStyle name="Normal 75 37 2 2" xfId="10403"/>
    <cellStyle name="Normal 75 37 3" xfId="9363"/>
    <cellStyle name="Normal 75 38" xfId="7125"/>
    <cellStyle name="Normal 75 38 2" xfId="7126"/>
    <cellStyle name="Normal 75 38 2 2" xfId="10404"/>
    <cellStyle name="Normal 75 38 3" xfId="9364"/>
    <cellStyle name="Normal 75 39" xfId="7127"/>
    <cellStyle name="Normal 75 39 2" xfId="10373"/>
    <cellStyle name="Normal 75 4" xfId="7128"/>
    <cellStyle name="Normal 75 4 2" xfId="7129"/>
    <cellStyle name="Normal 75 4 2 2" xfId="10405"/>
    <cellStyle name="Normal 75 4 3" xfId="9365"/>
    <cellStyle name="Normal 75 40" xfId="7130"/>
    <cellStyle name="Normal 75 40 2" xfId="10925"/>
    <cellStyle name="Normal 75 41" xfId="9333"/>
    <cellStyle name="Normal 75 5" xfId="7131"/>
    <cellStyle name="Normal 75 5 2" xfId="7132"/>
    <cellStyle name="Normal 75 5 2 2" xfId="10406"/>
    <cellStyle name="Normal 75 5 3" xfId="9366"/>
    <cellStyle name="Normal 75 6" xfId="7133"/>
    <cellStyle name="Normal 75 6 2" xfId="7134"/>
    <cellStyle name="Normal 75 6 2 2" xfId="10407"/>
    <cellStyle name="Normal 75 6 3" xfId="9367"/>
    <cellStyle name="Normal 75 7" xfId="7135"/>
    <cellStyle name="Normal 75 7 2" xfId="7136"/>
    <cellStyle name="Normal 75 7 2 2" xfId="10408"/>
    <cellStyle name="Normal 75 7 3" xfId="9368"/>
    <cellStyle name="Normal 75 8" xfId="7137"/>
    <cellStyle name="Normal 75 8 2" xfId="7138"/>
    <cellStyle name="Normal 75 8 2 2" xfId="10409"/>
    <cellStyle name="Normal 75 8 3" xfId="9369"/>
    <cellStyle name="Normal 75 9" xfId="7139"/>
    <cellStyle name="Normal 75 9 2" xfId="7140"/>
    <cellStyle name="Normal 75 9 2 2" xfId="10410"/>
    <cellStyle name="Normal 75 9 3" xfId="9370"/>
    <cellStyle name="Normal 76" xfId="7141"/>
    <cellStyle name="Normal 76 2" xfId="7142"/>
    <cellStyle name="Normal 76 2 2" xfId="7143"/>
    <cellStyle name="Normal 76 2 2 2" xfId="10411"/>
    <cellStyle name="Normal 76 2 3" xfId="9371"/>
    <cellStyle name="Normal 76 3" xfId="7144"/>
    <cellStyle name="Normal 76 3 2" xfId="7145"/>
    <cellStyle name="Normal 76 3 2 2" xfId="10412"/>
    <cellStyle name="Normal 76 3 3" xfId="9372"/>
    <cellStyle name="Normal 76 4" xfId="7146"/>
    <cellStyle name="Normal 76 4 2" xfId="7147"/>
    <cellStyle name="Normal 76 4 2 2" xfId="10413"/>
    <cellStyle name="Normal 76 4 3" xfId="9373"/>
    <cellStyle name="Normal 76 5" xfId="7148"/>
    <cellStyle name="Normal 76 5 2" xfId="7149"/>
    <cellStyle name="Normal 76 5 2 2" xfId="10414"/>
    <cellStyle name="Normal 76 5 3" xfId="9374"/>
    <cellStyle name="Normal 76 6" xfId="10926"/>
    <cellStyle name="Normal 77" xfId="7150"/>
    <cellStyle name="Normal 77 10" xfId="7151"/>
    <cellStyle name="Normal 77 10 2" xfId="7152"/>
    <cellStyle name="Normal 77 10 2 2" xfId="10415"/>
    <cellStyle name="Normal 77 10 3" xfId="9376"/>
    <cellStyle name="Normal 77 11" xfId="7153"/>
    <cellStyle name="Normal 77 11 2" xfId="7154"/>
    <cellStyle name="Normal 77 11 2 2" xfId="10416"/>
    <cellStyle name="Normal 77 11 3" xfId="9377"/>
    <cellStyle name="Normal 77 12" xfId="7155"/>
    <cellStyle name="Normal 77 12 2" xfId="7156"/>
    <cellStyle name="Normal 77 12 2 2" xfId="10417"/>
    <cellStyle name="Normal 77 12 3" xfId="9378"/>
    <cellStyle name="Normal 77 13" xfId="7157"/>
    <cellStyle name="Normal 77 13 2" xfId="7158"/>
    <cellStyle name="Normal 77 13 2 2" xfId="10418"/>
    <cellStyle name="Normal 77 13 3" xfId="9379"/>
    <cellStyle name="Normal 77 14" xfId="7159"/>
    <cellStyle name="Normal 77 14 2" xfId="7160"/>
    <cellStyle name="Normal 77 14 2 2" xfId="10419"/>
    <cellStyle name="Normal 77 14 3" xfId="9380"/>
    <cellStyle name="Normal 77 15" xfId="7161"/>
    <cellStyle name="Normal 77 15 2" xfId="7162"/>
    <cellStyle name="Normal 77 15 2 2" xfId="10420"/>
    <cellStyle name="Normal 77 15 3" xfId="9381"/>
    <cellStyle name="Normal 77 16" xfId="7163"/>
    <cellStyle name="Normal 77 16 2" xfId="7164"/>
    <cellStyle name="Normal 77 16 2 2" xfId="10421"/>
    <cellStyle name="Normal 77 16 3" xfId="9382"/>
    <cellStyle name="Normal 77 17" xfId="7165"/>
    <cellStyle name="Normal 77 17 2" xfId="7166"/>
    <cellStyle name="Normal 77 17 2 2" xfId="10422"/>
    <cellStyle name="Normal 77 17 3" xfId="9383"/>
    <cellStyle name="Normal 77 18" xfId="7167"/>
    <cellStyle name="Normal 77 18 2" xfId="7168"/>
    <cellStyle name="Normal 77 18 2 2" xfId="10423"/>
    <cellStyle name="Normal 77 18 3" xfId="9384"/>
    <cellStyle name="Normal 77 19" xfId="7169"/>
    <cellStyle name="Normal 77 19 2" xfId="7170"/>
    <cellStyle name="Normal 77 19 2 2" xfId="10424"/>
    <cellStyle name="Normal 77 19 3" xfId="9385"/>
    <cellStyle name="Normal 77 2" xfId="7171"/>
    <cellStyle name="Normal 77 2 2" xfId="7172"/>
    <cellStyle name="Normal 77 2 2 2" xfId="10425"/>
    <cellStyle name="Normal 77 2 3" xfId="9386"/>
    <cellStyle name="Normal 77 20" xfId="7173"/>
    <cellStyle name="Normal 77 20 2" xfId="7174"/>
    <cellStyle name="Normal 77 20 2 2" xfId="10426"/>
    <cellStyle name="Normal 77 20 3" xfId="9387"/>
    <cellStyle name="Normal 77 21" xfId="7175"/>
    <cellStyle name="Normal 77 21 2" xfId="7176"/>
    <cellStyle name="Normal 77 21 2 2" xfId="10427"/>
    <cellStyle name="Normal 77 21 3" xfId="9388"/>
    <cellStyle name="Normal 77 22" xfId="7177"/>
    <cellStyle name="Normal 77 22 2" xfId="7178"/>
    <cellStyle name="Normal 77 22 2 2" xfId="10428"/>
    <cellStyle name="Normal 77 22 3" xfId="9389"/>
    <cellStyle name="Normal 77 23" xfId="7179"/>
    <cellStyle name="Normal 77 23 2" xfId="7180"/>
    <cellStyle name="Normal 77 23 2 2" xfId="10429"/>
    <cellStyle name="Normal 77 23 3" xfId="9390"/>
    <cellStyle name="Normal 77 24" xfId="7181"/>
    <cellStyle name="Normal 77 24 2" xfId="7182"/>
    <cellStyle name="Normal 77 24 2 2" xfId="10430"/>
    <cellStyle name="Normal 77 24 3" xfId="9391"/>
    <cellStyle name="Normal 77 25" xfId="7183"/>
    <cellStyle name="Normal 77 25 2" xfId="7184"/>
    <cellStyle name="Normal 77 25 2 2" xfId="10431"/>
    <cellStyle name="Normal 77 25 3" xfId="9392"/>
    <cellStyle name="Normal 77 26" xfId="7185"/>
    <cellStyle name="Normal 77 26 2" xfId="7186"/>
    <cellStyle name="Normal 77 26 2 2" xfId="10432"/>
    <cellStyle name="Normal 77 26 3" xfId="9393"/>
    <cellStyle name="Normal 77 27" xfId="7187"/>
    <cellStyle name="Normal 77 27 2" xfId="7188"/>
    <cellStyle name="Normal 77 27 2 2" xfId="10433"/>
    <cellStyle name="Normal 77 27 3" xfId="9394"/>
    <cellStyle name="Normal 77 28" xfId="7189"/>
    <cellStyle name="Normal 77 28 2" xfId="7190"/>
    <cellStyle name="Normal 77 28 2 2" xfId="10434"/>
    <cellStyle name="Normal 77 28 3" xfId="9395"/>
    <cellStyle name="Normal 77 29" xfId="7191"/>
    <cellStyle name="Normal 77 29 2" xfId="7192"/>
    <cellStyle name="Normal 77 29 2 2" xfId="10435"/>
    <cellStyle name="Normal 77 29 3" xfId="9396"/>
    <cellStyle name="Normal 77 3" xfId="7193"/>
    <cellStyle name="Normal 77 3 2" xfId="7194"/>
    <cellStyle name="Normal 77 3 2 2" xfId="10436"/>
    <cellStyle name="Normal 77 3 3" xfId="9397"/>
    <cellStyle name="Normal 77 30" xfId="7195"/>
    <cellStyle name="Normal 77 30 2" xfId="7196"/>
    <cellStyle name="Normal 77 30 2 2" xfId="10437"/>
    <cellStyle name="Normal 77 30 3" xfId="9398"/>
    <cellStyle name="Normal 77 31" xfId="7197"/>
    <cellStyle name="Normal 77 31 2" xfId="7198"/>
    <cellStyle name="Normal 77 31 2 2" xfId="10438"/>
    <cellStyle name="Normal 77 31 3" xfId="9399"/>
    <cellStyle name="Normal 77 32" xfId="7199"/>
    <cellStyle name="Normal 77 32 2" xfId="7200"/>
    <cellStyle name="Normal 77 32 2 2" xfId="10439"/>
    <cellStyle name="Normal 77 32 3" xfId="9400"/>
    <cellStyle name="Normal 77 33" xfId="7201"/>
    <cellStyle name="Normal 77 33 2" xfId="7202"/>
    <cellStyle name="Normal 77 33 2 2" xfId="10440"/>
    <cellStyle name="Normal 77 33 3" xfId="9401"/>
    <cellStyle name="Normal 77 34" xfId="7203"/>
    <cellStyle name="Normal 77 34 2" xfId="7204"/>
    <cellStyle name="Normal 77 34 2 2" xfId="10441"/>
    <cellStyle name="Normal 77 34 3" xfId="9402"/>
    <cellStyle name="Normal 77 35" xfId="7205"/>
    <cellStyle name="Normal 77 35 2" xfId="7206"/>
    <cellStyle name="Normal 77 35 2 2" xfId="10442"/>
    <cellStyle name="Normal 77 35 3" xfId="9403"/>
    <cellStyle name="Normal 77 36" xfId="7207"/>
    <cellStyle name="Normal 77 36 2" xfId="7208"/>
    <cellStyle name="Normal 77 36 2 2" xfId="10443"/>
    <cellStyle name="Normal 77 36 3" xfId="9404"/>
    <cellStyle name="Normal 77 37" xfId="7209"/>
    <cellStyle name="Normal 77 37 2" xfId="7210"/>
    <cellStyle name="Normal 77 37 2 2" xfId="10444"/>
    <cellStyle name="Normal 77 37 3" xfId="9405"/>
    <cellStyle name="Normal 77 38" xfId="7211"/>
    <cellStyle name="Normal 77 38 2" xfId="7212"/>
    <cellStyle name="Normal 77 38 2 2" xfId="10445"/>
    <cellStyle name="Normal 77 38 3" xfId="9406"/>
    <cellStyle name="Normal 77 39" xfId="7213"/>
    <cellStyle name="Normal 77 39 2" xfId="7214"/>
    <cellStyle name="Normal 77 39 2 2" xfId="10446"/>
    <cellStyle name="Normal 77 39 3" xfId="9407"/>
    <cellStyle name="Normal 77 4" xfId="7215"/>
    <cellStyle name="Normal 77 4 2" xfId="7216"/>
    <cellStyle name="Normal 77 4 2 2" xfId="10447"/>
    <cellStyle name="Normal 77 4 3" xfId="9408"/>
    <cellStyle name="Normal 77 40" xfId="7217"/>
    <cellStyle name="Normal 77 40 2" xfId="7218"/>
    <cellStyle name="Normal 77 40 2 2" xfId="10448"/>
    <cellStyle name="Normal 77 40 3" xfId="9409"/>
    <cellStyle name="Normal 77 41" xfId="7219"/>
    <cellStyle name="Normal 77 41 2" xfId="7220"/>
    <cellStyle name="Normal 77 41 2 2" xfId="10449"/>
    <cellStyle name="Normal 77 41 3" xfId="9410"/>
    <cellStyle name="Normal 77 42" xfId="7221"/>
    <cellStyle name="Normal 77 42 2" xfId="7222"/>
    <cellStyle name="Normal 77 42 2 2" xfId="10450"/>
    <cellStyle name="Normal 77 42 3" xfId="9411"/>
    <cellStyle name="Normal 77 43" xfId="7223"/>
    <cellStyle name="Normal 77 43 2" xfId="9781"/>
    <cellStyle name="Normal 77 44" xfId="7224"/>
    <cellStyle name="Normal 77 44 2" xfId="10927"/>
    <cellStyle name="Normal 77 45" xfId="9375"/>
    <cellStyle name="Normal 77 5" xfId="7225"/>
    <cellStyle name="Normal 77 5 2" xfId="7226"/>
    <cellStyle name="Normal 77 5 2 2" xfId="10451"/>
    <cellStyle name="Normal 77 5 3" xfId="9412"/>
    <cellStyle name="Normal 77 6" xfId="7227"/>
    <cellStyle name="Normal 77 6 2" xfId="7228"/>
    <cellStyle name="Normal 77 6 2 2" xfId="10452"/>
    <cellStyle name="Normal 77 6 3" xfId="9413"/>
    <cellStyle name="Normal 77 7" xfId="7229"/>
    <cellStyle name="Normal 77 7 2" xfId="7230"/>
    <cellStyle name="Normal 77 7 2 2" xfId="10453"/>
    <cellStyle name="Normal 77 7 3" xfId="9414"/>
    <cellStyle name="Normal 77 8" xfId="7231"/>
    <cellStyle name="Normal 77 8 2" xfId="7232"/>
    <cellStyle name="Normal 77 8 2 2" xfId="10454"/>
    <cellStyle name="Normal 77 8 3" xfId="9415"/>
    <cellStyle name="Normal 77 9" xfId="7233"/>
    <cellStyle name="Normal 77 9 2" xfId="7234"/>
    <cellStyle name="Normal 77 9 2 2" xfId="10455"/>
    <cellStyle name="Normal 77 9 3" xfId="9416"/>
    <cellStyle name="Normal 78" xfId="7235"/>
    <cellStyle name="Normal 78 2" xfId="7236"/>
    <cellStyle name="Normal 78 2 2" xfId="7237"/>
    <cellStyle name="Normal 78 2 2 2" xfId="10456"/>
    <cellStyle name="Normal 78 2 3" xfId="9417"/>
    <cellStyle name="Normal 78 3" xfId="7238"/>
    <cellStyle name="Normal 78 3 2" xfId="7239"/>
    <cellStyle name="Normal 78 3 2 2" xfId="10457"/>
    <cellStyle name="Normal 78 3 3" xfId="9418"/>
    <cellStyle name="Normal 78 4" xfId="7240"/>
    <cellStyle name="Normal 78 4 2" xfId="7241"/>
    <cellStyle name="Normal 78 4 2 2" xfId="10458"/>
    <cellStyle name="Normal 78 4 3" xfId="9419"/>
    <cellStyle name="Normal 78 5" xfId="7242"/>
    <cellStyle name="Normal 78 5 2" xfId="7243"/>
    <cellStyle name="Normal 78 5 2 2" xfId="10459"/>
    <cellStyle name="Normal 78 5 3" xfId="9420"/>
    <cellStyle name="Normal 78 6" xfId="10928"/>
    <cellStyle name="Normal 79" xfId="7244"/>
    <cellStyle name="Normal 79 10" xfId="7245"/>
    <cellStyle name="Normal 79 10 2" xfId="7246"/>
    <cellStyle name="Normal 79 10 2 2" xfId="10461"/>
    <cellStyle name="Normal 79 10 3" xfId="9422"/>
    <cellStyle name="Normal 79 11" xfId="7247"/>
    <cellStyle name="Normal 79 11 2" xfId="7248"/>
    <cellStyle name="Normal 79 11 2 2" xfId="10462"/>
    <cellStyle name="Normal 79 11 3" xfId="9423"/>
    <cellStyle name="Normal 79 12" xfId="7249"/>
    <cellStyle name="Normal 79 12 2" xfId="7250"/>
    <cellStyle name="Normal 79 12 2 2" xfId="10463"/>
    <cellStyle name="Normal 79 12 3" xfId="9424"/>
    <cellStyle name="Normal 79 13" xfId="7251"/>
    <cellStyle name="Normal 79 13 2" xfId="7252"/>
    <cellStyle name="Normal 79 13 2 2" xfId="10464"/>
    <cellStyle name="Normal 79 13 3" xfId="9425"/>
    <cellStyle name="Normal 79 14" xfId="7253"/>
    <cellStyle name="Normal 79 14 2" xfId="7254"/>
    <cellStyle name="Normal 79 14 2 2" xfId="10465"/>
    <cellStyle name="Normal 79 14 3" xfId="9426"/>
    <cellStyle name="Normal 79 15" xfId="7255"/>
    <cellStyle name="Normal 79 15 2" xfId="7256"/>
    <cellStyle name="Normal 79 15 2 2" xfId="10466"/>
    <cellStyle name="Normal 79 15 3" xfId="9427"/>
    <cellStyle name="Normal 79 16" xfId="7257"/>
    <cellStyle name="Normal 79 16 2" xfId="7258"/>
    <cellStyle name="Normal 79 16 2 2" xfId="10467"/>
    <cellStyle name="Normal 79 16 3" xfId="9428"/>
    <cellStyle name="Normal 79 17" xfId="7259"/>
    <cellStyle name="Normal 79 17 2" xfId="7260"/>
    <cellStyle name="Normal 79 17 2 2" xfId="10468"/>
    <cellStyle name="Normal 79 17 3" xfId="9429"/>
    <cellStyle name="Normal 79 18" xfId="7261"/>
    <cellStyle name="Normal 79 18 2" xfId="7262"/>
    <cellStyle name="Normal 79 18 2 2" xfId="10469"/>
    <cellStyle name="Normal 79 18 3" xfId="9430"/>
    <cellStyle name="Normal 79 19" xfId="7263"/>
    <cellStyle name="Normal 79 19 2" xfId="7264"/>
    <cellStyle name="Normal 79 19 2 2" xfId="10470"/>
    <cellStyle name="Normal 79 19 3" xfId="9431"/>
    <cellStyle name="Normal 79 2" xfId="7265"/>
    <cellStyle name="Normal 79 2 2" xfId="7266"/>
    <cellStyle name="Normal 79 2 2 2" xfId="10471"/>
    <cellStyle name="Normal 79 2 3" xfId="9432"/>
    <cellStyle name="Normal 79 20" xfId="7267"/>
    <cellStyle name="Normal 79 20 2" xfId="7268"/>
    <cellStyle name="Normal 79 20 2 2" xfId="10472"/>
    <cellStyle name="Normal 79 20 3" xfId="9433"/>
    <cellStyle name="Normal 79 21" xfId="7269"/>
    <cellStyle name="Normal 79 21 2" xfId="7270"/>
    <cellStyle name="Normal 79 21 2 2" xfId="10473"/>
    <cellStyle name="Normal 79 21 3" xfId="9434"/>
    <cellStyle name="Normal 79 22" xfId="7271"/>
    <cellStyle name="Normal 79 22 2" xfId="7272"/>
    <cellStyle name="Normal 79 22 2 2" xfId="10474"/>
    <cellStyle name="Normal 79 22 3" xfId="9435"/>
    <cellStyle name="Normal 79 23" xfId="7273"/>
    <cellStyle name="Normal 79 23 2" xfId="7274"/>
    <cellStyle name="Normal 79 23 2 2" xfId="10475"/>
    <cellStyle name="Normal 79 23 3" xfId="9436"/>
    <cellStyle name="Normal 79 24" xfId="7275"/>
    <cellStyle name="Normal 79 24 2" xfId="7276"/>
    <cellStyle name="Normal 79 24 2 2" xfId="10476"/>
    <cellStyle name="Normal 79 24 3" xfId="9437"/>
    <cellStyle name="Normal 79 25" xfId="7277"/>
    <cellStyle name="Normal 79 25 2" xfId="7278"/>
    <cellStyle name="Normal 79 25 2 2" xfId="10477"/>
    <cellStyle name="Normal 79 25 3" xfId="9438"/>
    <cellStyle name="Normal 79 26" xfId="7279"/>
    <cellStyle name="Normal 79 26 2" xfId="7280"/>
    <cellStyle name="Normal 79 26 2 2" xfId="10478"/>
    <cellStyle name="Normal 79 26 3" xfId="9439"/>
    <cellStyle name="Normal 79 27" xfId="7281"/>
    <cellStyle name="Normal 79 27 2" xfId="7282"/>
    <cellStyle name="Normal 79 27 2 2" xfId="10479"/>
    <cellStyle name="Normal 79 27 3" xfId="9440"/>
    <cellStyle name="Normal 79 28" xfId="7283"/>
    <cellStyle name="Normal 79 28 2" xfId="7284"/>
    <cellStyle name="Normal 79 28 2 2" xfId="10480"/>
    <cellStyle name="Normal 79 28 3" xfId="9441"/>
    <cellStyle name="Normal 79 29" xfId="7285"/>
    <cellStyle name="Normal 79 29 2" xfId="7286"/>
    <cellStyle name="Normal 79 29 2 2" xfId="10481"/>
    <cellStyle name="Normal 79 29 3" xfId="9442"/>
    <cellStyle name="Normal 79 3" xfId="7287"/>
    <cellStyle name="Normal 79 3 2" xfId="7288"/>
    <cellStyle name="Normal 79 3 2 2" xfId="10482"/>
    <cellStyle name="Normal 79 3 3" xfId="9443"/>
    <cellStyle name="Normal 79 30" xfId="7289"/>
    <cellStyle name="Normal 79 30 2" xfId="7290"/>
    <cellStyle name="Normal 79 30 2 2" xfId="10483"/>
    <cellStyle name="Normal 79 30 3" xfId="9444"/>
    <cellStyle name="Normal 79 31" xfId="7291"/>
    <cellStyle name="Normal 79 31 2" xfId="7292"/>
    <cellStyle name="Normal 79 31 2 2" xfId="10484"/>
    <cellStyle name="Normal 79 31 3" xfId="9445"/>
    <cellStyle name="Normal 79 32" xfId="7293"/>
    <cellStyle name="Normal 79 32 2" xfId="7294"/>
    <cellStyle name="Normal 79 32 2 2" xfId="10485"/>
    <cellStyle name="Normal 79 32 3" xfId="9446"/>
    <cellStyle name="Normal 79 33" xfId="7295"/>
    <cellStyle name="Normal 79 33 2" xfId="7296"/>
    <cellStyle name="Normal 79 33 2 2" xfId="10486"/>
    <cellStyle name="Normal 79 33 3" xfId="9447"/>
    <cellStyle name="Normal 79 34" xfId="7297"/>
    <cellStyle name="Normal 79 34 2" xfId="7298"/>
    <cellStyle name="Normal 79 34 2 2" xfId="10487"/>
    <cellStyle name="Normal 79 34 3" xfId="9448"/>
    <cellStyle name="Normal 79 35" xfId="7299"/>
    <cellStyle name="Normal 79 35 2" xfId="7300"/>
    <cellStyle name="Normal 79 35 2 2" xfId="10488"/>
    <cellStyle name="Normal 79 35 3" xfId="9449"/>
    <cellStyle name="Normal 79 36" xfId="7301"/>
    <cellStyle name="Normal 79 36 2" xfId="7302"/>
    <cellStyle name="Normal 79 36 2 2" xfId="10489"/>
    <cellStyle name="Normal 79 36 3" xfId="9450"/>
    <cellStyle name="Normal 79 37" xfId="7303"/>
    <cellStyle name="Normal 79 37 2" xfId="7304"/>
    <cellStyle name="Normal 79 37 2 2" xfId="10490"/>
    <cellStyle name="Normal 79 37 3" xfId="9451"/>
    <cellStyle name="Normal 79 38" xfId="7305"/>
    <cellStyle name="Normal 79 38 2" xfId="7306"/>
    <cellStyle name="Normal 79 38 2 2" xfId="10491"/>
    <cellStyle name="Normal 79 38 3" xfId="9452"/>
    <cellStyle name="Normal 79 39" xfId="7307"/>
    <cellStyle name="Normal 79 39 2" xfId="10460"/>
    <cellStyle name="Normal 79 4" xfId="7308"/>
    <cellStyle name="Normal 79 4 2" xfId="7309"/>
    <cellStyle name="Normal 79 4 2 2" xfId="10492"/>
    <cellStyle name="Normal 79 4 3" xfId="9453"/>
    <cellStyle name="Normal 79 40" xfId="7310"/>
    <cellStyle name="Normal 79 40 2" xfId="10929"/>
    <cellStyle name="Normal 79 41" xfId="9421"/>
    <cellStyle name="Normal 79 5" xfId="7311"/>
    <cellStyle name="Normal 79 5 2" xfId="7312"/>
    <cellStyle name="Normal 79 5 2 2" xfId="10493"/>
    <cellStyle name="Normal 79 5 3" xfId="9454"/>
    <cellStyle name="Normal 79 6" xfId="7313"/>
    <cellStyle name="Normal 79 6 2" xfId="7314"/>
    <cellStyle name="Normal 79 6 2 2" xfId="10494"/>
    <cellStyle name="Normal 79 6 3" xfId="9455"/>
    <cellStyle name="Normal 79 7" xfId="7315"/>
    <cellStyle name="Normal 79 7 2" xfId="7316"/>
    <cellStyle name="Normal 79 7 2 2" xfId="10495"/>
    <cellStyle name="Normal 79 7 3" xfId="9456"/>
    <cellStyle name="Normal 79 8" xfId="7317"/>
    <cellStyle name="Normal 79 8 2" xfId="7318"/>
    <cellStyle name="Normal 79 8 2 2" xfId="10496"/>
    <cellStyle name="Normal 79 8 3" xfId="9457"/>
    <cellStyle name="Normal 79 9" xfId="7319"/>
    <cellStyle name="Normal 79 9 2" xfId="7320"/>
    <cellStyle name="Normal 79 9 2 2" xfId="10497"/>
    <cellStyle name="Normal 79 9 3" xfId="9458"/>
    <cellStyle name="Normal 8" xfId="236"/>
    <cellStyle name="Normal 8 10" xfId="7322"/>
    <cellStyle name="Normal 8 10 2" xfId="7323"/>
    <cellStyle name="Normal 8 10 2 2" xfId="10498"/>
    <cellStyle name="Normal 8 10 3" xfId="9459"/>
    <cellStyle name="Normal 8 11" xfId="7324"/>
    <cellStyle name="Normal 8 11 2" xfId="7325"/>
    <cellStyle name="Normal 8 11 2 2" xfId="10499"/>
    <cellStyle name="Normal 8 11 3" xfId="9460"/>
    <cellStyle name="Normal 8 12" xfId="7326"/>
    <cellStyle name="Normal 8 12 2" xfId="7327"/>
    <cellStyle name="Normal 8 12 2 2" xfId="10500"/>
    <cellStyle name="Normal 8 12 3" xfId="9461"/>
    <cellStyle name="Normal 8 13" xfId="7328"/>
    <cellStyle name="Normal 8 13 2" xfId="7329"/>
    <cellStyle name="Normal 8 13 2 2" xfId="10501"/>
    <cellStyle name="Normal 8 13 3" xfId="9462"/>
    <cellStyle name="Normal 8 14" xfId="7330"/>
    <cellStyle name="Normal 8 14 2" xfId="7331"/>
    <cellStyle name="Normal 8 14 2 2" xfId="10502"/>
    <cellStyle name="Normal 8 14 3" xfId="9463"/>
    <cellStyle name="Normal 8 15" xfId="7332"/>
    <cellStyle name="Normal 8 15 2" xfId="7333"/>
    <cellStyle name="Normal 8 15 2 2" xfId="10503"/>
    <cellStyle name="Normal 8 15 3" xfId="9464"/>
    <cellStyle name="Normal 8 16" xfId="7334"/>
    <cellStyle name="Normal 8 16 2" xfId="7335"/>
    <cellStyle name="Normal 8 16 2 2" xfId="10504"/>
    <cellStyle name="Normal 8 16 3" xfId="9465"/>
    <cellStyle name="Normal 8 17" xfId="7336"/>
    <cellStyle name="Normal 8 17 2" xfId="7337"/>
    <cellStyle name="Normal 8 17 2 2" xfId="10505"/>
    <cellStyle name="Normal 8 17 3" xfId="9466"/>
    <cellStyle name="Normal 8 18" xfId="7338"/>
    <cellStyle name="Normal 8 18 2" xfId="7339"/>
    <cellStyle name="Normal 8 18 2 2" xfId="10506"/>
    <cellStyle name="Normal 8 18 3" xfId="9467"/>
    <cellStyle name="Normal 8 19" xfId="7340"/>
    <cellStyle name="Normal 8 19 2" xfId="7341"/>
    <cellStyle name="Normal 8 19 2 2" xfId="10507"/>
    <cellStyle name="Normal 8 19 3" xfId="9468"/>
    <cellStyle name="Normal 8 2" xfId="237"/>
    <cellStyle name="Normal 8 2 2" xfId="7343"/>
    <cellStyle name="Normal 8 2 2 2" xfId="10508"/>
    <cellStyle name="Normal 8 2 3" xfId="7344"/>
    <cellStyle name="Normal 8 2 3 2" xfId="10817"/>
    <cellStyle name="Normal 8 2 4" xfId="7345"/>
    <cellStyle name="Normal 8 2 5" xfId="7342"/>
    <cellStyle name="Normal 8 2 6" xfId="9469"/>
    <cellStyle name="Normal 8 20" xfId="7346"/>
    <cellStyle name="Normal 8 20 2" xfId="7347"/>
    <cellStyle name="Normal 8 20 2 2" xfId="10509"/>
    <cellStyle name="Normal 8 20 3" xfId="9470"/>
    <cellStyle name="Normal 8 21" xfId="7348"/>
    <cellStyle name="Normal 8 21 2" xfId="7349"/>
    <cellStyle name="Normal 8 21 2 2" xfId="10510"/>
    <cellStyle name="Normal 8 21 3" xfId="9471"/>
    <cellStyle name="Normal 8 22" xfId="7350"/>
    <cellStyle name="Normal 8 22 2" xfId="7351"/>
    <cellStyle name="Normal 8 22 2 2" xfId="10511"/>
    <cellStyle name="Normal 8 22 3" xfId="9472"/>
    <cellStyle name="Normal 8 23" xfId="7352"/>
    <cellStyle name="Normal 8 23 2" xfId="7353"/>
    <cellStyle name="Normal 8 23 2 2" xfId="10512"/>
    <cellStyle name="Normal 8 23 3" xfId="9473"/>
    <cellStyle name="Normal 8 24" xfId="7354"/>
    <cellStyle name="Normal 8 24 2" xfId="7355"/>
    <cellStyle name="Normal 8 24 2 2" xfId="10513"/>
    <cellStyle name="Normal 8 24 3" xfId="9474"/>
    <cellStyle name="Normal 8 25" xfId="7356"/>
    <cellStyle name="Normal 8 25 2" xfId="7357"/>
    <cellStyle name="Normal 8 25 2 2" xfId="10514"/>
    <cellStyle name="Normal 8 25 3" xfId="9475"/>
    <cellStyle name="Normal 8 26" xfId="7358"/>
    <cellStyle name="Normal 8 26 2" xfId="7359"/>
    <cellStyle name="Normal 8 26 2 2" xfId="10515"/>
    <cellStyle name="Normal 8 26 3" xfId="9476"/>
    <cellStyle name="Normal 8 27" xfId="7360"/>
    <cellStyle name="Normal 8 27 2" xfId="7361"/>
    <cellStyle name="Normal 8 27 2 2" xfId="10516"/>
    <cellStyle name="Normal 8 27 3" xfId="9477"/>
    <cellStyle name="Normal 8 28" xfId="7362"/>
    <cellStyle name="Normal 8 28 2" xfId="7363"/>
    <cellStyle name="Normal 8 28 2 2" xfId="10517"/>
    <cellStyle name="Normal 8 28 3" xfId="9478"/>
    <cellStyle name="Normal 8 29" xfId="7364"/>
    <cellStyle name="Normal 8 29 2" xfId="7365"/>
    <cellStyle name="Normal 8 29 2 2" xfId="10518"/>
    <cellStyle name="Normal 8 29 3" xfId="9479"/>
    <cellStyle name="Normal 8 3" xfId="238"/>
    <cellStyle name="Normal 8 3 2" xfId="7367"/>
    <cellStyle name="Normal 8 3 2 2" xfId="10519"/>
    <cellStyle name="Normal 8 3 3" xfId="7368"/>
    <cellStyle name="Normal 8 3 4" xfId="7369"/>
    <cellStyle name="Normal 8 3 5" xfId="7366"/>
    <cellStyle name="Normal 8 3 6" xfId="9480"/>
    <cellStyle name="Normal 8 30" xfId="7370"/>
    <cellStyle name="Normal 8 30 2" xfId="7371"/>
    <cellStyle name="Normal 8 30 2 2" xfId="10520"/>
    <cellStyle name="Normal 8 30 3" xfId="9481"/>
    <cellStyle name="Normal 8 31" xfId="7372"/>
    <cellStyle name="Normal 8 31 2" xfId="7373"/>
    <cellStyle name="Normal 8 31 2 2" xfId="10521"/>
    <cellStyle name="Normal 8 31 3" xfId="9482"/>
    <cellStyle name="Normal 8 32" xfId="7374"/>
    <cellStyle name="Normal 8 32 2" xfId="7375"/>
    <cellStyle name="Normal 8 32 2 2" xfId="10522"/>
    <cellStyle name="Normal 8 32 3" xfId="9483"/>
    <cellStyle name="Normal 8 33" xfId="7376"/>
    <cellStyle name="Normal 8 33 2" xfId="7377"/>
    <cellStyle name="Normal 8 33 2 2" xfId="10523"/>
    <cellStyle name="Normal 8 33 3" xfId="9484"/>
    <cellStyle name="Normal 8 34" xfId="7378"/>
    <cellStyle name="Normal 8 34 2" xfId="7379"/>
    <cellStyle name="Normal 8 34 2 2" xfId="10524"/>
    <cellStyle name="Normal 8 34 3" xfId="9485"/>
    <cellStyle name="Normal 8 35" xfId="7380"/>
    <cellStyle name="Normal 8 35 2" xfId="7381"/>
    <cellStyle name="Normal 8 35 2 2" xfId="10525"/>
    <cellStyle name="Normal 8 35 3" xfId="9486"/>
    <cellStyle name="Normal 8 36" xfId="7382"/>
    <cellStyle name="Normal 8 36 2" xfId="7383"/>
    <cellStyle name="Normal 8 36 2 2" xfId="10526"/>
    <cellStyle name="Normal 8 36 3" xfId="9487"/>
    <cellStyle name="Normal 8 37" xfId="7384"/>
    <cellStyle name="Normal 8 37 2" xfId="7385"/>
    <cellStyle name="Normal 8 37 2 2" xfId="10527"/>
    <cellStyle name="Normal 8 37 3" xfId="9488"/>
    <cellStyle name="Normal 8 38" xfId="7386"/>
    <cellStyle name="Normal 8 38 2" xfId="7387"/>
    <cellStyle name="Normal 8 38 2 2" xfId="10528"/>
    <cellStyle name="Normal 8 38 3" xfId="9489"/>
    <cellStyle name="Normal 8 39" xfId="7388"/>
    <cellStyle name="Normal 8 4" xfId="239"/>
    <cellStyle name="Normal 8 4 2" xfId="7390"/>
    <cellStyle name="Normal 8 4 2 2" xfId="10529"/>
    <cellStyle name="Normal 8 4 3" xfId="7391"/>
    <cellStyle name="Normal 8 4 4" xfId="7392"/>
    <cellStyle name="Normal 8 4 5" xfId="7389"/>
    <cellStyle name="Normal 8 4 6" xfId="9490"/>
    <cellStyle name="Normal 8 40" xfId="7393"/>
    <cellStyle name="Normal 8 41" xfId="7321"/>
    <cellStyle name="Normal 8 42" xfId="10794"/>
    <cellStyle name="Normal 8 5" xfId="240"/>
    <cellStyle name="Normal 8 5 2" xfId="7395"/>
    <cellStyle name="Normal 8 5 2 2" xfId="10530"/>
    <cellStyle name="Normal 8 5 3" xfId="7396"/>
    <cellStyle name="Normal 8 5 4" xfId="7397"/>
    <cellStyle name="Normal 8 5 5" xfId="7394"/>
    <cellStyle name="Normal 8 5 6" xfId="9491"/>
    <cellStyle name="Normal 8 6" xfId="241"/>
    <cellStyle name="Normal 8 6 2" xfId="7399"/>
    <cellStyle name="Normal 8 6 2 2" xfId="10531"/>
    <cellStyle name="Normal 8 6 3" xfId="7400"/>
    <cellStyle name="Normal 8 6 4" xfId="7398"/>
    <cellStyle name="Normal 8 6 5" xfId="9492"/>
    <cellStyle name="Normal 8 7" xfId="242"/>
    <cellStyle name="Normal 8 7 2" xfId="7402"/>
    <cellStyle name="Normal 8 7 2 2" xfId="10532"/>
    <cellStyle name="Normal 8 7 3" xfId="7403"/>
    <cellStyle name="Normal 8 7 4" xfId="7401"/>
    <cellStyle name="Normal 8 7 5" xfId="9493"/>
    <cellStyle name="Normal 8 8" xfId="243"/>
    <cellStyle name="Normal 8 8 2" xfId="7405"/>
    <cellStyle name="Normal 8 8 2 2" xfId="10533"/>
    <cellStyle name="Normal 8 8 3" xfId="7406"/>
    <cellStyle name="Normal 8 8 4" xfId="7404"/>
    <cellStyle name="Normal 8 8 5" xfId="9494"/>
    <cellStyle name="Normal 8 9" xfId="244"/>
    <cellStyle name="Normal 8 9 2" xfId="7408"/>
    <cellStyle name="Normal 8 9 2 2" xfId="10534"/>
    <cellStyle name="Normal 8 9 3" xfId="7409"/>
    <cellStyle name="Normal 8 9 4" xfId="7407"/>
    <cellStyle name="Normal 8 9 5" xfId="9495"/>
    <cellStyle name="Normal 80" xfId="7410"/>
    <cellStyle name="Normal 80 2" xfId="7411"/>
    <cellStyle name="Normal 80 2 2" xfId="7412"/>
    <cellStyle name="Normal 80 2 2 2" xfId="10535"/>
    <cellStyle name="Normal 80 2 3" xfId="9496"/>
    <cellStyle name="Normal 80 3" xfId="7413"/>
    <cellStyle name="Normal 80 3 2" xfId="7414"/>
    <cellStyle name="Normal 80 3 2 2" xfId="10536"/>
    <cellStyle name="Normal 80 3 3" xfId="9497"/>
    <cellStyle name="Normal 80 4" xfId="7415"/>
    <cellStyle name="Normal 80 4 2" xfId="7416"/>
    <cellStyle name="Normal 80 4 2 2" xfId="10537"/>
    <cellStyle name="Normal 80 4 3" xfId="9498"/>
    <cellStyle name="Normal 80 5" xfId="7417"/>
    <cellStyle name="Normal 80 5 2" xfId="7418"/>
    <cellStyle name="Normal 80 5 2 2" xfId="10538"/>
    <cellStyle name="Normal 80 5 3" xfId="9499"/>
    <cellStyle name="Normal 80 6" xfId="10930"/>
    <cellStyle name="Normal 81" xfId="7419"/>
    <cellStyle name="Normal 81 2" xfId="7420"/>
    <cellStyle name="Normal 81 2 2" xfId="7421"/>
    <cellStyle name="Normal 81 2 2 2" xfId="10539"/>
    <cellStyle name="Normal 81 2 3" xfId="9500"/>
    <cellStyle name="Normal 81 3" xfId="7422"/>
    <cellStyle name="Normal 81 3 2" xfId="7423"/>
    <cellStyle name="Normal 81 3 2 2" xfId="10540"/>
    <cellStyle name="Normal 81 3 3" xfId="9501"/>
    <cellStyle name="Normal 81 4" xfId="7424"/>
    <cellStyle name="Normal 81 4 2" xfId="7425"/>
    <cellStyle name="Normal 81 4 2 2" xfId="10541"/>
    <cellStyle name="Normal 81 4 3" xfId="9502"/>
    <cellStyle name="Normal 81 5" xfId="7426"/>
    <cellStyle name="Normal 81 5 2" xfId="7427"/>
    <cellStyle name="Normal 81 5 2 2" xfId="10542"/>
    <cellStyle name="Normal 81 5 3" xfId="9503"/>
    <cellStyle name="Normal 81 6" xfId="10931"/>
    <cellStyle name="Normal 82" xfId="7428"/>
    <cellStyle name="Normal 82 2" xfId="7429"/>
    <cellStyle name="Normal 82 2 2" xfId="7430"/>
    <cellStyle name="Normal 82 2 2 2" xfId="10543"/>
    <cellStyle name="Normal 82 2 3" xfId="9504"/>
    <cellStyle name="Normal 82 3" xfId="7431"/>
    <cellStyle name="Normal 82 3 2" xfId="7432"/>
    <cellStyle name="Normal 82 3 2 2" xfId="10544"/>
    <cellStyle name="Normal 82 3 3" xfId="9505"/>
    <cellStyle name="Normal 82 4" xfId="7433"/>
    <cellStyle name="Normal 82 4 2" xfId="7434"/>
    <cellStyle name="Normal 82 4 2 2" xfId="10545"/>
    <cellStyle name="Normal 82 4 3" xfId="9506"/>
    <cellStyle name="Normal 82 5" xfId="7435"/>
    <cellStyle name="Normal 82 5 2" xfId="7436"/>
    <cellStyle name="Normal 82 5 2 2" xfId="10546"/>
    <cellStyle name="Normal 82 5 3" xfId="9507"/>
    <cellStyle name="Normal 82 6" xfId="10932"/>
    <cellStyle name="Normal 83" xfId="7437"/>
    <cellStyle name="Normal 83 10" xfId="7438"/>
    <cellStyle name="Normal 83 10 2" xfId="7439"/>
    <cellStyle name="Normal 83 10 2 2" xfId="10548"/>
    <cellStyle name="Normal 83 10 3" xfId="9509"/>
    <cellStyle name="Normal 83 11" xfId="7440"/>
    <cellStyle name="Normal 83 11 2" xfId="7441"/>
    <cellStyle name="Normal 83 11 2 2" xfId="10549"/>
    <cellStyle name="Normal 83 11 3" xfId="9510"/>
    <cellStyle name="Normal 83 12" xfId="7442"/>
    <cellStyle name="Normal 83 12 2" xfId="7443"/>
    <cellStyle name="Normal 83 12 2 2" xfId="10550"/>
    <cellStyle name="Normal 83 12 3" xfId="9511"/>
    <cellStyle name="Normal 83 13" xfId="7444"/>
    <cellStyle name="Normal 83 13 2" xfId="7445"/>
    <cellStyle name="Normal 83 13 2 2" xfId="10551"/>
    <cellStyle name="Normal 83 13 3" xfId="9512"/>
    <cellStyle name="Normal 83 14" xfId="7446"/>
    <cellStyle name="Normal 83 14 2" xfId="7447"/>
    <cellStyle name="Normal 83 14 2 2" xfId="10552"/>
    <cellStyle name="Normal 83 14 3" xfId="9513"/>
    <cellStyle name="Normal 83 15" xfId="7448"/>
    <cellStyle name="Normal 83 15 2" xfId="7449"/>
    <cellStyle name="Normal 83 15 2 2" xfId="10553"/>
    <cellStyle name="Normal 83 15 3" xfId="9514"/>
    <cellStyle name="Normal 83 16" xfId="7450"/>
    <cellStyle name="Normal 83 16 2" xfId="7451"/>
    <cellStyle name="Normal 83 16 2 2" xfId="10554"/>
    <cellStyle name="Normal 83 16 3" xfId="9515"/>
    <cellStyle name="Normal 83 17" xfId="7452"/>
    <cellStyle name="Normal 83 17 2" xfId="7453"/>
    <cellStyle name="Normal 83 17 2 2" xfId="10555"/>
    <cellStyle name="Normal 83 17 3" xfId="9516"/>
    <cellStyle name="Normal 83 18" xfId="7454"/>
    <cellStyle name="Normal 83 18 2" xfId="7455"/>
    <cellStyle name="Normal 83 18 2 2" xfId="10556"/>
    <cellStyle name="Normal 83 18 3" xfId="9517"/>
    <cellStyle name="Normal 83 19" xfId="7456"/>
    <cellStyle name="Normal 83 19 2" xfId="7457"/>
    <cellStyle name="Normal 83 19 2 2" xfId="10557"/>
    <cellStyle name="Normal 83 19 3" xfId="9518"/>
    <cellStyle name="Normal 83 2" xfId="7458"/>
    <cellStyle name="Normal 83 2 2" xfId="7459"/>
    <cellStyle name="Normal 83 2 2 2" xfId="10558"/>
    <cellStyle name="Normal 83 2 3" xfId="9519"/>
    <cellStyle name="Normal 83 20" xfId="7460"/>
    <cellStyle name="Normal 83 20 2" xfId="7461"/>
    <cellStyle name="Normal 83 20 2 2" xfId="10559"/>
    <cellStyle name="Normal 83 20 3" xfId="9520"/>
    <cellStyle name="Normal 83 21" xfId="7462"/>
    <cellStyle name="Normal 83 21 2" xfId="7463"/>
    <cellStyle name="Normal 83 21 2 2" xfId="10560"/>
    <cellStyle name="Normal 83 21 3" xfId="9521"/>
    <cellStyle name="Normal 83 22" xfId="7464"/>
    <cellStyle name="Normal 83 22 2" xfId="7465"/>
    <cellStyle name="Normal 83 22 2 2" xfId="10561"/>
    <cellStyle name="Normal 83 22 3" xfId="9522"/>
    <cellStyle name="Normal 83 23" xfId="7466"/>
    <cellStyle name="Normal 83 23 2" xfId="7467"/>
    <cellStyle name="Normal 83 23 2 2" xfId="10562"/>
    <cellStyle name="Normal 83 23 3" xfId="9523"/>
    <cellStyle name="Normal 83 24" xfId="7468"/>
    <cellStyle name="Normal 83 24 2" xfId="7469"/>
    <cellStyle name="Normal 83 24 2 2" xfId="10563"/>
    <cellStyle name="Normal 83 24 3" xfId="9524"/>
    <cellStyle name="Normal 83 25" xfId="7470"/>
    <cellStyle name="Normal 83 25 2" xfId="7471"/>
    <cellStyle name="Normal 83 25 2 2" xfId="10564"/>
    <cellStyle name="Normal 83 25 3" xfId="9525"/>
    <cellStyle name="Normal 83 26" xfId="7472"/>
    <cellStyle name="Normal 83 26 2" xfId="7473"/>
    <cellStyle name="Normal 83 26 2 2" xfId="10565"/>
    <cellStyle name="Normal 83 26 3" xfId="9526"/>
    <cellStyle name="Normal 83 27" xfId="7474"/>
    <cellStyle name="Normal 83 27 2" xfId="7475"/>
    <cellStyle name="Normal 83 27 2 2" xfId="10566"/>
    <cellStyle name="Normal 83 27 3" xfId="9527"/>
    <cellStyle name="Normal 83 28" xfId="7476"/>
    <cellStyle name="Normal 83 28 2" xfId="7477"/>
    <cellStyle name="Normal 83 28 2 2" xfId="10567"/>
    <cellStyle name="Normal 83 28 3" xfId="9528"/>
    <cellStyle name="Normal 83 29" xfId="7478"/>
    <cellStyle name="Normal 83 29 2" xfId="7479"/>
    <cellStyle name="Normal 83 29 2 2" xfId="10568"/>
    <cellStyle name="Normal 83 29 3" xfId="9529"/>
    <cellStyle name="Normal 83 3" xfId="7480"/>
    <cellStyle name="Normal 83 3 2" xfId="7481"/>
    <cellStyle name="Normal 83 3 2 2" xfId="10569"/>
    <cellStyle name="Normal 83 3 3" xfId="9530"/>
    <cellStyle name="Normal 83 30" xfId="7482"/>
    <cellStyle name="Normal 83 30 2" xfId="7483"/>
    <cellStyle name="Normal 83 30 2 2" xfId="10570"/>
    <cellStyle name="Normal 83 30 3" xfId="9531"/>
    <cellStyle name="Normal 83 31" xfId="7484"/>
    <cellStyle name="Normal 83 31 2" xfId="7485"/>
    <cellStyle name="Normal 83 31 2 2" xfId="10571"/>
    <cellStyle name="Normal 83 31 3" xfId="9532"/>
    <cellStyle name="Normal 83 32" xfId="7486"/>
    <cellStyle name="Normal 83 32 2" xfId="7487"/>
    <cellStyle name="Normal 83 32 2 2" xfId="10572"/>
    <cellStyle name="Normal 83 32 3" xfId="9533"/>
    <cellStyle name="Normal 83 33" xfId="7488"/>
    <cellStyle name="Normal 83 33 2" xfId="7489"/>
    <cellStyle name="Normal 83 33 2 2" xfId="10573"/>
    <cellStyle name="Normal 83 33 3" xfId="9534"/>
    <cellStyle name="Normal 83 34" xfId="7490"/>
    <cellStyle name="Normal 83 34 2" xfId="7491"/>
    <cellStyle name="Normal 83 34 2 2" xfId="10574"/>
    <cellStyle name="Normal 83 34 3" xfId="9535"/>
    <cellStyle name="Normal 83 35" xfId="7492"/>
    <cellStyle name="Normal 83 35 2" xfId="7493"/>
    <cellStyle name="Normal 83 35 2 2" xfId="10575"/>
    <cellStyle name="Normal 83 35 3" xfId="9536"/>
    <cellStyle name="Normal 83 36" xfId="7494"/>
    <cellStyle name="Normal 83 36 2" xfId="10547"/>
    <cellStyle name="Normal 83 37" xfId="7495"/>
    <cellStyle name="Normal 83 37 2" xfId="10933"/>
    <cellStyle name="Normal 83 38" xfId="9508"/>
    <cellStyle name="Normal 83 4" xfId="7496"/>
    <cellStyle name="Normal 83 4 2" xfId="7497"/>
    <cellStyle name="Normal 83 4 2 2" xfId="10576"/>
    <cellStyle name="Normal 83 4 3" xfId="9537"/>
    <cellStyle name="Normal 83 5" xfId="7498"/>
    <cellStyle name="Normal 83 5 2" xfId="7499"/>
    <cellStyle name="Normal 83 5 2 2" xfId="10577"/>
    <cellStyle name="Normal 83 5 3" xfId="9538"/>
    <cellStyle name="Normal 83 6" xfId="7500"/>
    <cellStyle name="Normal 83 6 2" xfId="7501"/>
    <cellStyle name="Normal 83 6 2 2" xfId="10578"/>
    <cellStyle name="Normal 83 6 3" xfId="9539"/>
    <cellStyle name="Normal 83 7" xfId="7502"/>
    <cellStyle name="Normal 83 7 2" xfId="7503"/>
    <cellStyle name="Normal 83 7 2 2" xfId="10579"/>
    <cellStyle name="Normal 83 7 3" xfId="9540"/>
    <cellStyle name="Normal 83 8" xfId="7504"/>
    <cellStyle name="Normal 83 8 2" xfId="7505"/>
    <cellStyle name="Normal 83 8 2 2" xfId="10580"/>
    <cellStyle name="Normal 83 8 3" xfId="9541"/>
    <cellStyle name="Normal 83 9" xfId="7506"/>
    <cellStyle name="Normal 83 9 2" xfId="7507"/>
    <cellStyle name="Normal 83 9 2 2" xfId="10581"/>
    <cellStyle name="Normal 83 9 3" xfId="9542"/>
    <cellStyle name="Normal 84" xfId="7508"/>
    <cellStyle name="Normal 84 2" xfId="7509"/>
    <cellStyle name="Normal 84 2 2" xfId="7510"/>
    <cellStyle name="Normal 84 2 2 2" xfId="10582"/>
    <cellStyle name="Normal 84 2 3" xfId="9543"/>
    <cellStyle name="Normal 84 3" xfId="7511"/>
    <cellStyle name="Normal 84 3 2" xfId="7512"/>
    <cellStyle name="Normal 84 3 2 2" xfId="10583"/>
    <cellStyle name="Normal 84 3 3" xfId="9544"/>
    <cellStyle name="Normal 84 4" xfId="7513"/>
    <cellStyle name="Normal 84 4 2" xfId="7514"/>
    <cellStyle name="Normal 84 4 2 2" xfId="10584"/>
    <cellStyle name="Normal 84 4 3" xfId="9545"/>
    <cellStyle name="Normal 84 5" xfId="7515"/>
    <cellStyle name="Normal 84 5 2" xfId="7516"/>
    <cellStyle name="Normal 84 5 2 2" xfId="10585"/>
    <cellStyle name="Normal 84 5 3" xfId="9546"/>
    <cellStyle name="Normal 84 6" xfId="10934"/>
    <cellStyle name="Normal 85" xfId="7517"/>
    <cellStyle name="Normal 85 2" xfId="7518"/>
    <cellStyle name="Normal 85 2 2" xfId="7519"/>
    <cellStyle name="Normal 85 2 2 2" xfId="10586"/>
    <cellStyle name="Normal 85 2 3" xfId="9547"/>
    <cellStyle name="Normal 85 3" xfId="7520"/>
    <cellStyle name="Normal 85 3 2" xfId="7521"/>
    <cellStyle name="Normal 85 3 2 2" xfId="10587"/>
    <cellStyle name="Normal 85 3 3" xfId="9548"/>
    <cellStyle name="Normal 85 4" xfId="7522"/>
    <cellStyle name="Normal 85 4 2" xfId="7523"/>
    <cellStyle name="Normal 85 4 2 2" xfId="10588"/>
    <cellStyle name="Normal 85 4 3" xfId="9549"/>
    <cellStyle name="Normal 85 5" xfId="7524"/>
    <cellStyle name="Normal 85 5 2" xfId="7525"/>
    <cellStyle name="Normal 85 5 2 2" xfId="10589"/>
    <cellStyle name="Normal 85 5 3" xfId="9550"/>
    <cellStyle name="Normal 85 6" xfId="10935"/>
    <cellStyle name="Normal 86" xfId="7526"/>
    <cellStyle name="Normal 86 10" xfId="7527"/>
    <cellStyle name="Normal 86 10 2" xfId="7528"/>
    <cellStyle name="Normal 86 10 2 2" xfId="10591"/>
    <cellStyle name="Normal 86 10 3" xfId="9552"/>
    <cellStyle name="Normal 86 11" xfId="7529"/>
    <cellStyle name="Normal 86 11 2" xfId="7530"/>
    <cellStyle name="Normal 86 11 2 2" xfId="10592"/>
    <cellStyle name="Normal 86 11 3" xfId="9553"/>
    <cellStyle name="Normal 86 12" xfId="7531"/>
    <cellStyle name="Normal 86 12 2" xfId="7532"/>
    <cellStyle name="Normal 86 12 2 2" xfId="10593"/>
    <cellStyle name="Normal 86 12 3" xfId="9554"/>
    <cellStyle name="Normal 86 13" xfId="7533"/>
    <cellStyle name="Normal 86 13 2" xfId="7534"/>
    <cellStyle name="Normal 86 13 2 2" xfId="10594"/>
    <cellStyle name="Normal 86 13 3" xfId="9555"/>
    <cellStyle name="Normal 86 14" xfId="7535"/>
    <cellStyle name="Normal 86 14 2" xfId="7536"/>
    <cellStyle name="Normal 86 14 2 2" xfId="10595"/>
    <cellStyle name="Normal 86 14 3" xfId="9556"/>
    <cellStyle name="Normal 86 15" xfId="7537"/>
    <cellStyle name="Normal 86 15 2" xfId="7538"/>
    <cellStyle name="Normal 86 15 2 2" xfId="10596"/>
    <cellStyle name="Normal 86 15 3" xfId="9557"/>
    <cellStyle name="Normal 86 16" xfId="7539"/>
    <cellStyle name="Normal 86 16 2" xfId="7540"/>
    <cellStyle name="Normal 86 16 2 2" xfId="10597"/>
    <cellStyle name="Normal 86 16 3" xfId="9558"/>
    <cellStyle name="Normal 86 17" xfId="7541"/>
    <cellStyle name="Normal 86 17 2" xfId="7542"/>
    <cellStyle name="Normal 86 17 2 2" xfId="10598"/>
    <cellStyle name="Normal 86 17 3" xfId="9559"/>
    <cellStyle name="Normal 86 18" xfId="7543"/>
    <cellStyle name="Normal 86 18 2" xfId="7544"/>
    <cellStyle name="Normal 86 18 2 2" xfId="10599"/>
    <cellStyle name="Normal 86 18 3" xfId="9560"/>
    <cellStyle name="Normal 86 19" xfId="7545"/>
    <cellStyle name="Normal 86 19 2" xfId="7546"/>
    <cellStyle name="Normal 86 19 2 2" xfId="10600"/>
    <cellStyle name="Normal 86 19 3" xfId="9561"/>
    <cellStyle name="Normal 86 2" xfId="7547"/>
    <cellStyle name="Normal 86 2 2" xfId="7548"/>
    <cellStyle name="Normal 86 2 2 2" xfId="10601"/>
    <cellStyle name="Normal 86 2 3" xfId="9562"/>
    <cellStyle name="Normal 86 20" xfId="7549"/>
    <cellStyle name="Normal 86 20 2" xfId="7550"/>
    <cellStyle name="Normal 86 20 2 2" xfId="10602"/>
    <cellStyle name="Normal 86 20 3" xfId="9563"/>
    <cellStyle name="Normal 86 21" xfId="7551"/>
    <cellStyle name="Normal 86 21 2" xfId="7552"/>
    <cellStyle name="Normal 86 21 2 2" xfId="10603"/>
    <cellStyle name="Normal 86 21 3" xfId="9564"/>
    <cellStyle name="Normal 86 22" xfId="7553"/>
    <cellStyle name="Normal 86 22 2" xfId="7554"/>
    <cellStyle name="Normal 86 22 2 2" xfId="10604"/>
    <cellStyle name="Normal 86 22 3" xfId="9565"/>
    <cellStyle name="Normal 86 23" xfId="7555"/>
    <cellStyle name="Normal 86 23 2" xfId="7556"/>
    <cellStyle name="Normal 86 23 2 2" xfId="10605"/>
    <cellStyle name="Normal 86 23 3" xfId="9566"/>
    <cellStyle name="Normal 86 24" xfId="7557"/>
    <cellStyle name="Normal 86 24 2" xfId="7558"/>
    <cellStyle name="Normal 86 24 2 2" xfId="10606"/>
    <cellStyle name="Normal 86 24 3" xfId="9567"/>
    <cellStyle name="Normal 86 25" xfId="7559"/>
    <cellStyle name="Normal 86 25 2" xfId="7560"/>
    <cellStyle name="Normal 86 25 2 2" xfId="10607"/>
    <cellStyle name="Normal 86 25 3" xfId="9568"/>
    <cellStyle name="Normal 86 26" xfId="7561"/>
    <cellStyle name="Normal 86 26 2" xfId="7562"/>
    <cellStyle name="Normal 86 26 2 2" xfId="10608"/>
    <cellStyle name="Normal 86 26 3" xfId="9569"/>
    <cellStyle name="Normal 86 27" xfId="7563"/>
    <cellStyle name="Normal 86 27 2" xfId="7564"/>
    <cellStyle name="Normal 86 27 2 2" xfId="10609"/>
    <cellStyle name="Normal 86 27 3" xfId="9570"/>
    <cellStyle name="Normal 86 28" xfId="7565"/>
    <cellStyle name="Normal 86 28 2" xfId="7566"/>
    <cellStyle name="Normal 86 28 2 2" xfId="10610"/>
    <cellStyle name="Normal 86 28 3" xfId="9571"/>
    <cellStyle name="Normal 86 29" xfId="7567"/>
    <cellStyle name="Normal 86 29 2" xfId="7568"/>
    <cellStyle name="Normal 86 29 2 2" xfId="10611"/>
    <cellStyle name="Normal 86 29 3" xfId="9572"/>
    <cellStyle name="Normal 86 3" xfId="7569"/>
    <cellStyle name="Normal 86 3 2" xfId="7570"/>
    <cellStyle name="Normal 86 3 2 2" xfId="10612"/>
    <cellStyle name="Normal 86 3 3" xfId="9573"/>
    <cellStyle name="Normal 86 30" xfId="7571"/>
    <cellStyle name="Normal 86 30 2" xfId="7572"/>
    <cellStyle name="Normal 86 30 2 2" xfId="10613"/>
    <cellStyle name="Normal 86 30 3" xfId="9574"/>
    <cellStyle name="Normal 86 31" xfId="7573"/>
    <cellStyle name="Normal 86 31 2" xfId="7574"/>
    <cellStyle name="Normal 86 31 2 2" xfId="10614"/>
    <cellStyle name="Normal 86 31 3" xfId="9575"/>
    <cellStyle name="Normal 86 32" xfId="7575"/>
    <cellStyle name="Normal 86 32 2" xfId="7576"/>
    <cellStyle name="Normal 86 32 2 2" xfId="10615"/>
    <cellStyle name="Normal 86 32 3" xfId="9576"/>
    <cellStyle name="Normal 86 33" xfId="7577"/>
    <cellStyle name="Normal 86 33 2" xfId="7578"/>
    <cellStyle name="Normal 86 33 2 2" xfId="10616"/>
    <cellStyle name="Normal 86 33 3" xfId="9577"/>
    <cellStyle name="Normal 86 34" xfId="7579"/>
    <cellStyle name="Normal 86 34 2" xfId="10590"/>
    <cellStyle name="Normal 86 35" xfId="7580"/>
    <cellStyle name="Normal 86 35 2" xfId="10936"/>
    <cellStyle name="Normal 86 36" xfId="9551"/>
    <cellStyle name="Normal 86 4" xfId="7581"/>
    <cellStyle name="Normal 86 4 2" xfId="7582"/>
    <cellStyle name="Normal 86 4 2 2" xfId="10617"/>
    <cellStyle name="Normal 86 4 3" xfId="9578"/>
    <cellStyle name="Normal 86 5" xfId="7583"/>
    <cellStyle name="Normal 86 5 2" xfId="7584"/>
    <cellStyle name="Normal 86 5 2 2" xfId="10618"/>
    <cellStyle name="Normal 86 5 3" xfId="9579"/>
    <cellStyle name="Normal 86 6" xfId="7585"/>
    <cellStyle name="Normal 86 6 2" xfId="7586"/>
    <cellStyle name="Normal 86 6 2 2" xfId="10619"/>
    <cellStyle name="Normal 86 6 3" xfId="9580"/>
    <cellStyle name="Normal 86 7" xfId="7587"/>
    <cellStyle name="Normal 86 7 2" xfId="7588"/>
    <cellStyle name="Normal 86 7 2 2" xfId="10620"/>
    <cellStyle name="Normal 86 7 3" xfId="9581"/>
    <cellStyle name="Normal 86 8" xfId="7589"/>
    <cellStyle name="Normal 86 8 2" xfId="7590"/>
    <cellStyle name="Normal 86 8 2 2" xfId="10621"/>
    <cellStyle name="Normal 86 8 3" xfId="9582"/>
    <cellStyle name="Normal 86 9" xfId="7591"/>
    <cellStyle name="Normal 86 9 2" xfId="7592"/>
    <cellStyle name="Normal 86 9 2 2" xfId="10622"/>
    <cellStyle name="Normal 86 9 3" xfId="9583"/>
    <cellStyle name="Normal 87" xfId="7593"/>
    <cellStyle name="Normal 87 2" xfId="7594"/>
    <cellStyle name="Normal 87 2 2" xfId="7595"/>
    <cellStyle name="Normal 87 2 2 2" xfId="10623"/>
    <cellStyle name="Normal 87 2 3" xfId="9584"/>
    <cellStyle name="Normal 87 3" xfId="7596"/>
    <cellStyle name="Normal 87 3 2" xfId="7597"/>
    <cellStyle name="Normal 87 3 2 2" xfId="10624"/>
    <cellStyle name="Normal 87 3 3" xfId="9585"/>
    <cellStyle name="Normal 87 4" xfId="7598"/>
    <cellStyle name="Normal 87 4 2" xfId="7599"/>
    <cellStyle name="Normal 87 4 2 2" xfId="10625"/>
    <cellStyle name="Normal 87 4 3" xfId="9586"/>
    <cellStyle name="Normal 87 5" xfId="7600"/>
    <cellStyle name="Normal 87 5 2" xfId="7601"/>
    <cellStyle name="Normal 87 5 2 2" xfId="10626"/>
    <cellStyle name="Normal 87 5 3" xfId="9587"/>
    <cellStyle name="Normal 87 6" xfId="10937"/>
    <cellStyle name="Normal 88" xfId="7602"/>
    <cellStyle name="Normal 88 10" xfId="7603"/>
    <cellStyle name="Normal 88 10 2" xfId="7604"/>
    <cellStyle name="Normal 88 10 2 2" xfId="10628"/>
    <cellStyle name="Normal 88 10 3" xfId="9589"/>
    <cellStyle name="Normal 88 11" xfId="7605"/>
    <cellStyle name="Normal 88 11 2" xfId="7606"/>
    <cellStyle name="Normal 88 11 2 2" xfId="10629"/>
    <cellStyle name="Normal 88 11 3" xfId="9590"/>
    <cellStyle name="Normal 88 12" xfId="7607"/>
    <cellStyle name="Normal 88 12 2" xfId="7608"/>
    <cellStyle name="Normal 88 12 2 2" xfId="10630"/>
    <cellStyle name="Normal 88 12 3" xfId="9591"/>
    <cellStyle name="Normal 88 13" xfId="7609"/>
    <cellStyle name="Normal 88 13 2" xfId="7610"/>
    <cellStyle name="Normal 88 13 2 2" xfId="10631"/>
    <cellStyle name="Normal 88 13 3" xfId="9592"/>
    <cellStyle name="Normal 88 14" xfId="7611"/>
    <cellStyle name="Normal 88 14 2" xfId="7612"/>
    <cellStyle name="Normal 88 14 2 2" xfId="10632"/>
    <cellStyle name="Normal 88 14 3" xfId="9593"/>
    <cellStyle name="Normal 88 15" xfId="7613"/>
    <cellStyle name="Normal 88 15 2" xfId="7614"/>
    <cellStyle name="Normal 88 15 2 2" xfId="10633"/>
    <cellStyle name="Normal 88 15 3" xfId="9594"/>
    <cellStyle name="Normal 88 16" xfId="7615"/>
    <cellStyle name="Normal 88 16 2" xfId="7616"/>
    <cellStyle name="Normal 88 16 2 2" xfId="10634"/>
    <cellStyle name="Normal 88 16 3" xfId="9595"/>
    <cellStyle name="Normal 88 17" xfId="7617"/>
    <cellStyle name="Normal 88 17 2" xfId="7618"/>
    <cellStyle name="Normal 88 17 2 2" xfId="10635"/>
    <cellStyle name="Normal 88 17 3" xfId="9596"/>
    <cellStyle name="Normal 88 18" xfId="7619"/>
    <cellStyle name="Normal 88 18 2" xfId="7620"/>
    <cellStyle name="Normal 88 18 2 2" xfId="10636"/>
    <cellStyle name="Normal 88 18 3" xfId="9597"/>
    <cellStyle name="Normal 88 19" xfId="7621"/>
    <cellStyle name="Normal 88 19 2" xfId="7622"/>
    <cellStyle name="Normal 88 19 2 2" xfId="10637"/>
    <cellStyle name="Normal 88 19 3" xfId="9598"/>
    <cellStyle name="Normal 88 2" xfId="7623"/>
    <cellStyle name="Normal 88 2 2" xfId="7624"/>
    <cellStyle name="Normal 88 2 2 2" xfId="10638"/>
    <cellStyle name="Normal 88 2 3" xfId="9599"/>
    <cellStyle name="Normal 88 20" xfId="7625"/>
    <cellStyle name="Normal 88 20 2" xfId="7626"/>
    <cellStyle name="Normal 88 20 2 2" xfId="10639"/>
    <cellStyle name="Normal 88 20 3" xfId="9600"/>
    <cellStyle name="Normal 88 21" xfId="7627"/>
    <cellStyle name="Normal 88 21 2" xfId="7628"/>
    <cellStyle name="Normal 88 21 2 2" xfId="10640"/>
    <cellStyle name="Normal 88 21 3" xfId="9601"/>
    <cellStyle name="Normal 88 22" xfId="7629"/>
    <cellStyle name="Normal 88 22 2" xfId="7630"/>
    <cellStyle name="Normal 88 22 2 2" xfId="10641"/>
    <cellStyle name="Normal 88 22 3" xfId="9602"/>
    <cellStyle name="Normal 88 23" xfId="7631"/>
    <cellStyle name="Normal 88 23 2" xfId="10627"/>
    <cellStyle name="Normal 88 24" xfId="7632"/>
    <cellStyle name="Normal 88 24 2" xfId="10938"/>
    <cellStyle name="Normal 88 25" xfId="9588"/>
    <cellStyle name="Normal 88 3" xfId="7633"/>
    <cellStyle name="Normal 88 3 2" xfId="7634"/>
    <cellStyle name="Normal 88 3 2 2" xfId="10642"/>
    <cellStyle name="Normal 88 3 3" xfId="9603"/>
    <cellStyle name="Normal 88 4" xfId="7635"/>
    <cellStyle name="Normal 88 4 2" xfId="7636"/>
    <cellStyle name="Normal 88 4 2 2" xfId="10643"/>
    <cellStyle name="Normal 88 4 3" xfId="9604"/>
    <cellStyle name="Normal 88 5" xfId="7637"/>
    <cellStyle name="Normal 88 5 2" xfId="7638"/>
    <cellStyle name="Normal 88 5 2 2" xfId="10644"/>
    <cellStyle name="Normal 88 5 3" xfId="9605"/>
    <cellStyle name="Normal 88 6" xfId="7639"/>
    <cellStyle name="Normal 88 6 2" xfId="7640"/>
    <cellStyle name="Normal 88 6 2 2" xfId="10645"/>
    <cellStyle name="Normal 88 6 3" xfId="9606"/>
    <cellStyle name="Normal 88 7" xfId="7641"/>
    <cellStyle name="Normal 88 7 2" xfId="7642"/>
    <cellStyle name="Normal 88 7 2 2" xfId="10646"/>
    <cellStyle name="Normal 88 7 3" xfId="9607"/>
    <cellStyle name="Normal 88 8" xfId="7643"/>
    <cellStyle name="Normal 88 8 2" xfId="7644"/>
    <cellStyle name="Normal 88 8 2 2" xfId="10647"/>
    <cellStyle name="Normal 88 8 3" xfId="9608"/>
    <cellStyle name="Normal 88 9" xfId="7645"/>
    <cellStyle name="Normal 88 9 2" xfId="7646"/>
    <cellStyle name="Normal 88 9 2 2" xfId="10648"/>
    <cellStyle name="Normal 88 9 3" xfId="9609"/>
    <cellStyle name="Normal 89" xfId="7647"/>
    <cellStyle name="Normal 89 10" xfId="7648"/>
    <cellStyle name="Normal 89 10 2" xfId="7649"/>
    <cellStyle name="Normal 89 10 2 2" xfId="10650"/>
    <cellStyle name="Normal 89 10 3" xfId="9611"/>
    <cellStyle name="Normal 89 11" xfId="7650"/>
    <cellStyle name="Normal 89 11 2" xfId="7651"/>
    <cellStyle name="Normal 89 11 2 2" xfId="10651"/>
    <cellStyle name="Normal 89 11 3" xfId="9612"/>
    <cellStyle name="Normal 89 12" xfId="7652"/>
    <cellStyle name="Normal 89 12 2" xfId="7653"/>
    <cellStyle name="Normal 89 12 2 2" xfId="10652"/>
    <cellStyle name="Normal 89 12 3" xfId="9613"/>
    <cellStyle name="Normal 89 13" xfId="7654"/>
    <cellStyle name="Normal 89 13 2" xfId="7655"/>
    <cellStyle name="Normal 89 13 2 2" xfId="10653"/>
    <cellStyle name="Normal 89 13 3" xfId="9614"/>
    <cellStyle name="Normal 89 14" xfId="7656"/>
    <cellStyle name="Normal 89 14 2" xfId="7657"/>
    <cellStyle name="Normal 89 14 2 2" xfId="10654"/>
    <cellStyle name="Normal 89 14 3" xfId="9615"/>
    <cellStyle name="Normal 89 15" xfId="7658"/>
    <cellStyle name="Normal 89 15 2" xfId="7659"/>
    <cellStyle name="Normal 89 15 2 2" xfId="10655"/>
    <cellStyle name="Normal 89 15 3" xfId="9616"/>
    <cellStyle name="Normal 89 16" xfId="7660"/>
    <cellStyle name="Normal 89 16 2" xfId="7661"/>
    <cellStyle name="Normal 89 16 2 2" xfId="10656"/>
    <cellStyle name="Normal 89 16 3" xfId="9617"/>
    <cellStyle name="Normal 89 17" xfId="7662"/>
    <cellStyle name="Normal 89 17 2" xfId="7663"/>
    <cellStyle name="Normal 89 17 2 2" xfId="10657"/>
    <cellStyle name="Normal 89 17 3" xfId="9618"/>
    <cellStyle name="Normal 89 18" xfId="7664"/>
    <cellStyle name="Normal 89 18 2" xfId="7665"/>
    <cellStyle name="Normal 89 18 2 2" xfId="10658"/>
    <cellStyle name="Normal 89 18 3" xfId="9619"/>
    <cellStyle name="Normal 89 19" xfId="7666"/>
    <cellStyle name="Normal 89 19 2" xfId="7667"/>
    <cellStyle name="Normal 89 19 2 2" xfId="10659"/>
    <cellStyle name="Normal 89 19 3" xfId="9620"/>
    <cellStyle name="Normal 89 2" xfId="7668"/>
    <cellStyle name="Normal 89 2 2" xfId="7669"/>
    <cellStyle name="Normal 89 2 2 2" xfId="10660"/>
    <cellStyle name="Normal 89 2 3" xfId="9621"/>
    <cellStyle name="Normal 89 20" xfId="7670"/>
    <cellStyle name="Normal 89 20 2" xfId="7671"/>
    <cellStyle name="Normal 89 20 2 2" xfId="10661"/>
    <cellStyle name="Normal 89 20 3" xfId="9622"/>
    <cellStyle name="Normal 89 21" xfId="7672"/>
    <cellStyle name="Normal 89 21 2" xfId="7673"/>
    <cellStyle name="Normal 89 21 2 2" xfId="10662"/>
    <cellStyle name="Normal 89 21 3" xfId="9623"/>
    <cellStyle name="Normal 89 22" xfId="7674"/>
    <cellStyle name="Normal 89 22 2" xfId="7675"/>
    <cellStyle name="Normal 89 22 2 2" xfId="10663"/>
    <cellStyle name="Normal 89 22 3" xfId="9624"/>
    <cellStyle name="Normal 89 23" xfId="7676"/>
    <cellStyle name="Normal 89 23 2" xfId="10649"/>
    <cellStyle name="Normal 89 24" xfId="7677"/>
    <cellStyle name="Normal 89 24 2" xfId="10939"/>
    <cellStyle name="Normal 89 25" xfId="9610"/>
    <cellStyle name="Normal 89 3" xfId="7678"/>
    <cellStyle name="Normal 89 3 2" xfId="7679"/>
    <cellStyle name="Normal 89 3 2 2" xfId="10664"/>
    <cellStyle name="Normal 89 3 3" xfId="9625"/>
    <cellStyle name="Normal 89 4" xfId="7680"/>
    <cellStyle name="Normal 89 4 2" xfId="7681"/>
    <cellStyle name="Normal 89 4 2 2" xfId="10665"/>
    <cellStyle name="Normal 89 4 3" xfId="9626"/>
    <cellStyle name="Normal 89 5" xfId="7682"/>
    <cellStyle name="Normal 89 5 2" xfId="7683"/>
    <cellStyle name="Normal 89 5 2 2" xfId="10666"/>
    <cellStyle name="Normal 89 5 3" xfId="9627"/>
    <cellStyle name="Normal 89 6" xfId="7684"/>
    <cellStyle name="Normal 89 6 2" xfId="7685"/>
    <cellStyle name="Normal 89 6 2 2" xfId="10667"/>
    <cellStyle name="Normal 89 6 3" xfId="9628"/>
    <cellStyle name="Normal 89 7" xfId="7686"/>
    <cellStyle name="Normal 89 7 2" xfId="7687"/>
    <cellStyle name="Normal 89 7 2 2" xfId="10668"/>
    <cellStyle name="Normal 89 7 3" xfId="9629"/>
    <cellStyle name="Normal 89 8" xfId="7688"/>
    <cellStyle name="Normal 89 8 2" xfId="7689"/>
    <cellStyle name="Normal 89 8 2 2" xfId="10669"/>
    <cellStyle name="Normal 89 8 3" xfId="9630"/>
    <cellStyle name="Normal 89 9" xfId="7690"/>
    <cellStyle name="Normal 89 9 2" xfId="7691"/>
    <cellStyle name="Normal 89 9 2 2" xfId="10670"/>
    <cellStyle name="Normal 89 9 3" xfId="9631"/>
    <cellStyle name="Normal 9" xfId="245"/>
    <cellStyle name="Normal 9 10" xfId="7693"/>
    <cellStyle name="Normal 9 10 2" xfId="7694"/>
    <cellStyle name="Normal 9 10 2 2" xfId="10671"/>
    <cellStyle name="Normal 9 10 3" xfId="9632"/>
    <cellStyle name="Normal 9 11" xfId="7695"/>
    <cellStyle name="Normal 9 11 2" xfId="7696"/>
    <cellStyle name="Normal 9 11 2 2" xfId="10672"/>
    <cellStyle name="Normal 9 11 3" xfId="9633"/>
    <cellStyle name="Normal 9 12" xfId="7697"/>
    <cellStyle name="Normal 9 12 2" xfId="7698"/>
    <cellStyle name="Normal 9 12 2 2" xfId="10673"/>
    <cellStyle name="Normal 9 12 3" xfId="9634"/>
    <cellStyle name="Normal 9 13" xfId="7699"/>
    <cellStyle name="Normal 9 13 2" xfId="7700"/>
    <cellStyle name="Normal 9 13 2 2" xfId="10674"/>
    <cellStyle name="Normal 9 13 3" xfId="9635"/>
    <cellStyle name="Normal 9 14" xfId="7701"/>
    <cellStyle name="Normal 9 14 2" xfId="7702"/>
    <cellStyle name="Normal 9 14 2 2" xfId="10675"/>
    <cellStyle name="Normal 9 14 3" xfId="9636"/>
    <cellStyle name="Normal 9 15" xfId="7703"/>
    <cellStyle name="Normal 9 15 2" xfId="7704"/>
    <cellStyle name="Normal 9 15 2 2" xfId="10676"/>
    <cellStyle name="Normal 9 15 3" xfId="9637"/>
    <cellStyle name="Normal 9 16" xfId="7705"/>
    <cellStyle name="Normal 9 16 2" xfId="7706"/>
    <cellStyle name="Normal 9 16 2 2" xfId="10677"/>
    <cellStyle name="Normal 9 16 3" xfId="9638"/>
    <cellStyle name="Normal 9 17" xfId="7707"/>
    <cellStyle name="Normal 9 17 2" xfId="7708"/>
    <cellStyle name="Normal 9 17 2 2" xfId="10678"/>
    <cellStyle name="Normal 9 17 3" xfId="9639"/>
    <cellStyle name="Normal 9 18" xfId="7709"/>
    <cellStyle name="Normal 9 18 2" xfId="7710"/>
    <cellStyle name="Normal 9 18 2 2" xfId="10679"/>
    <cellStyle name="Normal 9 18 3" xfId="9640"/>
    <cellStyle name="Normal 9 19" xfId="7711"/>
    <cellStyle name="Normal 9 19 2" xfId="7712"/>
    <cellStyle name="Normal 9 19 2 2" xfId="10680"/>
    <cellStyle name="Normal 9 19 3" xfId="9641"/>
    <cellStyle name="Normal 9 2" xfId="246"/>
    <cellStyle name="Normal 9 2 2" xfId="7714"/>
    <cellStyle name="Normal 9 2 2 2" xfId="10681"/>
    <cellStyle name="Normal 9 2 3" xfId="7715"/>
    <cellStyle name="Normal 9 2 3 2" xfId="10823"/>
    <cellStyle name="Normal 9 2 4" xfId="7716"/>
    <cellStyle name="Normal 9 2 5" xfId="7713"/>
    <cellStyle name="Normal 9 2 6" xfId="9642"/>
    <cellStyle name="Normal 9 20" xfId="7717"/>
    <cellStyle name="Normal 9 20 2" xfId="7718"/>
    <cellStyle name="Normal 9 20 2 2" xfId="10682"/>
    <cellStyle name="Normal 9 20 3" xfId="9643"/>
    <cellStyle name="Normal 9 21" xfId="7719"/>
    <cellStyle name="Normal 9 21 2" xfId="7720"/>
    <cellStyle name="Normal 9 21 2 2" xfId="10683"/>
    <cellStyle name="Normal 9 21 3" xfId="9644"/>
    <cellStyle name="Normal 9 22" xfId="7721"/>
    <cellStyle name="Normal 9 22 2" xfId="7722"/>
    <cellStyle name="Normal 9 22 2 2" xfId="10684"/>
    <cellStyle name="Normal 9 22 3" xfId="9645"/>
    <cellStyle name="Normal 9 23" xfId="7723"/>
    <cellStyle name="Normal 9 23 2" xfId="7724"/>
    <cellStyle name="Normal 9 23 2 2" xfId="10685"/>
    <cellStyle name="Normal 9 23 3" xfId="9646"/>
    <cellStyle name="Normal 9 24" xfId="7725"/>
    <cellStyle name="Normal 9 24 2" xfId="7726"/>
    <cellStyle name="Normal 9 24 2 2" xfId="10686"/>
    <cellStyle name="Normal 9 24 3" xfId="9647"/>
    <cellStyle name="Normal 9 25" xfId="7727"/>
    <cellStyle name="Normal 9 25 2" xfId="7728"/>
    <cellStyle name="Normal 9 25 2 2" xfId="10687"/>
    <cellStyle name="Normal 9 25 3" xfId="9648"/>
    <cellStyle name="Normal 9 26" xfId="7729"/>
    <cellStyle name="Normal 9 26 2" xfId="7730"/>
    <cellStyle name="Normal 9 26 2 2" xfId="10688"/>
    <cellStyle name="Normal 9 26 3" xfId="9649"/>
    <cellStyle name="Normal 9 27" xfId="7731"/>
    <cellStyle name="Normal 9 27 2" xfId="7732"/>
    <cellStyle name="Normal 9 27 2 2" xfId="10689"/>
    <cellStyle name="Normal 9 27 3" xfId="9650"/>
    <cellStyle name="Normal 9 28" xfId="7733"/>
    <cellStyle name="Normal 9 28 2" xfId="7734"/>
    <cellStyle name="Normal 9 28 2 2" xfId="10690"/>
    <cellStyle name="Normal 9 28 3" xfId="9651"/>
    <cellStyle name="Normal 9 29" xfId="7735"/>
    <cellStyle name="Normal 9 29 2" xfId="7736"/>
    <cellStyle name="Normal 9 29 2 2" xfId="10691"/>
    <cellStyle name="Normal 9 29 3" xfId="9652"/>
    <cellStyle name="Normal 9 3" xfId="247"/>
    <cellStyle name="Normal 9 3 2" xfId="7738"/>
    <cellStyle name="Normal 9 3 2 2" xfId="10692"/>
    <cellStyle name="Normal 9 3 3" xfId="7739"/>
    <cellStyle name="Normal 9 3 4" xfId="7740"/>
    <cellStyle name="Normal 9 3 5" xfId="7737"/>
    <cellStyle name="Normal 9 3 6" xfId="9653"/>
    <cellStyle name="Normal 9 30" xfId="7741"/>
    <cellStyle name="Normal 9 30 2" xfId="7742"/>
    <cellStyle name="Normal 9 30 2 2" xfId="10693"/>
    <cellStyle name="Normal 9 30 3" xfId="9654"/>
    <cellStyle name="Normal 9 31" xfId="7743"/>
    <cellStyle name="Normal 9 31 2" xfId="7744"/>
    <cellStyle name="Normal 9 31 2 2" xfId="10694"/>
    <cellStyle name="Normal 9 31 3" xfId="9655"/>
    <cellStyle name="Normal 9 32" xfId="7745"/>
    <cellStyle name="Normal 9 32 2" xfId="7746"/>
    <cellStyle name="Normal 9 32 2 2" xfId="10695"/>
    <cellStyle name="Normal 9 32 3" xfId="9656"/>
    <cellStyle name="Normal 9 33" xfId="7747"/>
    <cellStyle name="Normal 9 33 2" xfId="7748"/>
    <cellStyle name="Normal 9 33 2 2" xfId="10696"/>
    <cellStyle name="Normal 9 33 3" xfId="9657"/>
    <cellStyle name="Normal 9 34" xfId="7749"/>
    <cellStyle name="Normal 9 34 2" xfId="7750"/>
    <cellStyle name="Normal 9 34 2 2" xfId="10697"/>
    <cellStyle name="Normal 9 34 3" xfId="9658"/>
    <cellStyle name="Normal 9 35" xfId="7751"/>
    <cellStyle name="Normal 9 35 2" xfId="7752"/>
    <cellStyle name="Normal 9 35 2 2" xfId="10698"/>
    <cellStyle name="Normal 9 35 3" xfId="9659"/>
    <cellStyle name="Normal 9 36" xfId="7753"/>
    <cellStyle name="Normal 9 36 2" xfId="7754"/>
    <cellStyle name="Normal 9 36 2 2" xfId="10699"/>
    <cellStyle name="Normal 9 36 3" xfId="9660"/>
    <cellStyle name="Normal 9 37" xfId="7755"/>
    <cellStyle name="Normal 9 37 2" xfId="7756"/>
    <cellStyle name="Normal 9 37 2 2" xfId="10700"/>
    <cellStyle name="Normal 9 37 3" xfId="9661"/>
    <cellStyle name="Normal 9 38" xfId="7757"/>
    <cellStyle name="Normal 9 38 2" xfId="7758"/>
    <cellStyle name="Normal 9 38 2 2" xfId="10701"/>
    <cellStyle name="Normal 9 38 3" xfId="9662"/>
    <cellStyle name="Normal 9 39" xfId="7759"/>
    <cellStyle name="Normal 9 4" xfId="248"/>
    <cellStyle name="Normal 9 4 2" xfId="7761"/>
    <cellStyle name="Normal 9 4 2 2" xfId="10702"/>
    <cellStyle name="Normal 9 4 3" xfId="7762"/>
    <cellStyle name="Normal 9 4 4" xfId="7763"/>
    <cellStyle name="Normal 9 4 5" xfId="7760"/>
    <cellStyle name="Normal 9 4 6" xfId="9663"/>
    <cellStyle name="Normal 9 40" xfId="7764"/>
    <cellStyle name="Normal 9 41" xfId="7692"/>
    <cellStyle name="Normal 9 42" xfId="10795"/>
    <cellStyle name="Normal 9 5" xfId="249"/>
    <cellStyle name="Normal 9 5 2" xfId="7766"/>
    <cellStyle name="Normal 9 5 2 2" xfId="10703"/>
    <cellStyle name="Normal 9 5 3" xfId="7767"/>
    <cellStyle name="Normal 9 5 4" xfId="7768"/>
    <cellStyle name="Normal 9 5 5" xfId="7765"/>
    <cellStyle name="Normal 9 5 6" xfId="9664"/>
    <cellStyle name="Normal 9 6" xfId="250"/>
    <cellStyle name="Normal 9 6 2" xfId="7770"/>
    <cellStyle name="Normal 9 6 2 2" xfId="10704"/>
    <cellStyle name="Normal 9 6 3" xfId="7771"/>
    <cellStyle name="Normal 9 6 4" xfId="7769"/>
    <cellStyle name="Normal 9 6 5" xfId="9665"/>
    <cellStyle name="Normal 9 7" xfId="251"/>
    <cellStyle name="Normal 9 7 2" xfId="7773"/>
    <cellStyle name="Normal 9 7 2 2" xfId="10705"/>
    <cellStyle name="Normal 9 7 3" xfId="7774"/>
    <cellStyle name="Normal 9 7 4" xfId="7772"/>
    <cellStyle name="Normal 9 7 5" xfId="9666"/>
    <cellStyle name="Normal 9 8" xfId="252"/>
    <cellStyle name="Normal 9 8 2" xfId="7776"/>
    <cellStyle name="Normal 9 8 2 2" xfId="10706"/>
    <cellStyle name="Normal 9 8 3" xfId="7777"/>
    <cellStyle name="Normal 9 8 4" xfId="7775"/>
    <cellStyle name="Normal 9 8 5" xfId="9667"/>
    <cellStyle name="Normal 9 9" xfId="253"/>
    <cellStyle name="Normal 9 9 2" xfId="7779"/>
    <cellStyle name="Normal 9 9 2 2" xfId="10707"/>
    <cellStyle name="Normal 9 9 3" xfId="7780"/>
    <cellStyle name="Normal 9 9 4" xfId="7778"/>
    <cellStyle name="Normal 9 9 5" xfId="9668"/>
    <cellStyle name="Normal 90" xfId="7781"/>
    <cellStyle name="Normal 90 2" xfId="7782"/>
    <cellStyle name="Normal 90 2 2" xfId="7783"/>
    <cellStyle name="Normal 90 2 2 2" xfId="10708"/>
    <cellStyle name="Normal 90 2 3" xfId="9669"/>
    <cellStyle name="Normal 90 3" xfId="7784"/>
    <cellStyle name="Normal 90 3 2" xfId="7785"/>
    <cellStyle name="Normal 90 3 2 2" xfId="10709"/>
    <cellStyle name="Normal 90 3 3" xfId="9670"/>
    <cellStyle name="Normal 90 4" xfId="7786"/>
    <cellStyle name="Normal 90 4 2" xfId="7787"/>
    <cellStyle name="Normal 90 4 2 2" xfId="10710"/>
    <cellStyle name="Normal 90 4 3" xfId="9671"/>
    <cellStyle name="Normal 90 5" xfId="7788"/>
    <cellStyle name="Normal 90 5 2" xfId="7789"/>
    <cellStyle name="Normal 90 5 2 2" xfId="10711"/>
    <cellStyle name="Normal 90 5 3" xfId="9672"/>
    <cellStyle name="Normal 90 6" xfId="10940"/>
    <cellStyle name="Normal 91" xfId="7790"/>
    <cellStyle name="Normal 91 10" xfId="7791"/>
    <cellStyle name="Normal 91 10 2" xfId="7792"/>
    <cellStyle name="Normal 91 10 2 2" xfId="10713"/>
    <cellStyle name="Normal 91 10 3" xfId="9674"/>
    <cellStyle name="Normal 91 11" xfId="7793"/>
    <cellStyle name="Normal 91 11 2" xfId="7794"/>
    <cellStyle name="Normal 91 11 2 2" xfId="10714"/>
    <cellStyle name="Normal 91 11 3" xfId="9675"/>
    <cellStyle name="Normal 91 12" xfId="7795"/>
    <cellStyle name="Normal 91 12 2" xfId="7796"/>
    <cellStyle name="Normal 91 12 2 2" xfId="10715"/>
    <cellStyle name="Normal 91 12 3" xfId="9676"/>
    <cellStyle name="Normal 91 13" xfId="7797"/>
    <cellStyle name="Normal 91 13 2" xfId="7798"/>
    <cellStyle name="Normal 91 13 2 2" xfId="10716"/>
    <cellStyle name="Normal 91 13 3" xfId="9677"/>
    <cellStyle name="Normal 91 14" xfId="7799"/>
    <cellStyle name="Normal 91 14 2" xfId="7800"/>
    <cellStyle name="Normal 91 14 2 2" xfId="10717"/>
    <cellStyle name="Normal 91 14 3" xfId="9678"/>
    <cellStyle name="Normal 91 15" xfId="7801"/>
    <cellStyle name="Normal 91 15 2" xfId="10712"/>
    <cellStyle name="Normal 91 16" xfId="7802"/>
    <cellStyle name="Normal 91 16 2" xfId="10941"/>
    <cellStyle name="Normal 91 17" xfId="9673"/>
    <cellStyle name="Normal 91 2" xfId="7803"/>
    <cellStyle name="Normal 91 2 2" xfId="7804"/>
    <cellStyle name="Normal 91 2 2 2" xfId="10718"/>
    <cellStyle name="Normal 91 2 3" xfId="9679"/>
    <cellStyle name="Normal 91 3" xfId="7805"/>
    <cellStyle name="Normal 91 3 2" xfId="7806"/>
    <cellStyle name="Normal 91 3 2 2" xfId="10719"/>
    <cellStyle name="Normal 91 3 3" xfId="9680"/>
    <cellStyle name="Normal 91 4" xfId="7807"/>
    <cellStyle name="Normal 91 4 2" xfId="7808"/>
    <cellStyle name="Normal 91 4 2 2" xfId="10720"/>
    <cellStyle name="Normal 91 4 3" xfId="9681"/>
    <cellStyle name="Normal 91 5" xfId="7809"/>
    <cellStyle name="Normal 91 5 2" xfId="7810"/>
    <cellStyle name="Normal 91 5 2 2" xfId="10721"/>
    <cellStyle name="Normal 91 5 3" xfId="9682"/>
    <cellStyle name="Normal 91 6" xfId="7811"/>
    <cellStyle name="Normal 91 6 2" xfId="7812"/>
    <cellStyle name="Normal 91 6 2 2" xfId="10722"/>
    <cellStyle name="Normal 91 6 3" xfId="9683"/>
    <cellStyle name="Normal 91 7" xfId="7813"/>
    <cellStyle name="Normal 91 7 2" xfId="7814"/>
    <cellStyle name="Normal 91 7 2 2" xfId="10723"/>
    <cellStyle name="Normal 91 7 3" xfId="9684"/>
    <cellStyle name="Normal 91 8" xfId="7815"/>
    <cellStyle name="Normal 91 8 2" xfId="7816"/>
    <cellStyle name="Normal 91 8 2 2" xfId="10724"/>
    <cellStyle name="Normal 91 8 3" xfId="9685"/>
    <cellStyle name="Normal 91 9" xfId="7817"/>
    <cellStyle name="Normal 91 9 2" xfId="7818"/>
    <cellStyle name="Normal 91 9 2 2" xfId="10725"/>
    <cellStyle name="Normal 91 9 3" xfId="9686"/>
    <cellStyle name="Normal 92" xfId="7819"/>
    <cellStyle name="Normal 92 10" xfId="7820"/>
    <cellStyle name="Normal 92 10 2" xfId="7821"/>
    <cellStyle name="Normal 92 10 2 2" xfId="10727"/>
    <cellStyle name="Normal 92 10 3" xfId="9688"/>
    <cellStyle name="Normal 92 11" xfId="7822"/>
    <cellStyle name="Normal 92 11 2" xfId="7823"/>
    <cellStyle name="Normal 92 11 2 2" xfId="10728"/>
    <cellStyle name="Normal 92 11 3" xfId="9689"/>
    <cellStyle name="Normal 92 12" xfId="7824"/>
    <cellStyle name="Normal 92 12 2" xfId="7825"/>
    <cellStyle name="Normal 92 12 2 2" xfId="10729"/>
    <cellStyle name="Normal 92 12 3" xfId="9690"/>
    <cellStyle name="Normal 92 13" xfId="7826"/>
    <cellStyle name="Normal 92 13 2" xfId="7827"/>
    <cellStyle name="Normal 92 13 2 2" xfId="10730"/>
    <cellStyle name="Normal 92 13 3" xfId="9691"/>
    <cellStyle name="Normal 92 14" xfId="7828"/>
    <cellStyle name="Normal 92 14 2" xfId="7829"/>
    <cellStyle name="Normal 92 14 2 2" xfId="10731"/>
    <cellStyle name="Normal 92 14 3" xfId="9692"/>
    <cellStyle name="Normal 92 15" xfId="7830"/>
    <cellStyle name="Normal 92 15 2" xfId="10726"/>
    <cellStyle name="Normal 92 16" xfId="7831"/>
    <cellStyle name="Normal 92 16 2" xfId="10942"/>
    <cellStyle name="Normal 92 17" xfId="9687"/>
    <cellStyle name="Normal 92 2" xfId="7832"/>
    <cellStyle name="Normal 92 2 2" xfId="7833"/>
    <cellStyle name="Normal 92 2 2 2" xfId="10732"/>
    <cellStyle name="Normal 92 2 3" xfId="9693"/>
    <cellStyle name="Normal 92 3" xfId="7834"/>
    <cellStyle name="Normal 92 3 2" xfId="7835"/>
    <cellStyle name="Normal 92 3 2 2" xfId="10733"/>
    <cellStyle name="Normal 92 3 3" xfId="9694"/>
    <cellStyle name="Normal 92 4" xfId="7836"/>
    <cellStyle name="Normal 92 4 2" xfId="7837"/>
    <cellStyle name="Normal 92 4 2 2" xfId="10734"/>
    <cellStyle name="Normal 92 4 3" xfId="9695"/>
    <cellStyle name="Normal 92 5" xfId="7838"/>
    <cellStyle name="Normal 92 5 2" xfId="7839"/>
    <cellStyle name="Normal 92 5 2 2" xfId="10735"/>
    <cellStyle name="Normal 92 5 3" xfId="9696"/>
    <cellStyle name="Normal 92 6" xfId="7840"/>
    <cellStyle name="Normal 92 6 2" xfId="7841"/>
    <cellStyle name="Normal 92 6 2 2" xfId="10736"/>
    <cellStyle name="Normal 92 6 3" xfId="9697"/>
    <cellStyle name="Normal 92 7" xfId="7842"/>
    <cellStyle name="Normal 92 7 2" xfId="7843"/>
    <cellStyle name="Normal 92 7 2 2" xfId="10737"/>
    <cellStyle name="Normal 92 7 3" xfId="9698"/>
    <cellStyle name="Normal 92 8" xfId="7844"/>
    <cellStyle name="Normal 92 8 2" xfId="7845"/>
    <cellStyle name="Normal 92 8 2 2" xfId="10738"/>
    <cellStyle name="Normal 92 8 3" xfId="9699"/>
    <cellStyle name="Normal 92 9" xfId="7846"/>
    <cellStyle name="Normal 92 9 2" xfId="7847"/>
    <cellStyle name="Normal 92 9 2 2" xfId="10739"/>
    <cellStyle name="Normal 92 9 3" xfId="9700"/>
    <cellStyle name="Normal 93" xfId="7848"/>
    <cellStyle name="Normal 93 10" xfId="10943"/>
    <cellStyle name="Normal 93 2" xfId="7849"/>
    <cellStyle name="Normal 93 2 2" xfId="7850"/>
    <cellStyle name="Normal 93 2 2 2" xfId="10740"/>
    <cellStyle name="Normal 93 2 3" xfId="9701"/>
    <cellStyle name="Normal 93 3" xfId="7851"/>
    <cellStyle name="Normal 93 3 2" xfId="7852"/>
    <cellStyle name="Normal 93 3 2 2" xfId="10741"/>
    <cellStyle name="Normal 93 3 3" xfId="9702"/>
    <cellStyle name="Normal 93 4" xfId="7853"/>
    <cellStyle name="Normal 93 4 2" xfId="7854"/>
    <cellStyle name="Normal 93 4 2 2" xfId="10742"/>
    <cellStyle name="Normal 93 4 3" xfId="9703"/>
    <cellStyle name="Normal 93 5" xfId="7855"/>
    <cellStyle name="Normal 93 5 2" xfId="7856"/>
    <cellStyle name="Normal 93 5 2 2" xfId="10743"/>
    <cellStyle name="Normal 93 5 3" xfId="9704"/>
    <cellStyle name="Normal 93 6" xfId="7857"/>
    <cellStyle name="Normal 93 6 2" xfId="7858"/>
    <cellStyle name="Normal 93 6 2 2" xfId="10744"/>
    <cellStyle name="Normal 93 6 3" xfId="9705"/>
    <cellStyle name="Normal 93 7" xfId="7859"/>
    <cellStyle name="Normal 93 7 2" xfId="7860"/>
    <cellStyle name="Normal 93 7 2 2" xfId="10745"/>
    <cellStyle name="Normal 93 7 3" xfId="9706"/>
    <cellStyle name="Normal 93 8" xfId="7861"/>
    <cellStyle name="Normal 93 8 2" xfId="7862"/>
    <cellStyle name="Normal 93 8 2 2" xfId="10746"/>
    <cellStyle name="Normal 93 8 3" xfId="9707"/>
    <cellStyle name="Normal 93 9" xfId="7863"/>
    <cellStyle name="Normal 93 9 2" xfId="7864"/>
    <cellStyle name="Normal 93 9 2 2" xfId="10747"/>
    <cellStyle name="Normal 93 9 3" xfId="9708"/>
    <cellStyle name="Normal 94" xfId="7865"/>
    <cellStyle name="Normal 94 10" xfId="10956"/>
    <cellStyle name="Normal 94 2" xfId="7866"/>
    <cellStyle name="Normal 94 2 2" xfId="7867"/>
    <cellStyle name="Normal 94 2 2 2" xfId="10748"/>
    <cellStyle name="Normal 94 2 3" xfId="9709"/>
    <cellStyle name="Normal 94 3" xfId="7868"/>
    <cellStyle name="Normal 94 3 2" xfId="7869"/>
    <cellStyle name="Normal 94 3 2 2" xfId="10749"/>
    <cellStyle name="Normal 94 3 3" xfId="9710"/>
    <cellStyle name="Normal 94 4" xfId="7870"/>
    <cellStyle name="Normal 94 4 2" xfId="7871"/>
    <cellStyle name="Normal 94 4 2 2" xfId="10750"/>
    <cellStyle name="Normal 94 4 3" xfId="9711"/>
    <cellStyle name="Normal 94 5" xfId="7872"/>
    <cellStyle name="Normal 94 5 2" xfId="7873"/>
    <cellStyle name="Normal 94 5 2 2" xfId="10751"/>
    <cellStyle name="Normal 94 5 3" xfId="9712"/>
    <cellStyle name="Normal 94 6" xfId="7874"/>
    <cellStyle name="Normal 94 6 2" xfId="7875"/>
    <cellStyle name="Normal 94 6 2 2" xfId="10752"/>
    <cellStyle name="Normal 94 6 3" xfId="9713"/>
    <cellStyle name="Normal 94 7" xfId="7876"/>
    <cellStyle name="Normal 94 7 2" xfId="7877"/>
    <cellStyle name="Normal 94 7 2 2" xfId="10753"/>
    <cellStyle name="Normal 94 7 3" xfId="9714"/>
    <cellStyle name="Normal 94 8" xfId="7878"/>
    <cellStyle name="Normal 94 8 2" xfId="7879"/>
    <cellStyle name="Normal 94 8 2 2" xfId="10754"/>
    <cellStyle name="Normal 94 8 3" xfId="9715"/>
    <cellStyle name="Normal 94 9" xfId="7880"/>
    <cellStyle name="Normal 94 9 2" xfId="7881"/>
    <cellStyle name="Normal 94 9 2 2" xfId="10755"/>
    <cellStyle name="Normal 94 9 3" xfId="9716"/>
    <cellStyle name="Normal 95" xfId="7882"/>
    <cellStyle name="Normal 95 10" xfId="7883"/>
    <cellStyle name="Normal 95 10 2" xfId="7884"/>
    <cellStyle name="Normal 95 10 2 2" xfId="10757"/>
    <cellStyle name="Normal 95 10 3" xfId="9718"/>
    <cellStyle name="Normal 95 11" xfId="7885"/>
    <cellStyle name="Normal 95 11 2" xfId="10756"/>
    <cellStyle name="Normal 95 12" xfId="7886"/>
    <cellStyle name="Normal 95 12 2" xfId="10969"/>
    <cellStyle name="Normal 95 13" xfId="9717"/>
    <cellStyle name="Normal 95 2" xfId="7887"/>
    <cellStyle name="Normal 95 2 2" xfId="7888"/>
    <cellStyle name="Normal 95 2 2 2" xfId="10758"/>
    <cellStyle name="Normal 95 2 3" xfId="9719"/>
    <cellStyle name="Normal 95 3" xfId="7889"/>
    <cellStyle name="Normal 95 3 2" xfId="7890"/>
    <cellStyle name="Normal 95 3 2 2" xfId="10759"/>
    <cellStyle name="Normal 95 3 3" xfId="9720"/>
    <cellStyle name="Normal 95 4" xfId="7891"/>
    <cellStyle name="Normal 95 4 2" xfId="7892"/>
    <cellStyle name="Normal 95 4 2 2" xfId="10760"/>
    <cellStyle name="Normal 95 4 3" xfId="9721"/>
    <cellStyle name="Normal 95 5" xfId="7893"/>
    <cellStyle name="Normal 95 5 2" xfId="7894"/>
    <cellStyle name="Normal 95 5 2 2" xfId="10761"/>
    <cellStyle name="Normal 95 5 3" xfId="9722"/>
    <cellStyle name="Normal 95 6" xfId="7895"/>
    <cellStyle name="Normal 95 6 2" xfId="7896"/>
    <cellStyle name="Normal 95 6 2 2" xfId="10762"/>
    <cellStyle name="Normal 95 6 3" xfId="9723"/>
    <cellStyle name="Normal 95 7" xfId="7897"/>
    <cellStyle name="Normal 95 7 2" xfId="7898"/>
    <cellStyle name="Normal 95 7 2 2" xfId="10763"/>
    <cellStyle name="Normal 95 7 3" xfId="9724"/>
    <cellStyle name="Normal 95 8" xfId="7899"/>
    <cellStyle name="Normal 95 8 2" xfId="7900"/>
    <cellStyle name="Normal 95 8 2 2" xfId="10764"/>
    <cellStyle name="Normal 95 8 3" xfId="9725"/>
    <cellStyle name="Normal 95 9" xfId="7901"/>
    <cellStyle name="Normal 95 9 2" xfId="7902"/>
    <cellStyle name="Normal 95 9 2 2" xfId="10765"/>
    <cellStyle name="Normal 95 9 3" xfId="9726"/>
    <cellStyle name="Normal 96" xfId="7903"/>
    <cellStyle name="Normal 96 10" xfId="7904"/>
    <cellStyle name="Normal 96 10 2" xfId="7905"/>
    <cellStyle name="Normal 96 10 2 2" xfId="10767"/>
    <cellStyle name="Normal 96 10 3" xfId="9728"/>
    <cellStyle name="Normal 96 11" xfId="7906"/>
    <cellStyle name="Normal 96 11 2" xfId="10766"/>
    <cellStyle name="Normal 96 12" xfId="7907"/>
    <cellStyle name="Normal 96 12 2" xfId="10982"/>
    <cellStyle name="Normal 96 13" xfId="9727"/>
    <cellStyle name="Normal 96 2" xfId="7908"/>
    <cellStyle name="Normal 96 2 2" xfId="7909"/>
    <cellStyle name="Normal 96 2 2 2" xfId="10768"/>
    <cellStyle name="Normal 96 2 3" xfId="9729"/>
    <cellStyle name="Normal 96 3" xfId="7910"/>
    <cellStyle name="Normal 96 3 2" xfId="7911"/>
    <cellStyle name="Normal 96 3 2 2" xfId="10769"/>
    <cellStyle name="Normal 96 3 3" xfId="9730"/>
    <cellStyle name="Normal 96 4" xfId="7912"/>
    <cellStyle name="Normal 96 4 2" xfId="7913"/>
    <cellStyle name="Normal 96 4 2 2" xfId="10770"/>
    <cellStyle name="Normal 96 4 3" xfId="9731"/>
    <cellStyle name="Normal 96 5" xfId="7914"/>
    <cellStyle name="Normal 96 5 2" xfId="7915"/>
    <cellStyle name="Normal 96 5 2 2" xfId="10771"/>
    <cellStyle name="Normal 96 5 3" xfId="9732"/>
    <cellStyle name="Normal 96 6" xfId="7916"/>
    <cellStyle name="Normal 96 6 2" xfId="7917"/>
    <cellStyle name="Normal 96 6 2 2" xfId="10772"/>
    <cellStyle name="Normal 96 6 3" xfId="9733"/>
    <cellStyle name="Normal 96 7" xfId="7918"/>
    <cellStyle name="Normal 96 7 2" xfId="7919"/>
    <cellStyle name="Normal 96 7 2 2" xfId="10773"/>
    <cellStyle name="Normal 96 7 3" xfId="9734"/>
    <cellStyle name="Normal 96 8" xfId="7920"/>
    <cellStyle name="Normal 96 8 2" xfId="7921"/>
    <cellStyle name="Normal 96 8 2 2" xfId="10774"/>
    <cellStyle name="Normal 96 8 3" xfId="9735"/>
    <cellStyle name="Normal 96 9" xfId="7922"/>
    <cellStyle name="Normal 96 9 2" xfId="7923"/>
    <cellStyle name="Normal 96 9 2 2" xfId="10775"/>
    <cellStyle name="Normal 96 9 3" xfId="9736"/>
    <cellStyle name="Normal 97" xfId="7924"/>
    <cellStyle name="Normal 97 2" xfId="7925"/>
    <cellStyle name="Normal 97 2 2" xfId="7926"/>
    <cellStyle name="Normal 97 2 2 2" xfId="10776"/>
    <cellStyle name="Normal 97 2 3" xfId="9737"/>
    <cellStyle name="Normal 97 3" xfId="7927"/>
    <cellStyle name="Normal 97 3 2" xfId="7928"/>
    <cellStyle name="Normal 97 3 2 2" xfId="10777"/>
    <cellStyle name="Normal 97 3 3" xfId="9738"/>
    <cellStyle name="Normal 97 4" xfId="7929"/>
    <cellStyle name="Normal 97 4 2" xfId="7930"/>
    <cellStyle name="Normal 97 4 2 2" xfId="10778"/>
    <cellStyle name="Normal 97 4 3" xfId="9739"/>
    <cellStyle name="Normal 97 5" xfId="7931"/>
    <cellStyle name="Normal 97 5 2" xfId="7932"/>
    <cellStyle name="Normal 97 5 2 2" xfId="10779"/>
    <cellStyle name="Normal 97 5 3" xfId="9740"/>
    <cellStyle name="Normal 97 6" xfId="10995"/>
    <cellStyle name="Normal 98" xfId="7933"/>
    <cellStyle name="Normal 98 2" xfId="7934"/>
    <cellStyle name="Normal 98 2 2" xfId="7935"/>
    <cellStyle name="Normal 98 2 2 2" xfId="10780"/>
    <cellStyle name="Normal 98 2 3" xfId="9741"/>
    <cellStyle name="Normal 98 3" xfId="7936"/>
    <cellStyle name="Normal 98 3 2" xfId="7937"/>
    <cellStyle name="Normal 98 3 2 2" xfId="10781"/>
    <cellStyle name="Normal 98 3 3" xfId="9742"/>
    <cellStyle name="Normal 98 4" xfId="7938"/>
    <cellStyle name="Normal 98 4 2" xfId="7939"/>
    <cellStyle name="Normal 98 4 2 2" xfId="10782"/>
    <cellStyle name="Normal 98 4 3" xfId="9743"/>
    <cellStyle name="Normal 98 5" xfId="7940"/>
    <cellStyle name="Normal 98 5 2" xfId="7941"/>
    <cellStyle name="Normal 98 5 2 2" xfId="10783"/>
    <cellStyle name="Normal 98 5 3" xfId="9744"/>
    <cellStyle name="Normal 98 6" xfId="11001"/>
    <cellStyle name="Normal 99" xfId="7942"/>
    <cellStyle name="Normal 99 2" xfId="7943"/>
    <cellStyle name="Normal 99 2 2" xfId="10784"/>
    <cellStyle name="Normal 99 3" xfId="7944"/>
    <cellStyle name="Normal 99 3 2" xfId="11013"/>
    <cellStyle name="Normal 99 4" xfId="9745"/>
    <cellStyle name="Note" xfId="100" builtinId="10" customBuiltin="1"/>
    <cellStyle name="Note 10" xfId="7946"/>
    <cellStyle name="Note 10 2" xfId="11052"/>
    <cellStyle name="Note 11" xfId="7947"/>
    <cellStyle name="Note 11 2" xfId="11065"/>
    <cellStyle name="Note 12" xfId="7948"/>
    <cellStyle name="Note 12 2" xfId="11078"/>
    <cellStyle name="Note 13" xfId="7949"/>
    <cellStyle name="Note 13 2" xfId="11091"/>
    <cellStyle name="Note 14" xfId="7950"/>
    <cellStyle name="Note 14 2" xfId="11104"/>
    <cellStyle name="Note 15" xfId="7951"/>
    <cellStyle name="Note 15 2" xfId="11117"/>
    <cellStyle name="Note 16" xfId="7952"/>
    <cellStyle name="Note 16 2" xfId="11130"/>
    <cellStyle name="Note 17" xfId="7953"/>
    <cellStyle name="Note 17 2" xfId="11143"/>
    <cellStyle name="Note 18" xfId="7954"/>
    <cellStyle name="Note 18 2" xfId="11156"/>
    <cellStyle name="Note 19" xfId="7955"/>
    <cellStyle name="Note 19 2" xfId="11169"/>
    <cellStyle name="Note 2" xfId="76"/>
    <cellStyle name="Note 2 2" xfId="7957"/>
    <cellStyle name="Note 2 2 2" xfId="10954"/>
    <cellStyle name="Note 2 3" xfId="7958"/>
    <cellStyle name="Note 2 3 2" xfId="10812"/>
    <cellStyle name="Note 2 4" xfId="7959"/>
    <cellStyle name="Note 2 5" xfId="7956"/>
    <cellStyle name="Note 2 6" xfId="9746"/>
    <cellStyle name="Note 20" xfId="7960"/>
    <cellStyle name="Note 20 2" xfId="11182"/>
    <cellStyle name="Note 21" xfId="7961"/>
    <cellStyle name="Note 21 2" xfId="11195"/>
    <cellStyle name="Note 22" xfId="7962"/>
    <cellStyle name="Note 22 2" xfId="11208"/>
    <cellStyle name="Note 23" xfId="7963"/>
    <cellStyle name="Note 23 2" xfId="11221"/>
    <cellStyle name="Note 24" xfId="7964"/>
    <cellStyle name="Note 24 2" xfId="11234"/>
    <cellStyle name="Note 25" xfId="7965"/>
    <cellStyle name="Note 25 2" xfId="11247"/>
    <cellStyle name="Note 26" xfId="7966"/>
    <cellStyle name="Note 26 2" xfId="11260"/>
    <cellStyle name="Note 27" xfId="7967"/>
    <cellStyle name="Note 27 2" xfId="11273"/>
    <cellStyle name="Note 28" xfId="7968"/>
    <cellStyle name="Note 28 2" xfId="11286"/>
    <cellStyle name="Note 29" xfId="7969"/>
    <cellStyle name="Note 29 2" xfId="11299"/>
    <cellStyle name="Note 3" xfId="77"/>
    <cellStyle name="Note 3 2" xfId="7971"/>
    <cellStyle name="Note 3 2 2" xfId="7972"/>
    <cellStyle name="Note 3 2 2 2" xfId="10967"/>
    <cellStyle name="Note 3 2 3" xfId="10785"/>
    <cellStyle name="Note 3 3" xfId="7973"/>
    <cellStyle name="Note 3 3 2" xfId="10873"/>
    <cellStyle name="Note 3 4" xfId="8359"/>
    <cellStyle name="Note 3 5" xfId="7970"/>
    <cellStyle name="Note 3 6" xfId="9747"/>
    <cellStyle name="Note 30" xfId="7974"/>
    <cellStyle name="Note 30 2" xfId="11312"/>
    <cellStyle name="Note 31" xfId="7975"/>
    <cellStyle name="Note 31 2" xfId="11325"/>
    <cellStyle name="Note 32" xfId="7976"/>
    <cellStyle name="Note 32 2" xfId="11338"/>
    <cellStyle name="Note 33" xfId="7977"/>
    <cellStyle name="Note 33 2" xfId="11351"/>
    <cellStyle name="Note 34" xfId="7978"/>
    <cellStyle name="Note 34 2" xfId="11364"/>
    <cellStyle name="Note 35" xfId="7979"/>
    <cellStyle name="Note 35 2" xfId="11377"/>
    <cellStyle name="Note 36" xfId="7980"/>
    <cellStyle name="Note 36 2" xfId="11390"/>
    <cellStyle name="Note 37" xfId="7981"/>
    <cellStyle name="Note 37 2" xfId="11403"/>
    <cellStyle name="Note 38" xfId="7982"/>
    <cellStyle name="Note 38 2" xfId="11416"/>
    <cellStyle name="Note 39" xfId="7983"/>
    <cellStyle name="Note 39 2" xfId="11429"/>
    <cellStyle name="Note 4" xfId="128"/>
    <cellStyle name="Note 4 2" xfId="7985"/>
    <cellStyle name="Note 4 2 2" xfId="10786"/>
    <cellStyle name="Note 4 3" xfId="7986"/>
    <cellStyle name="Note 4 3 2" xfId="10980"/>
    <cellStyle name="Note 4 4" xfId="8350"/>
    <cellStyle name="Note 4 5" xfId="7984"/>
    <cellStyle name="Note 4 6" xfId="9748"/>
    <cellStyle name="Note 40" xfId="7987"/>
    <cellStyle name="Note 40 2" xfId="11442"/>
    <cellStyle name="Note 41" xfId="7988"/>
    <cellStyle name="Note 41 2" xfId="11455"/>
    <cellStyle name="Note 42" xfId="7989"/>
    <cellStyle name="Note 42 2" xfId="11468"/>
    <cellStyle name="Note 43" xfId="7990"/>
    <cellStyle name="Note 43 2" xfId="11481"/>
    <cellStyle name="Note 44" xfId="7991"/>
    <cellStyle name="Note 44 2" xfId="11493"/>
    <cellStyle name="Note 45" xfId="7992"/>
    <cellStyle name="Note 45 2" xfId="11507"/>
    <cellStyle name="Note 46" xfId="7993"/>
    <cellStyle name="Note 46 2" xfId="11520"/>
    <cellStyle name="Note 47" xfId="7994"/>
    <cellStyle name="Note 47 2" xfId="11533"/>
    <cellStyle name="Note 48" xfId="7995"/>
    <cellStyle name="Note 48 2" xfId="11546"/>
    <cellStyle name="Note 49" xfId="7996"/>
    <cellStyle name="Note 49 2" xfId="11559"/>
    <cellStyle name="Note 5" xfId="7997"/>
    <cellStyle name="Note 5 2" xfId="7998"/>
    <cellStyle name="Note 5 2 2" xfId="10787"/>
    <cellStyle name="Note 5 3" xfId="7999"/>
    <cellStyle name="Note 5 3 2" xfId="10993"/>
    <cellStyle name="Note 5 4" xfId="9749"/>
    <cellStyle name="Note 50" xfId="8000"/>
    <cellStyle name="Note 50 2" xfId="11572"/>
    <cellStyle name="Note 51" xfId="8001"/>
    <cellStyle name="Note 51 2" xfId="11585"/>
    <cellStyle name="Note 52" xfId="8002"/>
    <cellStyle name="Note 52 2" xfId="11598"/>
    <cellStyle name="Note 53" xfId="8003"/>
    <cellStyle name="Note 53 2" xfId="11611"/>
    <cellStyle name="Note 54" xfId="8004"/>
    <cellStyle name="Note 54 2" xfId="11624"/>
    <cellStyle name="Note 55" xfId="8005"/>
    <cellStyle name="Note 55 2" xfId="11637"/>
    <cellStyle name="Note 56" xfId="8006"/>
    <cellStyle name="Note 56 2" xfId="11650"/>
    <cellStyle name="Note 57" xfId="8007"/>
    <cellStyle name="Note 57 2" xfId="11662"/>
    <cellStyle name="Note 58" xfId="8008"/>
    <cellStyle name="Note 58 2" xfId="11676"/>
    <cellStyle name="Note 59" xfId="8009"/>
    <cellStyle name="Note 59 2" xfId="11689"/>
    <cellStyle name="Note 6" xfId="8010"/>
    <cellStyle name="Note 6 2" xfId="8011"/>
    <cellStyle name="Note 6 2 2" xfId="10788"/>
    <cellStyle name="Note 6 3" xfId="8012"/>
    <cellStyle name="Note 6 3 2" xfId="11000"/>
    <cellStyle name="Note 6 4" xfId="9750"/>
    <cellStyle name="Note 60" xfId="8013"/>
    <cellStyle name="Note 60 2" xfId="11702"/>
    <cellStyle name="Note 61" xfId="8014"/>
    <cellStyle name="Note 61 2" xfId="11715"/>
    <cellStyle name="Note 62" xfId="8015"/>
    <cellStyle name="Note 62 2" xfId="11728"/>
    <cellStyle name="Note 63" xfId="8016"/>
    <cellStyle name="Note 63 2" xfId="11741"/>
    <cellStyle name="Note 64" xfId="8017"/>
    <cellStyle name="Note 64 2" xfId="11754"/>
    <cellStyle name="Note 65" xfId="8018"/>
    <cellStyle name="Note 65 2" xfId="11767"/>
    <cellStyle name="Note 66" xfId="8019"/>
    <cellStyle name="Note 66 2" xfId="11780"/>
    <cellStyle name="Note 67" xfId="8020"/>
    <cellStyle name="Note 67 2" xfId="11793"/>
    <cellStyle name="Note 68" xfId="8021"/>
    <cellStyle name="Note 68 2" xfId="11806"/>
    <cellStyle name="Note 69" xfId="8022"/>
    <cellStyle name="Note 69 2" xfId="11819"/>
    <cellStyle name="Note 7" xfId="8023"/>
    <cellStyle name="Note 7 2" xfId="8024"/>
    <cellStyle name="Note 7 2 2" xfId="11011"/>
    <cellStyle name="Note 7 3" xfId="9778"/>
    <cellStyle name="Note 70" xfId="8025"/>
    <cellStyle name="Note 70 2" xfId="11832"/>
    <cellStyle name="Note 71" xfId="8026"/>
    <cellStyle name="Note 71 2" xfId="11844"/>
    <cellStyle name="Note 72" xfId="8027"/>
    <cellStyle name="Note 72 2" xfId="11858"/>
    <cellStyle name="Note 73" xfId="8028"/>
    <cellStyle name="Note 73 2" xfId="11871"/>
    <cellStyle name="Note 74" xfId="8029"/>
    <cellStyle name="Note 74 2" xfId="11884"/>
    <cellStyle name="Note 75" xfId="8030"/>
    <cellStyle name="Note 75 2" xfId="11897"/>
    <cellStyle name="Note 76" xfId="8031"/>
    <cellStyle name="Note 76 2" xfId="11910"/>
    <cellStyle name="Note 77" xfId="8032"/>
    <cellStyle name="Note 77 2" xfId="11923"/>
    <cellStyle name="Note 78" xfId="8033"/>
    <cellStyle name="Note 78 2" xfId="11936"/>
    <cellStyle name="Note 79" xfId="8034"/>
    <cellStyle name="Note 79 2" xfId="11950"/>
    <cellStyle name="Note 8" xfId="8035"/>
    <cellStyle name="Note 8 2" xfId="11024"/>
    <cellStyle name="Note 80" xfId="8036"/>
    <cellStyle name="Note 80 2" xfId="11964"/>
    <cellStyle name="Note 81" xfId="8037"/>
    <cellStyle name="Note 81 2" xfId="11978"/>
    <cellStyle name="Note 82" xfId="8038"/>
    <cellStyle name="Note 82 2" xfId="11992"/>
    <cellStyle name="Note 83" xfId="8039"/>
    <cellStyle name="Note 83 2" xfId="12006"/>
    <cellStyle name="Note 84" xfId="8040"/>
    <cellStyle name="Note 84 2" xfId="12019"/>
    <cellStyle name="Note 85" xfId="7945"/>
    <cellStyle name="Note 85 2" xfId="12108"/>
    <cellStyle name="Note 9" xfId="8041"/>
    <cellStyle name="Note 9 2" xfId="11038"/>
    <cellStyle name="Output" xfId="95" builtinId="21" customBuiltin="1"/>
    <cellStyle name="Output 10" xfId="8043"/>
    <cellStyle name="Output 10 2" xfId="11049"/>
    <cellStyle name="Output 11" xfId="8044"/>
    <cellStyle name="Output 11 2" xfId="11062"/>
    <cellStyle name="Output 12" xfId="8045"/>
    <cellStyle name="Output 12 2" xfId="11075"/>
    <cellStyle name="Output 13" xfId="8046"/>
    <cellStyle name="Output 13 2" xfId="11088"/>
    <cellStyle name="Output 14" xfId="8047"/>
    <cellStyle name="Output 14 2" xfId="11101"/>
    <cellStyle name="Output 15" xfId="8048"/>
    <cellStyle name="Output 15 2" xfId="11114"/>
    <cellStyle name="Output 16" xfId="8049"/>
    <cellStyle name="Output 16 2" xfId="11127"/>
    <cellStyle name="Output 17" xfId="8050"/>
    <cellStyle name="Output 17 2" xfId="11140"/>
    <cellStyle name="Output 18" xfId="8051"/>
    <cellStyle name="Output 18 2" xfId="11153"/>
    <cellStyle name="Output 19" xfId="8052"/>
    <cellStyle name="Output 19 2" xfId="11166"/>
    <cellStyle name="Output 2" xfId="78"/>
    <cellStyle name="Output 2 2" xfId="8054"/>
    <cellStyle name="Output 2 2 2" xfId="10951"/>
    <cellStyle name="Output 2 3" xfId="8055"/>
    <cellStyle name="Output 2 3 2" xfId="10809"/>
    <cellStyle name="Output 2 4" xfId="8358"/>
    <cellStyle name="Output 2 5" xfId="8053"/>
    <cellStyle name="Output 2 6" xfId="9751"/>
    <cellStyle name="Output 20" xfId="8056"/>
    <cellStyle name="Output 20 2" xfId="11179"/>
    <cellStyle name="Output 21" xfId="8057"/>
    <cellStyle name="Output 21 2" xfId="11192"/>
    <cellStyle name="Output 22" xfId="8058"/>
    <cellStyle name="Output 22 2" xfId="11205"/>
    <cellStyle name="Output 23" xfId="8059"/>
    <cellStyle name="Output 23 2" xfId="11218"/>
    <cellStyle name="Output 24" xfId="8060"/>
    <cellStyle name="Output 24 2" xfId="11231"/>
    <cellStyle name="Output 25" xfId="8061"/>
    <cellStyle name="Output 25 2" xfId="11244"/>
    <cellStyle name="Output 26" xfId="8062"/>
    <cellStyle name="Output 26 2" xfId="11257"/>
    <cellStyle name="Output 27" xfId="8063"/>
    <cellStyle name="Output 27 2" xfId="11270"/>
    <cellStyle name="Output 28" xfId="8064"/>
    <cellStyle name="Output 28 2" xfId="11283"/>
    <cellStyle name="Output 29" xfId="8065"/>
    <cellStyle name="Output 29 2" xfId="11296"/>
    <cellStyle name="Output 3" xfId="79"/>
    <cellStyle name="Output 3 2" xfId="8067"/>
    <cellStyle name="Output 3 2 2" xfId="10964"/>
    <cellStyle name="Output 3 3" xfId="8068"/>
    <cellStyle name="Output 3 3 2" xfId="10870"/>
    <cellStyle name="Output 3 4" xfId="8357"/>
    <cellStyle name="Output 3 5" xfId="8066"/>
    <cellStyle name="Output 3 6" xfId="9752"/>
    <cellStyle name="Output 30" xfId="8069"/>
    <cellStyle name="Output 30 2" xfId="11309"/>
    <cellStyle name="Output 31" xfId="8070"/>
    <cellStyle name="Output 31 2" xfId="11322"/>
    <cellStyle name="Output 32" xfId="8071"/>
    <cellStyle name="Output 32 2" xfId="11335"/>
    <cellStyle name="Output 33" xfId="8072"/>
    <cellStyle name="Output 33 2" xfId="11348"/>
    <cellStyle name="Output 34" xfId="8073"/>
    <cellStyle name="Output 34 2" xfId="11361"/>
    <cellStyle name="Output 35" xfId="8074"/>
    <cellStyle name="Output 35 2" xfId="11374"/>
    <cellStyle name="Output 36" xfId="8075"/>
    <cellStyle name="Output 36 2" xfId="11387"/>
    <cellStyle name="Output 37" xfId="8076"/>
    <cellStyle name="Output 37 2" xfId="11400"/>
    <cellStyle name="Output 38" xfId="8077"/>
    <cellStyle name="Output 38 2" xfId="11413"/>
    <cellStyle name="Output 39" xfId="8078"/>
    <cellStyle name="Output 39 2" xfId="11426"/>
    <cellStyle name="Output 4" xfId="8079"/>
    <cellStyle name="Output 4 2" xfId="8080"/>
    <cellStyle name="Output 4 2 2" xfId="10977"/>
    <cellStyle name="Output 4 3" xfId="9753"/>
    <cellStyle name="Output 40" xfId="8081"/>
    <cellStyle name="Output 40 2" xfId="11439"/>
    <cellStyle name="Output 41" xfId="8082"/>
    <cellStyle name="Output 41 2" xfId="11452"/>
    <cellStyle name="Output 42" xfId="8083"/>
    <cellStyle name="Output 42 2" xfId="11465"/>
    <cellStyle name="Output 43" xfId="8084"/>
    <cellStyle name="Output 43 2" xfId="11478"/>
    <cellStyle name="Output 44" xfId="8085"/>
    <cellStyle name="Output 44 2" xfId="11490"/>
    <cellStyle name="Output 45" xfId="8086"/>
    <cellStyle name="Output 45 2" xfId="11504"/>
    <cellStyle name="Output 46" xfId="8087"/>
    <cellStyle name="Output 46 2" xfId="11517"/>
    <cellStyle name="Output 47" xfId="8088"/>
    <cellStyle name="Output 47 2" xfId="11530"/>
    <cellStyle name="Output 48" xfId="8089"/>
    <cellStyle name="Output 48 2" xfId="11543"/>
    <cellStyle name="Output 49" xfId="8090"/>
    <cellStyle name="Output 49 2" xfId="11556"/>
    <cellStyle name="Output 5" xfId="8091"/>
    <cellStyle name="Output 5 2" xfId="8092"/>
    <cellStyle name="Output 5 2 2" xfId="10990"/>
    <cellStyle name="Output 5 3" xfId="9754"/>
    <cellStyle name="Output 50" xfId="8093"/>
    <cellStyle name="Output 50 2" xfId="11569"/>
    <cellStyle name="Output 51" xfId="8094"/>
    <cellStyle name="Output 51 2" xfId="11582"/>
    <cellStyle name="Output 52" xfId="8095"/>
    <cellStyle name="Output 52 2" xfId="11595"/>
    <cellStyle name="Output 53" xfId="8096"/>
    <cellStyle name="Output 53 2" xfId="11608"/>
    <cellStyle name="Output 54" xfId="8097"/>
    <cellStyle name="Output 54 2" xfId="11621"/>
    <cellStyle name="Output 55" xfId="8098"/>
    <cellStyle name="Output 55 2" xfId="11634"/>
    <cellStyle name="Output 56" xfId="8099"/>
    <cellStyle name="Output 56 2" xfId="11647"/>
    <cellStyle name="Output 57" xfId="8100"/>
    <cellStyle name="Output 57 2" xfId="11659"/>
    <cellStyle name="Output 58" xfId="8101"/>
    <cellStyle name="Output 58 2" xfId="11673"/>
    <cellStyle name="Output 59" xfId="8102"/>
    <cellStyle name="Output 59 2" xfId="11686"/>
    <cellStyle name="Output 6" xfId="8103"/>
    <cellStyle name="Output 6 2" xfId="9768"/>
    <cellStyle name="Output 60" xfId="8104"/>
    <cellStyle name="Output 60 2" xfId="11699"/>
    <cellStyle name="Output 61" xfId="8105"/>
    <cellStyle name="Output 61 2" xfId="11712"/>
    <cellStyle name="Output 62" xfId="8106"/>
    <cellStyle name="Output 62 2" xfId="11725"/>
    <cellStyle name="Output 63" xfId="8107"/>
    <cellStyle name="Output 63 2" xfId="11738"/>
    <cellStyle name="Output 64" xfId="8108"/>
    <cellStyle name="Output 64 2" xfId="11751"/>
    <cellStyle name="Output 65" xfId="8109"/>
    <cellStyle name="Output 65 2" xfId="11764"/>
    <cellStyle name="Output 66" xfId="8110"/>
    <cellStyle name="Output 66 2" xfId="11777"/>
    <cellStyle name="Output 67" xfId="8111"/>
    <cellStyle name="Output 67 2" xfId="11790"/>
    <cellStyle name="Output 68" xfId="8112"/>
    <cellStyle name="Output 68 2" xfId="11803"/>
    <cellStyle name="Output 69" xfId="8113"/>
    <cellStyle name="Output 69 2" xfId="11816"/>
    <cellStyle name="Output 7" xfId="8114"/>
    <cellStyle name="Output 7 2" xfId="11008"/>
    <cellStyle name="Output 70" xfId="8115"/>
    <cellStyle name="Output 70 2" xfId="11829"/>
    <cellStyle name="Output 71" xfId="8116"/>
    <cellStyle name="Output 71 2" xfId="11841"/>
    <cellStyle name="Output 72" xfId="8117"/>
    <cellStyle name="Output 72 2" xfId="11855"/>
    <cellStyle name="Output 73" xfId="8118"/>
    <cellStyle name="Output 73 2" xfId="11868"/>
    <cellStyle name="Output 74" xfId="8119"/>
    <cellStyle name="Output 74 2" xfId="11881"/>
    <cellStyle name="Output 75" xfId="8120"/>
    <cellStyle name="Output 75 2" xfId="11894"/>
    <cellStyle name="Output 76" xfId="8121"/>
    <cellStyle name="Output 76 2" xfId="11907"/>
    <cellStyle name="Output 77" xfId="8122"/>
    <cellStyle name="Output 77 2" xfId="11920"/>
    <cellStyle name="Output 78" xfId="8123"/>
    <cellStyle name="Output 78 2" xfId="11933"/>
    <cellStyle name="Output 79" xfId="8124"/>
    <cellStyle name="Output 79 2" xfId="11947"/>
    <cellStyle name="Output 8" xfId="8125"/>
    <cellStyle name="Output 8 2" xfId="11021"/>
    <cellStyle name="Output 80" xfId="8126"/>
    <cellStyle name="Output 80 2" xfId="11961"/>
    <cellStyle name="Output 81" xfId="8127"/>
    <cellStyle name="Output 81 2" xfId="11975"/>
    <cellStyle name="Output 82" xfId="8128"/>
    <cellStyle name="Output 82 2" xfId="11989"/>
    <cellStyle name="Output 83" xfId="8129"/>
    <cellStyle name="Output 83 2" xfId="12003"/>
    <cellStyle name="Output 84" xfId="8130"/>
    <cellStyle name="Output 84 2" xfId="12016"/>
    <cellStyle name="Output 85" xfId="8042"/>
    <cellStyle name="Output 85 2" xfId="12105"/>
    <cellStyle name="Output 9" xfId="8131"/>
    <cellStyle name="Output 9 2" xfId="11035"/>
    <cellStyle name="Percent 2" xfId="267"/>
    <cellStyle name="Percent 2 2" xfId="8132"/>
    <cellStyle name="Percent 3" xfId="8133"/>
    <cellStyle name="PSChar" xfId="308"/>
    <cellStyle name="PSChar 2" xfId="8134"/>
    <cellStyle name="PSHeading" xfId="309"/>
    <cellStyle name="PSHeading 2" xfId="8135"/>
    <cellStyle name="Standard_Tabelle1" xfId="8136"/>
    <cellStyle name="Style 1" xfId="8137"/>
    <cellStyle name="Style 1 2" xfId="9755"/>
    <cellStyle name="Title" xfId="86" builtinId="15" customBuiltin="1"/>
    <cellStyle name="Title 2" xfId="80"/>
    <cellStyle name="Title 2 2" xfId="8140"/>
    <cellStyle name="Title 2 2 2" xfId="10801"/>
    <cellStyle name="Title 2 3" xfId="8356"/>
    <cellStyle name="Title 2 4" xfId="8139"/>
    <cellStyle name="Title 2 5" xfId="10789"/>
    <cellStyle name="Title 3" xfId="81"/>
    <cellStyle name="Title 3 2" xfId="8355"/>
    <cellStyle name="Title 3 3" xfId="8141"/>
    <cellStyle name="Title 3 4" xfId="9773"/>
    <cellStyle name="Title 4" xfId="8142"/>
    <cellStyle name="Title 4 2" xfId="9756"/>
    <cellStyle name="Title 5" xfId="8138"/>
    <cellStyle name="Title 5 2" xfId="12097"/>
    <cellStyle name="Total" xfId="102" builtinId="25" customBuiltin="1"/>
    <cellStyle name="Total 10" xfId="8144"/>
    <cellStyle name="Total 10 2" xfId="11053"/>
    <cellStyle name="Total 11" xfId="8145"/>
    <cellStyle name="Total 11 2" xfId="11066"/>
    <cellStyle name="Total 12" xfId="8146"/>
    <cellStyle name="Total 12 2" xfId="11079"/>
    <cellStyle name="Total 13" xfId="8147"/>
    <cellStyle name="Total 13 2" xfId="11092"/>
    <cellStyle name="Total 14" xfId="8148"/>
    <cellStyle name="Total 14 2" xfId="11105"/>
    <cellStyle name="Total 15" xfId="8149"/>
    <cellStyle name="Total 15 2" xfId="11118"/>
    <cellStyle name="Total 16" xfId="8150"/>
    <cellStyle name="Total 16 2" xfId="11131"/>
    <cellStyle name="Total 17" xfId="8151"/>
    <cellStyle name="Total 17 2" xfId="11144"/>
    <cellStyle name="Total 18" xfId="8152"/>
    <cellStyle name="Total 18 2" xfId="11157"/>
    <cellStyle name="Total 19" xfId="8153"/>
    <cellStyle name="Total 19 2" xfId="11170"/>
    <cellStyle name="Total 2" xfId="82"/>
    <cellStyle name="Total 2 2" xfId="8155"/>
    <cellStyle name="Total 2 2 2" xfId="10955"/>
    <cellStyle name="Total 2 3" xfId="8156"/>
    <cellStyle name="Total 2 3 2" xfId="10813"/>
    <cellStyle name="Total 2 4" xfId="8354"/>
    <cellStyle name="Total 2 5" xfId="8154"/>
    <cellStyle name="Total 2 6" xfId="9757"/>
    <cellStyle name="Total 20" xfId="8157"/>
    <cellStyle name="Total 20 2" xfId="11183"/>
    <cellStyle name="Total 21" xfId="8158"/>
    <cellStyle name="Total 21 2" xfId="11196"/>
    <cellStyle name="Total 22" xfId="8159"/>
    <cellStyle name="Total 22 2" xfId="11209"/>
    <cellStyle name="Total 23" xfId="8160"/>
    <cellStyle name="Total 23 2" xfId="11222"/>
    <cellStyle name="Total 24" xfId="8161"/>
    <cellStyle name="Total 24 2" xfId="11235"/>
    <cellStyle name="Total 25" xfId="8162"/>
    <cellStyle name="Total 25 2" xfId="11248"/>
    <cellStyle name="Total 26" xfId="8163"/>
    <cellStyle name="Total 26 2" xfId="11261"/>
    <cellStyle name="Total 27" xfId="8164"/>
    <cellStyle name="Total 27 2" xfId="11274"/>
    <cellStyle name="Total 28" xfId="8165"/>
    <cellStyle name="Total 28 2" xfId="11287"/>
    <cellStyle name="Total 29" xfId="8166"/>
    <cellStyle name="Total 29 2" xfId="11300"/>
    <cellStyle name="Total 3" xfId="83"/>
    <cellStyle name="Total 3 2" xfId="8168"/>
    <cellStyle name="Total 3 2 2" xfId="10968"/>
    <cellStyle name="Total 3 3" xfId="8169"/>
    <cellStyle name="Total 3 3 2" xfId="10874"/>
    <cellStyle name="Total 3 4" xfId="8353"/>
    <cellStyle name="Total 3 5" xfId="8167"/>
    <cellStyle name="Total 3 6" xfId="9758"/>
    <cellStyle name="Total 30" xfId="8170"/>
    <cellStyle name="Total 30 2" xfId="11313"/>
    <cellStyle name="Total 31" xfId="8171"/>
    <cellStyle name="Total 31 2" xfId="11326"/>
    <cellStyle name="Total 32" xfId="8172"/>
    <cellStyle name="Total 32 2" xfId="11339"/>
    <cellStyle name="Total 33" xfId="8173"/>
    <cellStyle name="Total 33 2" xfId="11352"/>
    <cellStyle name="Total 34" xfId="8174"/>
    <cellStyle name="Total 34 2" xfId="11365"/>
    <cellStyle name="Total 35" xfId="8175"/>
    <cellStyle name="Total 35 2" xfId="11378"/>
    <cellStyle name="Total 36" xfId="8176"/>
    <cellStyle name="Total 36 2" xfId="11391"/>
    <cellStyle name="Total 37" xfId="8177"/>
    <cellStyle name="Total 37 2" xfId="11404"/>
    <cellStyle name="Total 38" xfId="8178"/>
    <cellStyle name="Total 38 2" xfId="11417"/>
    <cellStyle name="Total 39" xfId="8179"/>
    <cellStyle name="Total 39 2" xfId="11430"/>
    <cellStyle name="Total 4" xfId="8180"/>
    <cellStyle name="Total 4 2" xfId="8181"/>
    <cellStyle name="Total 4 2 2" xfId="10981"/>
    <cellStyle name="Total 4 3" xfId="9759"/>
    <cellStyle name="Total 40" xfId="8182"/>
    <cellStyle name="Total 40 2" xfId="11443"/>
    <cellStyle name="Total 41" xfId="8183"/>
    <cellStyle name="Total 41 2" xfId="11456"/>
    <cellStyle name="Total 42" xfId="8184"/>
    <cellStyle name="Total 42 2" xfId="11469"/>
    <cellStyle name="Total 43" xfId="8185"/>
    <cellStyle name="Total 43 2" xfId="11482"/>
    <cellStyle name="Total 44" xfId="8186"/>
    <cellStyle name="Total 44 2" xfId="11494"/>
    <cellStyle name="Total 45" xfId="8187"/>
    <cellStyle name="Total 45 2" xfId="11508"/>
    <cellStyle name="Total 46" xfId="8188"/>
    <cellStyle name="Total 46 2" xfId="11521"/>
    <cellStyle name="Total 47" xfId="8189"/>
    <cellStyle name="Total 47 2" xfId="11534"/>
    <cellStyle name="Total 48" xfId="8190"/>
    <cellStyle name="Total 48 2" xfId="11547"/>
    <cellStyle name="Total 49" xfId="8191"/>
    <cellStyle name="Total 49 2" xfId="11560"/>
    <cellStyle name="Total 5" xfId="8192"/>
    <cellStyle name="Total 5 2" xfId="8193"/>
    <cellStyle name="Total 5 2 2" xfId="10994"/>
    <cellStyle name="Total 5 3" xfId="9760"/>
    <cellStyle name="Total 50" xfId="8194"/>
    <cellStyle name="Total 50 2" xfId="11573"/>
    <cellStyle name="Total 51" xfId="8195"/>
    <cellStyle name="Total 51 2" xfId="11586"/>
    <cellStyle name="Total 52" xfId="8196"/>
    <cellStyle name="Total 52 2" xfId="11599"/>
    <cellStyle name="Total 53" xfId="8197"/>
    <cellStyle name="Total 53 2" xfId="11612"/>
    <cellStyle name="Total 54" xfId="8198"/>
    <cellStyle name="Total 54 2" xfId="11625"/>
    <cellStyle name="Total 55" xfId="8199"/>
    <cellStyle name="Total 55 2" xfId="11638"/>
    <cellStyle name="Total 56" xfId="8200"/>
    <cellStyle name="Total 56 2" xfId="11651"/>
    <cellStyle name="Total 57" xfId="8201"/>
    <cellStyle name="Total 57 2" xfId="11663"/>
    <cellStyle name="Total 58" xfId="8202"/>
    <cellStyle name="Total 58 2" xfId="11677"/>
    <cellStyle name="Total 59" xfId="8203"/>
    <cellStyle name="Total 59 2" xfId="11690"/>
    <cellStyle name="Total 6" xfId="8204"/>
    <cellStyle name="Total 6 2" xfId="9771"/>
    <cellStyle name="Total 60" xfId="8205"/>
    <cellStyle name="Total 60 2" xfId="11703"/>
    <cellStyle name="Total 61" xfId="8206"/>
    <cellStyle name="Total 61 2" xfId="11716"/>
    <cellStyle name="Total 62" xfId="8207"/>
    <cellStyle name="Total 62 2" xfId="11729"/>
    <cellStyle name="Total 63" xfId="8208"/>
    <cellStyle name="Total 63 2" xfId="11742"/>
    <cellStyle name="Total 64" xfId="8209"/>
    <cellStyle name="Total 64 2" xfId="11755"/>
    <cellStyle name="Total 65" xfId="8210"/>
    <cellStyle name="Total 65 2" xfId="11768"/>
    <cellStyle name="Total 66" xfId="8211"/>
    <cellStyle name="Total 66 2" xfId="11781"/>
    <cellStyle name="Total 67" xfId="8212"/>
    <cellStyle name="Total 67 2" xfId="11794"/>
    <cellStyle name="Total 68" xfId="8213"/>
    <cellStyle name="Total 68 2" xfId="11807"/>
    <cellStyle name="Total 69" xfId="8214"/>
    <cellStyle name="Total 69 2" xfId="11820"/>
    <cellStyle name="Total 7" xfId="8215"/>
    <cellStyle name="Total 7 2" xfId="11012"/>
    <cellStyle name="Total 70" xfId="8216"/>
    <cellStyle name="Total 70 2" xfId="11833"/>
    <cellStyle name="Total 71" xfId="8217"/>
    <cellStyle name="Total 71 2" xfId="11845"/>
    <cellStyle name="Total 72" xfId="8218"/>
    <cellStyle name="Total 72 2" xfId="11859"/>
    <cellStyle name="Total 73" xfId="8219"/>
    <cellStyle name="Total 73 2" xfId="11872"/>
    <cellStyle name="Total 74" xfId="8220"/>
    <cellStyle name="Total 74 2" xfId="11885"/>
    <cellStyle name="Total 75" xfId="8221"/>
    <cellStyle name="Total 75 2" xfId="11898"/>
    <cellStyle name="Total 76" xfId="8222"/>
    <cellStyle name="Total 76 2" xfId="11911"/>
    <cellStyle name="Total 77" xfId="8223"/>
    <cellStyle name="Total 77 2" xfId="11924"/>
    <cellStyle name="Total 78" xfId="8224"/>
    <cellStyle name="Total 78 2" xfId="11938"/>
    <cellStyle name="Total 79" xfId="8225"/>
    <cellStyle name="Total 79 2" xfId="11952"/>
    <cellStyle name="Total 8" xfId="8226"/>
    <cellStyle name="Total 8 2" xfId="11026"/>
    <cellStyle name="Total 80" xfId="8227"/>
    <cellStyle name="Total 80 2" xfId="11966"/>
    <cellStyle name="Total 81" xfId="8228"/>
    <cellStyle name="Total 81 2" xfId="11980"/>
    <cellStyle name="Total 82" xfId="8229"/>
    <cellStyle name="Total 82 2" xfId="11994"/>
    <cellStyle name="Total 83" xfId="8230"/>
    <cellStyle name="Total 83 2" xfId="12008"/>
    <cellStyle name="Total 84" xfId="8231"/>
    <cellStyle name="Total 84 2" xfId="12021"/>
    <cellStyle name="Total 85" xfId="8143"/>
    <cellStyle name="Total 85 2" xfId="12109"/>
    <cellStyle name="Total 9" xfId="8232"/>
    <cellStyle name="Total 9 2" xfId="11040"/>
    <cellStyle name="Warning Text" xfId="99" builtinId="11" customBuiltin="1"/>
    <cellStyle name="Warning Text 10" xfId="8234"/>
    <cellStyle name="Warning Text 10 2" xfId="11051"/>
    <cellStyle name="Warning Text 11" xfId="8235"/>
    <cellStyle name="Warning Text 11 2" xfId="11064"/>
    <cellStyle name="Warning Text 12" xfId="8236"/>
    <cellStyle name="Warning Text 12 2" xfId="11077"/>
    <cellStyle name="Warning Text 13" xfId="8237"/>
    <cellStyle name="Warning Text 13 2" xfId="11090"/>
    <cellStyle name="Warning Text 14" xfId="8238"/>
    <cellStyle name="Warning Text 14 2" xfId="11103"/>
    <cellStyle name="Warning Text 15" xfId="8239"/>
    <cellStyle name="Warning Text 15 2" xfId="11116"/>
    <cellStyle name="Warning Text 16" xfId="8240"/>
    <cellStyle name="Warning Text 16 2" xfId="11129"/>
    <cellStyle name="Warning Text 17" xfId="8241"/>
    <cellStyle name="Warning Text 17 2" xfId="11142"/>
    <cellStyle name="Warning Text 18" xfId="8242"/>
    <cellStyle name="Warning Text 18 2" xfId="11155"/>
    <cellStyle name="Warning Text 19" xfId="8243"/>
    <cellStyle name="Warning Text 19 2" xfId="11168"/>
    <cellStyle name="Warning Text 2" xfId="84"/>
    <cellStyle name="Warning Text 2 2" xfId="8245"/>
    <cellStyle name="Warning Text 2 2 2" xfId="10953"/>
    <cellStyle name="Warning Text 2 3" xfId="8246"/>
    <cellStyle name="Warning Text 2 3 2" xfId="10811"/>
    <cellStyle name="Warning Text 2 4" xfId="8352"/>
    <cellStyle name="Warning Text 2 5" xfId="8244"/>
    <cellStyle name="Warning Text 2 6" xfId="9761"/>
    <cellStyle name="Warning Text 20" xfId="8247"/>
    <cellStyle name="Warning Text 20 2" xfId="11181"/>
    <cellStyle name="Warning Text 21" xfId="8248"/>
    <cellStyle name="Warning Text 21 2" xfId="11194"/>
    <cellStyle name="Warning Text 22" xfId="8249"/>
    <cellStyle name="Warning Text 22 2" xfId="11207"/>
    <cellStyle name="Warning Text 23" xfId="8250"/>
    <cellStyle name="Warning Text 23 2" xfId="11220"/>
    <cellStyle name="Warning Text 24" xfId="8251"/>
    <cellStyle name="Warning Text 24 2" xfId="11233"/>
    <cellStyle name="Warning Text 25" xfId="8252"/>
    <cellStyle name="Warning Text 25 2" xfId="11246"/>
    <cellStyle name="Warning Text 26" xfId="8253"/>
    <cellStyle name="Warning Text 26 2" xfId="11259"/>
    <cellStyle name="Warning Text 27" xfId="8254"/>
    <cellStyle name="Warning Text 27 2" xfId="11272"/>
    <cellStyle name="Warning Text 28" xfId="8255"/>
    <cellStyle name="Warning Text 28 2" xfId="11285"/>
    <cellStyle name="Warning Text 29" xfId="8256"/>
    <cellStyle name="Warning Text 29 2" xfId="11298"/>
    <cellStyle name="Warning Text 3" xfId="85"/>
    <cellStyle name="Warning Text 3 2" xfId="8258"/>
    <cellStyle name="Warning Text 3 2 2" xfId="10966"/>
    <cellStyle name="Warning Text 3 3" xfId="8259"/>
    <cellStyle name="Warning Text 3 3 2" xfId="10872"/>
    <cellStyle name="Warning Text 3 4" xfId="8351"/>
    <cellStyle name="Warning Text 3 5" xfId="8257"/>
    <cellStyle name="Warning Text 3 6" xfId="9762"/>
    <cellStyle name="Warning Text 30" xfId="8260"/>
    <cellStyle name="Warning Text 30 2" xfId="11311"/>
    <cellStyle name="Warning Text 31" xfId="8261"/>
    <cellStyle name="Warning Text 31 2" xfId="11324"/>
    <cellStyle name="Warning Text 32" xfId="8262"/>
    <cellStyle name="Warning Text 32 2" xfId="11337"/>
    <cellStyle name="Warning Text 33" xfId="8263"/>
    <cellStyle name="Warning Text 33 2" xfId="11350"/>
    <cellStyle name="Warning Text 34" xfId="8264"/>
    <cellStyle name="Warning Text 34 2" xfId="11363"/>
    <cellStyle name="Warning Text 35" xfId="8265"/>
    <cellStyle name="Warning Text 35 2" xfId="11376"/>
    <cellStyle name="Warning Text 36" xfId="8266"/>
    <cellStyle name="Warning Text 36 2" xfId="11389"/>
    <cellStyle name="Warning Text 37" xfId="8267"/>
    <cellStyle name="Warning Text 37 2" xfId="11402"/>
    <cellStyle name="Warning Text 38" xfId="8268"/>
    <cellStyle name="Warning Text 38 2" xfId="11415"/>
    <cellStyle name="Warning Text 39" xfId="8269"/>
    <cellStyle name="Warning Text 39 2" xfId="11428"/>
    <cellStyle name="Warning Text 4" xfId="8270"/>
    <cellStyle name="Warning Text 4 2" xfId="8271"/>
    <cellStyle name="Warning Text 4 2 2" xfId="10979"/>
    <cellStyle name="Warning Text 4 3" xfId="9763"/>
    <cellStyle name="Warning Text 40" xfId="8272"/>
    <cellStyle name="Warning Text 40 2" xfId="11441"/>
    <cellStyle name="Warning Text 41" xfId="8273"/>
    <cellStyle name="Warning Text 41 2" xfId="11454"/>
    <cellStyle name="Warning Text 42" xfId="8274"/>
    <cellStyle name="Warning Text 42 2" xfId="11467"/>
    <cellStyle name="Warning Text 43" xfId="8275"/>
    <cellStyle name="Warning Text 43 2" xfId="11480"/>
    <cellStyle name="Warning Text 44" xfId="8276"/>
    <cellStyle name="Warning Text 44 2" xfId="11492"/>
    <cellStyle name="Warning Text 45" xfId="8277"/>
    <cellStyle name="Warning Text 45 2" xfId="11506"/>
    <cellStyle name="Warning Text 46" xfId="8278"/>
    <cellStyle name="Warning Text 46 2" xfId="11519"/>
    <cellStyle name="Warning Text 47" xfId="8279"/>
    <cellStyle name="Warning Text 47 2" xfId="11532"/>
    <cellStyle name="Warning Text 48" xfId="8280"/>
    <cellStyle name="Warning Text 48 2" xfId="11545"/>
    <cellStyle name="Warning Text 49" xfId="8281"/>
    <cellStyle name="Warning Text 49 2" xfId="11558"/>
    <cellStyle name="Warning Text 5" xfId="8282"/>
    <cellStyle name="Warning Text 5 2" xfId="8283"/>
    <cellStyle name="Warning Text 5 2 2" xfId="10992"/>
    <cellStyle name="Warning Text 5 3" xfId="9764"/>
    <cellStyle name="Warning Text 50" xfId="8284"/>
    <cellStyle name="Warning Text 50 2" xfId="11571"/>
    <cellStyle name="Warning Text 51" xfId="8285"/>
    <cellStyle name="Warning Text 51 2" xfId="11584"/>
    <cellStyle name="Warning Text 52" xfId="8286"/>
    <cellStyle name="Warning Text 52 2" xfId="11597"/>
    <cellStyle name="Warning Text 53" xfId="8287"/>
    <cellStyle name="Warning Text 53 2" xfId="11610"/>
    <cellStyle name="Warning Text 54" xfId="8288"/>
    <cellStyle name="Warning Text 54 2" xfId="11623"/>
    <cellStyle name="Warning Text 55" xfId="8289"/>
    <cellStyle name="Warning Text 55 2" xfId="11636"/>
    <cellStyle name="Warning Text 56" xfId="8290"/>
    <cellStyle name="Warning Text 56 2" xfId="11649"/>
    <cellStyle name="Warning Text 57" xfId="8291"/>
    <cellStyle name="Warning Text 57 2" xfId="11661"/>
    <cellStyle name="Warning Text 58" xfId="8292"/>
    <cellStyle name="Warning Text 58 2" xfId="11675"/>
    <cellStyle name="Warning Text 59" xfId="8293"/>
    <cellStyle name="Warning Text 59 2" xfId="11688"/>
    <cellStyle name="Warning Text 6" xfId="8294"/>
    <cellStyle name="Warning Text 6 2" xfId="9770"/>
    <cellStyle name="Warning Text 60" xfId="8295"/>
    <cellStyle name="Warning Text 60 2" xfId="11701"/>
    <cellStyle name="Warning Text 61" xfId="8296"/>
    <cellStyle name="Warning Text 61 2" xfId="11714"/>
    <cellStyle name="Warning Text 62" xfId="8297"/>
    <cellStyle name="Warning Text 62 2" xfId="11727"/>
    <cellStyle name="Warning Text 63" xfId="8298"/>
    <cellStyle name="Warning Text 63 2" xfId="11740"/>
    <cellStyle name="Warning Text 64" xfId="8299"/>
    <cellStyle name="Warning Text 64 2" xfId="11753"/>
    <cellStyle name="Warning Text 65" xfId="8300"/>
    <cellStyle name="Warning Text 65 2" xfId="11766"/>
    <cellStyle name="Warning Text 66" xfId="8301"/>
    <cellStyle name="Warning Text 66 2" xfId="11779"/>
    <cellStyle name="Warning Text 67" xfId="8302"/>
    <cellStyle name="Warning Text 67 2" xfId="11792"/>
    <cellStyle name="Warning Text 68" xfId="8303"/>
    <cellStyle name="Warning Text 68 2" xfId="11805"/>
    <cellStyle name="Warning Text 69" xfId="8304"/>
    <cellStyle name="Warning Text 69 2" xfId="11818"/>
    <cellStyle name="Warning Text 7" xfId="8305"/>
    <cellStyle name="Warning Text 7 2" xfId="11010"/>
    <cellStyle name="Warning Text 70" xfId="8306"/>
    <cellStyle name="Warning Text 70 2" xfId="11831"/>
    <cellStyle name="Warning Text 71" xfId="8307"/>
    <cellStyle name="Warning Text 71 2" xfId="11843"/>
    <cellStyle name="Warning Text 72" xfId="8308"/>
    <cellStyle name="Warning Text 72 2" xfId="11857"/>
    <cellStyle name="Warning Text 73" xfId="8309"/>
    <cellStyle name="Warning Text 73 2" xfId="11870"/>
    <cellStyle name="Warning Text 74" xfId="8310"/>
    <cellStyle name="Warning Text 74 2" xfId="11883"/>
    <cellStyle name="Warning Text 75" xfId="8311"/>
    <cellStyle name="Warning Text 75 2" xfId="11896"/>
    <cellStyle name="Warning Text 76" xfId="8312"/>
    <cellStyle name="Warning Text 76 2" xfId="11909"/>
    <cellStyle name="Warning Text 77" xfId="8313"/>
    <cellStyle name="Warning Text 77 2" xfId="11922"/>
    <cellStyle name="Warning Text 78" xfId="8314"/>
    <cellStyle name="Warning Text 78 2" xfId="11935"/>
    <cellStyle name="Warning Text 79" xfId="8315"/>
    <cellStyle name="Warning Text 79 2" xfId="11949"/>
    <cellStyle name="Warning Text 8" xfId="8316"/>
    <cellStyle name="Warning Text 8 2" xfId="11023"/>
    <cellStyle name="Warning Text 80" xfId="8317"/>
    <cellStyle name="Warning Text 80 2" xfId="11963"/>
    <cellStyle name="Warning Text 81" xfId="8318"/>
    <cellStyle name="Warning Text 81 2" xfId="11977"/>
    <cellStyle name="Warning Text 82" xfId="8319"/>
    <cellStyle name="Warning Text 82 2" xfId="11991"/>
    <cellStyle name="Warning Text 83" xfId="8320"/>
    <cellStyle name="Warning Text 83 2" xfId="12005"/>
    <cellStyle name="Warning Text 84" xfId="8321"/>
    <cellStyle name="Warning Text 84 2" xfId="12018"/>
    <cellStyle name="Warning Text 85" xfId="8233"/>
    <cellStyle name="Warning Text 85 2" xfId="12107"/>
    <cellStyle name="Warning Text 9" xfId="8322"/>
    <cellStyle name="Warning Text 9 2" xfId="11037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38" Type="http://schemas.openxmlformats.org/officeDocument/2006/relationships/revisionLog" Target="revisionLog1.xml"/><Relationship Id="rId141" Type="http://schemas.openxmlformats.org/officeDocument/2006/relationships/revisionLog" Target="revisionLog4.xml"/><Relationship Id="rId137" Type="http://schemas.openxmlformats.org/officeDocument/2006/relationships/revisionLog" Target="revisionLog56.xml"/><Relationship Id="rId140" Type="http://schemas.openxmlformats.org/officeDocument/2006/relationships/revisionLog" Target="revisionLog3.xml"/><Relationship Id="rId136" Type="http://schemas.openxmlformats.org/officeDocument/2006/relationships/revisionLog" Target="NULL"/><Relationship Id="rId139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1945FC0-074B-4ADC-8210-C0ACC309C985}" diskRevisions="1" revisionId="3234" version="6">
  <header guid="{E0D6497A-CBCC-49E7-A8CD-63BEF0AA8613}" dateTime="2015-08-17T13:23:57" maxSheetId="12" userName="Iurii Shubin" r:id="rId136" minRId="21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00C63FD-A8E7-46E5-A71C-586D95450451}" dateTime="2015-08-18T12:33:23" maxSheetId="12" userName="Natalia Chernonog" r:id="rId137" minRId="2136" maxRId="223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56065DD-F500-4F26-903E-3CD0A582CEA4}" dateTime="2015-08-18T12:45:04" maxSheetId="12" userName="Natalia Chernonog" r:id="rId138" minRId="2250" maxRId="22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2E9C09D-69C9-4D34-866F-9E0339966951}" dateTime="2015-08-27T15:01:57" maxSheetId="12" userName="Natalia Chernonog" r:id="rId139" minRId="2265" maxRId="23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61BCCAD-D27D-4DAB-818B-B7A699E3C31D}" dateTime="2015-12-15T19:20:50" maxSheetId="12" userName="Natalia Chernonog" r:id="rId140" minRId="2362" maxRId="23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1945FC0-074B-4ADC-8210-C0ACC309C985}" dateTime="2015-12-15T19:54:42" maxSheetId="12" userName="Natalia Chernonog" r:id="rId141" minRId="2366" maxRId="32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0" sId="10">
    <oc r="A3" t="inlineStr">
      <is>
        <t>n.chernonog@intetics.com</t>
      </is>
    </oc>
    <nc r="A3" t="inlineStr">
      <is>
        <t>n.chernonog@intetics.com1</t>
      </is>
    </nc>
  </rcc>
  <rcc rId="2251" sId="10">
    <oc r="A4" t="inlineStr">
      <is>
        <t>n.chernonog@intetics.com</t>
      </is>
    </oc>
    <nc r="A4" t="inlineStr">
      <is>
        <t>n.chernonog@intetics.com2</t>
      </is>
    </nc>
  </rcc>
  <rcc rId="2252" sId="10">
    <oc r="A5" t="inlineStr">
      <is>
        <t>n.chernonog@intetics.com</t>
      </is>
    </oc>
    <nc r="A5" t="inlineStr">
      <is>
        <t>n.chernonog@intetics.com3</t>
      </is>
    </nc>
  </rcc>
  <rcc rId="2253" sId="10">
    <oc r="A6" t="inlineStr">
      <is>
        <t>n.chernonog@intetics.com</t>
      </is>
    </oc>
    <nc r="A6" t="inlineStr">
      <is>
        <t>n.chernonog@intetics.com4</t>
      </is>
    </nc>
  </rcc>
  <rcc rId="2254" sId="10">
    <oc r="A7" t="inlineStr">
      <is>
        <t>n.chernonog@intetics.com</t>
      </is>
    </oc>
    <nc r="A7" t="inlineStr">
      <is>
        <t>n.chernonog@intetics.com5</t>
      </is>
    </nc>
  </rcc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5" sId="10">
    <oc r="A8" t="inlineStr">
      <is>
        <t>n.chernonog@intetics.com</t>
      </is>
    </oc>
    <nc r="A8"/>
  </rcc>
  <rcc rId="2266" sId="10">
    <oc r="A9" t="inlineStr">
      <is>
        <t>n.chernonog@intetics.com</t>
      </is>
    </oc>
    <nc r="A9"/>
  </rcc>
  <rcc rId="2267" sId="10">
    <oc r="A10" t="inlineStr">
      <is>
        <t>n.chernonog@intetics.com</t>
      </is>
    </oc>
    <nc r="A10"/>
  </rcc>
  <rcc rId="2268" sId="10">
    <oc r="A11" t="inlineStr">
      <is>
        <t>n.chernonog@intetics.com</t>
      </is>
    </oc>
    <nc r="A11"/>
  </rcc>
  <rcc rId="2269" sId="10">
    <oc r="A12" t="inlineStr">
      <is>
        <t>n.chernonog@intetics.com</t>
      </is>
    </oc>
    <nc r="A12"/>
  </rcc>
  <rcc rId="2270" sId="10">
    <oc r="A13" t="inlineStr">
      <is>
        <t>n.chernonog@intetics.com</t>
      </is>
    </oc>
    <nc r="A13"/>
  </rcc>
  <rcc rId="2271" sId="10">
    <oc r="A14" t="inlineStr">
      <is>
        <t>n.chernonog@intetics.com</t>
      </is>
    </oc>
    <nc r="A14"/>
  </rcc>
  <rcc rId="2272" sId="10">
    <oc r="A15" t="inlineStr">
      <is>
        <t>n.chernonog@intetics.com</t>
      </is>
    </oc>
    <nc r="A15"/>
  </rcc>
  <rcc rId="2273" sId="10">
    <oc r="A16" t="inlineStr">
      <is>
        <t>n.chernonog@intetics.com</t>
      </is>
    </oc>
    <nc r="A16"/>
  </rcc>
  <rcc rId="2274" sId="10">
    <oc r="A17" t="inlineStr">
      <is>
        <t>n.chernonog@intetics.com</t>
      </is>
    </oc>
    <nc r="A17"/>
  </rcc>
  <rcc rId="2275" sId="10">
    <oc r="A18" t="inlineStr">
      <is>
        <t>n.chernonog@intetics.com</t>
      </is>
    </oc>
    <nc r="A18"/>
  </rcc>
  <rcc rId="2276" sId="10">
    <oc r="A19" t="inlineStr">
      <is>
        <t>n.chernonog@intetics.com</t>
      </is>
    </oc>
    <nc r="A19"/>
  </rcc>
  <rcc rId="2277" sId="10">
    <oc r="A20" t="inlineStr">
      <is>
        <t>n.chernonog@intetics.com</t>
      </is>
    </oc>
    <nc r="A20"/>
  </rcc>
  <rcc rId="2278" sId="10">
    <oc r="A21" t="inlineStr">
      <is>
        <t>n.chernonog@intetics.com</t>
      </is>
    </oc>
    <nc r="A21"/>
  </rcc>
  <rcc rId="2279" sId="10">
    <oc r="A22" t="inlineStr">
      <is>
        <t>n.chernonog@intetics.com</t>
      </is>
    </oc>
    <nc r="A22"/>
  </rcc>
  <rcc rId="2280" sId="10">
    <oc r="A23" t="inlineStr">
      <is>
        <t>n.chernonog@intetics.com</t>
      </is>
    </oc>
    <nc r="A23"/>
  </rcc>
  <rcc rId="2281" sId="10">
    <oc r="A24" t="inlineStr">
      <is>
        <t>n.chernonog@intetics.com</t>
      </is>
    </oc>
    <nc r="A24"/>
  </rcc>
  <rcc rId="2282" sId="10">
    <oc r="A25" t="inlineStr">
      <is>
        <t>n.chernonog@intetics.com</t>
      </is>
    </oc>
    <nc r="A25"/>
  </rcc>
  <rcc rId="2283" sId="10">
    <oc r="A26" t="inlineStr">
      <is>
        <t>n.chernonog@intetics.com</t>
      </is>
    </oc>
    <nc r="A26"/>
  </rcc>
  <rcc rId="2284" sId="10">
    <oc r="A27" t="inlineStr">
      <is>
        <t>n.chernonog@intetics.com</t>
      </is>
    </oc>
    <nc r="A27"/>
  </rcc>
  <rcc rId="2285" sId="10">
    <oc r="A28" t="inlineStr">
      <is>
        <t>n.chernonog@intetics.com</t>
      </is>
    </oc>
    <nc r="A28"/>
  </rcc>
  <rcc rId="2286" sId="10">
    <oc r="A29" t="inlineStr">
      <is>
        <t>n.chernonog@intetics.com</t>
      </is>
    </oc>
    <nc r="A29"/>
  </rcc>
  <rcc rId="2287" sId="10">
    <oc r="A30" t="inlineStr">
      <is>
        <t>n.chernonog@intetics.com</t>
      </is>
    </oc>
    <nc r="A30"/>
  </rcc>
  <rcc rId="2288" sId="10">
    <oc r="A31" t="inlineStr">
      <is>
        <t>n.chernonog@intetics.com</t>
      </is>
    </oc>
    <nc r="A31"/>
  </rcc>
  <rcc rId="2289" sId="10">
    <oc r="A32" t="inlineStr">
      <is>
        <t>n.chernonog@intetics.com</t>
      </is>
    </oc>
    <nc r="A32"/>
  </rcc>
  <rcc rId="2290" sId="10">
    <oc r="A33" t="inlineStr">
      <is>
        <t>n.chernonog@intetics.com</t>
      </is>
    </oc>
    <nc r="A33"/>
  </rcc>
  <rcc rId="2291" sId="10">
    <oc r="A34" t="inlineStr">
      <is>
        <t>n.chernonog@intetics.com</t>
      </is>
    </oc>
    <nc r="A34"/>
  </rcc>
  <rcc rId="2292" sId="10">
    <oc r="A35" t="inlineStr">
      <is>
        <t>n.chernonog@intetics.com</t>
      </is>
    </oc>
    <nc r="A35"/>
  </rcc>
  <rcc rId="2293" sId="10">
    <oc r="A36" t="inlineStr">
      <is>
        <t>n.chernonog@intetics.com</t>
      </is>
    </oc>
    <nc r="A36"/>
  </rcc>
  <rcc rId="2294" sId="10">
    <oc r="A37" t="inlineStr">
      <is>
        <t>n.chernonog@intetics.com</t>
      </is>
    </oc>
    <nc r="A37"/>
  </rcc>
  <rcc rId="2295" sId="10">
    <oc r="A38" t="inlineStr">
      <is>
        <t>n.chernonog@intetics.com</t>
      </is>
    </oc>
    <nc r="A38"/>
  </rcc>
  <rcc rId="2296" sId="10">
    <oc r="A39" t="inlineStr">
      <is>
        <t>n.chernonog@intetics.com</t>
      </is>
    </oc>
    <nc r="A39"/>
  </rcc>
  <rcc rId="2297" sId="10">
    <oc r="A40" t="inlineStr">
      <is>
        <t>n.chernonog@intetics.com</t>
      </is>
    </oc>
    <nc r="A40"/>
  </rcc>
  <rcc rId="2298" sId="10">
    <oc r="A41" t="inlineStr">
      <is>
        <t>n.chernonog@intetics.com</t>
      </is>
    </oc>
    <nc r="A41"/>
  </rcc>
  <rcc rId="2299" sId="10">
    <oc r="A42" t="inlineStr">
      <is>
        <t>n.chernonog@intetics.com</t>
      </is>
    </oc>
    <nc r="A42"/>
  </rcc>
  <rcc rId="2300" sId="10">
    <oc r="A43" t="inlineStr">
      <is>
        <t>n.chernonog@intetics.com</t>
      </is>
    </oc>
    <nc r="A43"/>
  </rcc>
  <rcc rId="2301" sId="10">
    <oc r="A44" t="inlineStr">
      <is>
        <t>n.chernonog@intetics.com</t>
      </is>
    </oc>
    <nc r="A44"/>
  </rcc>
  <rcc rId="2302" sId="10">
    <oc r="A45" t="inlineStr">
      <is>
        <t>n.chernonog@intetics.com</t>
      </is>
    </oc>
    <nc r="A45"/>
  </rcc>
  <rcc rId="2303" sId="10">
    <oc r="A46" t="inlineStr">
      <is>
        <t>n.chernonog@intetics.com</t>
      </is>
    </oc>
    <nc r="A46"/>
  </rcc>
  <rcc rId="2304" sId="10">
    <oc r="A47" t="inlineStr">
      <is>
        <t>n.chernonog@intetics.com</t>
      </is>
    </oc>
    <nc r="A47"/>
  </rcc>
  <rcc rId="2305" sId="10">
    <oc r="A48" t="inlineStr">
      <is>
        <t>n.chernonog@intetics.com</t>
      </is>
    </oc>
    <nc r="A48"/>
  </rcc>
  <rcc rId="2306" sId="10">
    <oc r="A49" t="inlineStr">
      <is>
        <t>n.chernonog@intetics.com</t>
      </is>
    </oc>
    <nc r="A49"/>
  </rcc>
  <rcc rId="2307" sId="10">
    <oc r="A50" t="inlineStr">
      <is>
        <t>n.chernonog@intetics.com</t>
      </is>
    </oc>
    <nc r="A50"/>
  </rcc>
  <rcc rId="2308" sId="10">
    <oc r="A51" t="inlineStr">
      <is>
        <t>n.chernonog@intetics.com</t>
      </is>
    </oc>
    <nc r="A51"/>
  </rcc>
  <rcc rId="2309" sId="10">
    <oc r="A52" t="inlineStr">
      <is>
        <t>n.chernonog@intetics.com</t>
      </is>
    </oc>
    <nc r="A52"/>
  </rcc>
  <rcc rId="2310" sId="10">
    <oc r="A53" t="inlineStr">
      <is>
        <t>n.chernonog@intetics.com</t>
      </is>
    </oc>
    <nc r="A53"/>
  </rcc>
  <rcc rId="2311" sId="10">
    <oc r="A54" t="inlineStr">
      <is>
        <t>n.chernonog@intetics.com</t>
      </is>
    </oc>
    <nc r="A54"/>
  </rcc>
  <rcc rId="2312" sId="10">
    <oc r="A55" t="inlineStr">
      <is>
        <t>n.chernonog@intetics.com</t>
      </is>
    </oc>
    <nc r="A55"/>
  </rcc>
  <rcc rId="2313" sId="10">
    <oc r="A56" t="inlineStr">
      <is>
        <t>n.chernonog@intetics.com</t>
      </is>
    </oc>
    <nc r="A56"/>
  </rcc>
  <rcc rId="2314" sId="10">
    <oc r="A57" t="inlineStr">
      <is>
        <t>n.chernonog@intetics.com</t>
      </is>
    </oc>
    <nc r="A57"/>
  </rcc>
  <rcc rId="2315" sId="10">
    <oc r="A58" t="inlineStr">
      <is>
        <t>n.chernonog@intetics.com</t>
      </is>
    </oc>
    <nc r="A58"/>
  </rcc>
  <rcc rId="2316" sId="10">
    <oc r="A59" t="inlineStr">
      <is>
        <t>n.chernonog@intetics.com</t>
      </is>
    </oc>
    <nc r="A59"/>
  </rcc>
  <rcc rId="2317" sId="10">
    <oc r="A60" t="inlineStr">
      <is>
        <t>n.chernonog@intetics.com</t>
      </is>
    </oc>
    <nc r="A60"/>
  </rcc>
  <rcc rId="2318" sId="10">
    <oc r="A61" t="inlineStr">
      <is>
        <t>n.chernonog@intetics.com</t>
      </is>
    </oc>
    <nc r="A61"/>
  </rcc>
  <rcc rId="2319" sId="10">
    <oc r="A62" t="inlineStr">
      <is>
        <t>n.chernonog@intetics.com</t>
      </is>
    </oc>
    <nc r="A62"/>
  </rcc>
  <rcc rId="2320" sId="10">
    <oc r="A63" t="inlineStr">
      <is>
        <t>n.chernonog@intetics.com</t>
      </is>
    </oc>
    <nc r="A63"/>
  </rcc>
  <rcc rId="2321" sId="10">
    <oc r="A64" t="inlineStr">
      <is>
        <t>n.chernonog@intetics.com</t>
      </is>
    </oc>
    <nc r="A64"/>
  </rcc>
  <rcc rId="2322" sId="10">
    <oc r="A65" t="inlineStr">
      <is>
        <t>n.chernonog@intetics.com</t>
      </is>
    </oc>
    <nc r="A65"/>
  </rcc>
  <rcc rId="2323" sId="10">
    <oc r="A66" t="inlineStr">
      <is>
        <t>n.chernonog@intetics.com</t>
      </is>
    </oc>
    <nc r="A66"/>
  </rcc>
  <rcc rId="2324" sId="10">
    <oc r="A67" t="inlineStr">
      <is>
        <t>n.chernonog@intetics.com</t>
      </is>
    </oc>
    <nc r="A67"/>
  </rcc>
  <rcc rId="2325" sId="10">
    <oc r="A68" t="inlineStr">
      <is>
        <t>n.chernonog@intetics.com</t>
      </is>
    </oc>
    <nc r="A68"/>
  </rcc>
  <rcc rId="2326" sId="10">
    <oc r="A69" t="inlineStr">
      <is>
        <t>n.chernonog@intetics.com</t>
      </is>
    </oc>
    <nc r="A69"/>
  </rcc>
  <rcc rId="2327" sId="10">
    <oc r="A70" t="inlineStr">
      <is>
        <t>n.chernonog@intetics.com</t>
      </is>
    </oc>
    <nc r="A70"/>
  </rcc>
  <rcc rId="2328" sId="10">
    <oc r="A71" t="inlineStr">
      <is>
        <t>n.chernonog@intetics.com</t>
      </is>
    </oc>
    <nc r="A71"/>
  </rcc>
  <rcc rId="2329" sId="10">
    <oc r="A72" t="inlineStr">
      <is>
        <t>n.chernonog@intetics.com</t>
      </is>
    </oc>
    <nc r="A72"/>
  </rcc>
  <rcc rId="2330" sId="10">
    <oc r="A73" t="inlineStr">
      <is>
        <t>n.chernonog@intetics.com</t>
      </is>
    </oc>
    <nc r="A73"/>
  </rcc>
  <rcc rId="2331" sId="10">
    <oc r="A74" t="inlineStr">
      <is>
        <t>n.chernonog@intetics.com</t>
      </is>
    </oc>
    <nc r="A74"/>
  </rcc>
  <rcc rId="2332" sId="10">
    <oc r="A75" t="inlineStr">
      <is>
        <t>n.chernonog@intetics.com</t>
      </is>
    </oc>
    <nc r="A75"/>
  </rcc>
  <rcc rId="2333" sId="10">
    <oc r="A76" t="inlineStr">
      <is>
        <t>n.chernonog@intetics.com</t>
      </is>
    </oc>
    <nc r="A76"/>
  </rcc>
  <rcc rId="2334" sId="10">
    <oc r="A77" t="inlineStr">
      <is>
        <t>n.chernonog@intetics.com</t>
      </is>
    </oc>
    <nc r="A77"/>
  </rcc>
  <rcc rId="2335" sId="10">
    <oc r="A78" t="inlineStr">
      <is>
        <t>n.chernonog@intetics.com</t>
      </is>
    </oc>
    <nc r="A78"/>
  </rcc>
  <rcc rId="2336" sId="10">
    <oc r="A79" t="inlineStr">
      <is>
        <t>n.chernonog@intetics.com</t>
      </is>
    </oc>
    <nc r="A79"/>
  </rcc>
  <rcc rId="2337" sId="10">
    <oc r="A80" t="inlineStr">
      <is>
        <t>n.chernonog@intetics.com</t>
      </is>
    </oc>
    <nc r="A80"/>
  </rcc>
  <rcc rId="2338" sId="10">
    <oc r="A81" t="inlineStr">
      <is>
        <t>n.chernonog@intetics.com</t>
      </is>
    </oc>
    <nc r="A81"/>
  </rcc>
  <rcc rId="2339" sId="10">
    <oc r="A82" t="inlineStr">
      <is>
        <t>n.chernonog@intetics.com</t>
      </is>
    </oc>
    <nc r="A82"/>
  </rcc>
  <rcc rId="2340" sId="10">
    <oc r="A83" t="inlineStr">
      <is>
        <t>n.chernonog@intetics.com</t>
      </is>
    </oc>
    <nc r="A83"/>
  </rcc>
  <rcc rId="2341" sId="10">
    <oc r="A84" t="inlineStr">
      <is>
        <t>n.chernonog@intetics.com</t>
      </is>
    </oc>
    <nc r="A84"/>
  </rcc>
  <rcc rId="2342" sId="10">
    <oc r="A85" t="inlineStr">
      <is>
        <t>n.chernonog@intetics.com</t>
      </is>
    </oc>
    <nc r="A85"/>
  </rcc>
  <rcc rId="2343" sId="10">
    <oc r="A86" t="inlineStr">
      <is>
        <t>n.chernonog@intetics.com</t>
      </is>
    </oc>
    <nc r="A86"/>
  </rcc>
  <rcc rId="2344" sId="10">
    <oc r="A87" t="inlineStr">
      <is>
        <t>n.chernonog@intetics.com</t>
      </is>
    </oc>
    <nc r="A87"/>
  </rcc>
  <rcc rId="2345" sId="10">
    <oc r="A88" t="inlineStr">
      <is>
        <t>n.chernonog@intetics.com</t>
      </is>
    </oc>
    <nc r="A88"/>
  </rcc>
  <rcc rId="2346" sId="10">
    <oc r="A89" t="inlineStr">
      <is>
        <t>n.chernonog@intetics.com</t>
      </is>
    </oc>
    <nc r="A89"/>
  </rcc>
  <rcc rId="2347" sId="10">
    <oc r="A90" t="inlineStr">
      <is>
        <t>n.chernonog@intetics.com</t>
      </is>
    </oc>
    <nc r="A90"/>
  </rcc>
  <rcc rId="2348" sId="10">
    <oc r="A91" t="inlineStr">
      <is>
        <t>n.chernonog@intetics.com</t>
      </is>
    </oc>
    <nc r="A91"/>
  </rcc>
  <rcc rId="2349" sId="10">
    <oc r="A92" t="inlineStr">
      <is>
        <t>n.chernonog@intetics.com</t>
      </is>
    </oc>
    <nc r="A92"/>
  </rcc>
  <rcc rId="2350" sId="10">
    <oc r="A93" t="inlineStr">
      <is>
        <t>n.chernonog@intetics.com</t>
      </is>
    </oc>
    <nc r="A93"/>
  </rcc>
  <rcc rId="2351" sId="10">
    <oc r="A94" t="inlineStr">
      <is>
        <t>n.chernonog@intetics.com</t>
      </is>
    </oc>
    <nc r="A94"/>
  </rcc>
  <rcc rId="2352" sId="10">
    <oc r="A95" t="inlineStr">
      <is>
        <t>n.chernonog@intetics.com</t>
      </is>
    </oc>
    <nc r="A95"/>
  </rcc>
  <rcc rId="2353" sId="10">
    <oc r="A96" t="inlineStr">
      <is>
        <t>n.chernonog@intetics.com</t>
      </is>
    </oc>
    <nc r="A96"/>
  </rcc>
  <rcc rId="2354" sId="10">
    <oc r="A97" t="inlineStr">
      <is>
        <t>n.chernonog@intetics.com</t>
      </is>
    </oc>
    <nc r="A97"/>
  </rcc>
  <rcc rId="2355" sId="10">
    <oc r="A98" t="inlineStr">
      <is>
        <t>n.chernonog@intetics.com</t>
      </is>
    </oc>
    <nc r="A98"/>
  </rcc>
  <rcc rId="2356" sId="10">
    <oc r="A99" t="inlineStr">
      <is>
        <t>n.chernonog@intetics.com</t>
      </is>
    </oc>
    <nc r="A99"/>
  </rcc>
  <rcc rId="2357" sId="10">
    <oc r="A100" t="inlineStr">
      <is>
        <t>n.chernonog@intetics.com</t>
      </is>
    </oc>
    <nc r="A100"/>
  </rcc>
  <rcc rId="2358" sId="10">
    <oc r="A101" t="inlineStr">
      <is>
        <t>n.chernonog@intetics.com</t>
      </is>
    </oc>
    <nc r="A101"/>
  </rcc>
  <rcc rId="2359" sId="10">
    <oc r="A102" t="inlineStr">
      <is>
        <t>n.chernonog@intetics.com</t>
      </is>
    </oc>
    <nc r="A102"/>
  </rcc>
  <rcc rId="2360" sId="10">
    <oc r="A103" t="inlineStr">
      <is>
        <t>n.chernonog@intetics.com</t>
      </is>
    </oc>
    <nc r="A103"/>
  </rcc>
  <rcc rId="2361" sId="10">
    <oc r="A3" t="inlineStr">
      <is>
        <t>n.chernonog@intetics.com1</t>
      </is>
    </oc>
    <nc r="A3" t="inlineStr">
      <is>
        <t>natalia.chernonog1@gmail.com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2" sId="10">
    <oc r="A5" t="inlineStr">
      <is>
        <t>n.chernonog@intetics.com3</t>
      </is>
    </oc>
    <nc r="A5"/>
  </rcc>
  <rcc rId="2363" sId="10">
    <oc r="A6" t="inlineStr">
      <is>
        <t>n.chernonog@intetics.com4</t>
      </is>
    </oc>
    <nc r="A6"/>
  </rcc>
  <rcc rId="2364" sId="10">
    <oc r="A7" t="inlineStr">
      <is>
        <t>n.chernonog@intetics.com5</t>
      </is>
    </oc>
    <nc r="A7"/>
  </rcc>
  <rcc rId="2365" sId="10">
    <oc r="A4" t="inlineStr">
      <is>
        <t>n.chernonog@intetics.com2</t>
      </is>
    </oc>
    <nc r="A4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1" start="0" length="0">
    <dxf>
      <alignment horizontal="left" readingOrder="0"/>
    </dxf>
  </rfmt>
  <rcc rId="2366" sId="10" odxf="1" dxf="1">
    <oc r="C1" t="inlineStr">
      <is>
        <t>TR_Syn_15</t>
      </is>
    </oc>
    <nc r="C1" t="inlineStr">
      <is>
        <t>FC1-2_RU_Syn_15</t>
      </is>
    </nc>
    <odxf>
      <alignment horizontal="general" readingOrder="0"/>
    </odxf>
    <ndxf>
      <alignment horizontal="left" readingOrder="0"/>
    </ndxf>
  </rcc>
  <rcc rId="2367" sId="10" odxf="1" dxf="1">
    <oc r="D1" t="inlineStr">
      <is>
        <t>UA_Syn_15</t>
      </is>
    </oc>
    <nc r="D1" t="inlineStr">
      <is>
        <t>FC3-4_RU_Syn_15</t>
      </is>
    </nc>
    <odxf>
      <alignment horizontal="general" readingOrder="0"/>
    </odxf>
    <ndxf>
      <alignment horizontal="left" readingOrder="0"/>
    </ndxf>
  </rcc>
  <rcc rId="2368" sId="10" odxf="1" dxf="1">
    <oc r="E1" t="inlineStr">
      <is>
        <t>ME_Syn_15</t>
      </is>
    </oc>
    <nc r="E1" t="inlineStr">
      <is>
        <t>FC1-4_KZ_Syn_15</t>
      </is>
    </nc>
    <odxf>
      <alignment horizontal="general" readingOrder="0"/>
    </odxf>
    <ndxf>
      <alignment horizontal="left" readingOrder="0"/>
    </ndxf>
  </rcc>
  <rcc rId="2369" sId="10" odxf="1" dxf="1">
    <oc r="F1" t="inlineStr">
      <is>
        <t>POI</t>
      </is>
    </oc>
    <nc r="F1" t="inlineStr">
      <is>
        <t>FC1-2_KZ_Syn_15</t>
      </is>
    </nc>
    <odxf>
      <alignment horizontal="general" readingOrder="0"/>
    </odxf>
    <ndxf>
      <alignment horizontal="left" readingOrder="0"/>
    </ndxf>
  </rcc>
  <rcc rId="2370" sId="10" odxf="1" dxf="1">
    <oc r="G1" t="inlineStr">
      <is>
        <t>UA_Carto_15</t>
      </is>
    </oc>
    <nc r="G1" t="inlineStr">
      <is>
        <t>POI_15</t>
      </is>
    </nc>
    <odxf>
      <alignment horizontal="general" readingOrder="0"/>
    </odxf>
    <ndxf>
      <alignment horizontal="left" readingOrder="0"/>
    </ndxf>
  </rcc>
  <rcc rId="2371" sId="10" odxf="1" dxf="1">
    <oc r="H1" t="inlineStr">
      <is>
        <t>RU_Carto_15</t>
      </is>
    </oc>
    <nc r="H1" t="inlineStr">
      <is>
        <t>UA_Carto_15</t>
      </is>
    </nc>
    <odxf>
      <alignment horizontal="general" readingOrder="0"/>
    </odxf>
    <ndxf>
      <alignment horizontal="left" readingOrder="0"/>
    </ndxf>
  </rcc>
  <rcc rId="2372" sId="10" odxf="1" dxf="1">
    <oc r="I1" t="inlineStr">
      <is>
        <t>XTDL_15</t>
      </is>
    </oc>
    <nc r="I1" t="inlineStr">
      <is>
        <t>RU_Carto_15</t>
      </is>
    </nc>
    <odxf>
      <alignment horizontal="general" readingOrder="0"/>
    </odxf>
    <ndxf>
      <alignment horizontal="left" readingOrder="0"/>
    </ndxf>
  </rcc>
  <rcc rId="2373" sId="10" odxf="1" dxf="1">
    <oc r="J1" t="inlineStr">
      <is>
        <t>RU_Signs_15</t>
      </is>
    </oc>
    <nc r="J1" t="inlineStr">
      <is>
        <t>UA_Prime_15</t>
      </is>
    </nc>
    <odxf>
      <alignment horizontal="general" readingOrder="0"/>
    </odxf>
    <ndxf>
      <alignment horizontal="left" readingOrder="0"/>
    </ndxf>
  </rcc>
  <rcc rId="2374" sId="10" odxf="1" dxf="1">
    <oc r="K1" t="inlineStr">
      <is>
        <t>RU_2D_15</t>
      </is>
    </oc>
    <nc r="K1" t="inlineStr">
      <is>
        <t>RU_RNC_15</t>
      </is>
    </nc>
    <odxf>
      <alignment horizontal="general" readingOrder="0"/>
    </odxf>
    <ndxf>
      <alignment horizontal="left" readingOrder="0"/>
    </ndxf>
  </rcc>
  <rcc rId="2375" sId="10" odxf="1" dxf="1">
    <oc r="L1" t="inlineStr">
      <is>
        <t>UA_Prime_15</t>
      </is>
    </oc>
    <nc r="L1" t="inlineStr">
      <is>
        <t>RU_Prime_15</t>
      </is>
    </nc>
    <odxf>
      <alignment horizontal="general" readingOrder="0"/>
    </odxf>
    <ndxf>
      <alignment horizontal="left" readingOrder="0"/>
    </ndxf>
  </rcc>
  <rcc rId="2376" sId="10" odxf="1" dxf="1">
    <oc r="M1" t="inlineStr">
      <is>
        <t>RU_RNC_15</t>
      </is>
    </oc>
    <nc r="M1" t="inlineStr">
      <is>
        <t>BG_Prime_15</t>
      </is>
    </nc>
    <odxf>
      <alignment horizontal="general" readingOrder="0"/>
    </odxf>
    <ndxf>
      <alignment horizontal="left" readingOrder="0"/>
    </ndxf>
  </rcc>
  <rfmt sheetId="10" sqref="N1" start="0" length="0">
    <dxf>
      <alignment horizontal="left" readingOrder="0"/>
    </dxf>
  </rfmt>
  <rcc rId="2377" sId="10" odxf="1" dxf="1">
    <oc r="O1" t="inlineStr">
      <is>
        <t>PL_Prime_15</t>
      </is>
    </oc>
    <nc r="O1" t="inlineStr">
      <is>
        <t>RU_Probe</t>
      </is>
    </nc>
    <odxf>
      <alignment horizontal="general" readingOrder="0"/>
    </odxf>
    <ndxf>
      <alignment horizontal="left" readingOrder="0"/>
    </ndxf>
  </rcc>
  <rcc rId="2378" sId="10" odxf="1" dxf="1">
    <oc r="P1" t="inlineStr">
      <is>
        <t>RU_PA_15</t>
      </is>
    </oc>
    <nc r="P1" t="inlineStr">
      <is>
        <t>PL_Prime_15</t>
      </is>
    </nc>
    <odxf>
      <alignment horizontal="general" readingOrder="0"/>
    </odxf>
    <ndxf>
      <alignment horizontal="left" readingOrder="0"/>
    </ndxf>
  </rcc>
  <rcc rId="2379" sId="10" odxf="1" dxf="1">
    <oc r="Q1" t="inlineStr">
      <is>
        <t>GISDEV</t>
      </is>
    </oc>
    <nc r="Q1" t="inlineStr">
      <is>
        <t>RU_PA_15</t>
      </is>
    </nc>
    <odxf>
      <alignment horizontal="general" readingOrder="0"/>
    </odxf>
    <ndxf>
      <alignment horizontal="left" readingOrder="0"/>
    </ndxf>
  </rcc>
  <rcc rId="2380" sId="10" odxf="1" dxf="1">
    <oc r="R1" t="inlineStr">
      <is>
        <t>Total</t>
      </is>
    </oc>
    <nc r="R1" t="inlineStr">
      <is>
        <t>XTDL</t>
      </is>
    </nc>
    <odxf>
      <alignment horizontal="general" readingOrder="0"/>
    </odxf>
    <ndxf>
      <alignment horizontal="left" readingOrder="0"/>
    </ndxf>
  </rcc>
  <rcc rId="2381" sId="10" odxf="1" dxf="1">
    <nc r="S1" t="inlineStr">
      <is>
        <t>GIS_DEV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10" odxf="1" dxf="1">
    <nc r="T1" t="inlineStr">
      <is>
        <t>Training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10" odxf="1" dxf="1">
    <nc r="U1" t="inlineStr">
      <is>
        <t>Grand Total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2" start="0" length="0">
    <dxf>
      <alignment horizontal="general" vertical="bottom" readingOrder="0"/>
    </dxf>
  </rfmt>
  <rfmt sheetId="10" sqref="C2" start="0" length="0">
    <dxf/>
  </rfmt>
  <rfmt sheetId="10" sqref="D2" start="0" length="0">
    <dxf/>
  </rfmt>
  <rfmt sheetId="10" sqref="E2" start="0" length="0">
    <dxf/>
  </rfmt>
  <rfmt sheetId="10" sqref="F2" start="0" length="0">
    <dxf/>
  </rfmt>
  <rfmt sheetId="10" sqref="G2" start="0" length="0">
    <dxf/>
  </rfmt>
  <rfmt sheetId="10" sqref="H2" start="0" length="0">
    <dxf/>
  </rfmt>
  <rfmt sheetId="10" sqref="I2" start="0" length="0">
    <dxf/>
  </rfmt>
  <rfmt sheetId="10" sqref="J2" start="0" length="0">
    <dxf/>
  </rfmt>
  <rfmt sheetId="10" sqref="K2" start="0" length="0">
    <dxf/>
  </rfmt>
  <rfmt sheetId="10" sqref="L2" start="0" length="0">
    <dxf/>
  </rfmt>
  <rfmt sheetId="10" sqref="M2" start="0" length="0">
    <dxf/>
  </rfmt>
  <rfmt sheetId="10" sqref="N2" start="0" length="0">
    <dxf/>
  </rfmt>
  <rfmt sheetId="10" sqref="O2" start="0" length="0">
    <dxf/>
  </rfmt>
  <rcc rId="2384" sId="10" odxf="1" dxf="1">
    <oc r="P2">
      <v>165.99700000000001</v>
    </oc>
    <nc r="P2"/>
    <odxf/>
    <ndxf/>
  </rcc>
  <rcc rId="2385" sId="10" odxf="1" dxf="1">
    <nc r="Q2">
      <v>130.50700000000001</v>
    </nc>
    <odxf/>
    <ndxf/>
  </rcc>
  <rcc rId="2386" sId="10" odxf="1" dxf="1">
    <oc r="R2">
      <f>SUM(C2:Q2)</f>
    </oc>
    <nc r="R2"/>
    <odxf>
      <font>
        <sz val="11"/>
        <color theme="1"/>
        <name val="Calibri"/>
        <scheme val="minor"/>
      </font>
    </odxf>
    <ndxf>
      <font>
        <sz val="11"/>
        <color rgb="FF00B050"/>
        <name val="Calibri"/>
        <scheme val="minor"/>
      </font>
    </ndxf>
  </rcc>
  <rfmt sheetId="10" sqref="S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87" sId="10" odxf="1" dxf="1">
    <nc r="U2">
      <f>SUM(C2:T2)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10" odxf="1" dxf="1">
    <oc r="B3" t="inlineStr">
      <is>
        <t>Alexander Kleshnin</t>
      </is>
    </oc>
    <nc r="B3" t="inlineStr">
      <is>
        <t>Aleksey Beletsky</t>
      </is>
    </nc>
    <odxf>
      <alignment horizontal="left" vertical="top" readingOrder="0"/>
    </odxf>
    <ndxf>
      <alignment horizontal="general" vertical="bottom" readingOrder="0"/>
    </ndxf>
  </rcc>
  <rfmt sheetId="10" sqref="C3" start="0" length="0">
    <dxf/>
  </rfmt>
  <rfmt sheetId="10" sqref="D3" start="0" length="0">
    <dxf/>
  </rfmt>
  <rfmt sheetId="10" sqref="E3" start="0" length="0">
    <dxf/>
  </rfmt>
  <rfmt sheetId="10" sqref="F3" start="0" length="0">
    <dxf/>
  </rfmt>
  <rfmt sheetId="10" sqref="G3" start="0" length="0">
    <dxf/>
  </rfmt>
  <rfmt sheetId="10" sqref="H3" start="0" length="0">
    <dxf/>
  </rfmt>
  <rfmt sheetId="10" sqref="I3" start="0" length="0">
    <dxf/>
  </rfmt>
  <rfmt sheetId="10" sqref="J3" start="0" length="0">
    <dxf/>
  </rfmt>
  <rfmt sheetId="10" sqref="K3" start="0" length="0">
    <dxf/>
  </rfmt>
  <rfmt sheetId="10" sqref="L3" start="0" length="0">
    <dxf/>
  </rfmt>
  <rfmt sheetId="10" sqref="M3" start="0" length="0">
    <dxf/>
  </rfmt>
  <rfmt sheetId="10" sqref="N3" start="0" length="0">
    <dxf/>
  </rfmt>
  <rfmt sheetId="10" sqref="O3" start="0" length="0">
    <dxf/>
  </rfmt>
  <rfmt sheetId="10" sqref="P3" start="0" length="0">
    <dxf/>
  </rfmt>
  <rcc rId="2389" sId="10" odxf="1" dxf="1">
    <oc r="Q3">
      <v>100</v>
    </oc>
    <nc r="Q3"/>
    <odxf/>
    <ndxf/>
  </rcc>
  <rcc rId="2390" sId="10" odxf="1" dxf="1">
    <oc r="R3">
      <f>SUM(C3:Q3)</f>
    </oc>
    <nc r="R3">
      <v>63.848000000000006</v>
    </nc>
    <odxf/>
    <ndxf/>
  </rcc>
  <rfmt sheetId="10" sqref="S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1" sId="10" odxf="1" dxf="1">
    <nc r="U3">
      <f>SUM(C3:T3)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10" odxf="1" dxf="1">
    <oc r="B4" t="inlineStr">
      <is>
        <t>Aleksey Beletsky</t>
      </is>
    </oc>
    <nc r="B4" t="inlineStr">
      <is>
        <t>Aleksey Borodulin</t>
      </is>
    </nc>
    <odxf>
      <alignment horizontal="left" vertical="top" readingOrder="0"/>
    </odxf>
    <ndxf>
      <alignment horizontal="general" vertical="bottom" readingOrder="0"/>
    </ndxf>
  </rcc>
  <rfmt sheetId="10" sqref="C4" start="0" length="0">
    <dxf/>
  </rfmt>
  <rfmt sheetId="10" sqref="D4" start="0" length="0">
    <dxf/>
  </rfmt>
  <rfmt sheetId="10" sqref="E4" start="0" length="0">
    <dxf/>
  </rfmt>
  <rfmt sheetId="10" sqref="F4" start="0" length="0">
    <dxf/>
  </rfmt>
  <rfmt sheetId="10" sqref="G4" start="0" length="0">
    <dxf/>
  </rfmt>
  <rfmt sheetId="10" sqref="H4" start="0" length="0">
    <dxf/>
  </rfmt>
  <rcc rId="2393" sId="10" odxf="1" dxf="1">
    <oc r="I4">
      <v>123.535</v>
    </oc>
    <nc r="I4"/>
    <odxf/>
    <ndxf/>
  </rcc>
  <rfmt sheetId="10" sqref="J4" start="0" length="0">
    <dxf/>
  </rfmt>
  <rfmt sheetId="10" sqref="K4" start="0" length="0">
    <dxf/>
  </rfmt>
  <rfmt sheetId="10" sqref="L4" start="0" length="0">
    <dxf/>
  </rfmt>
  <rfmt sheetId="10" sqref="M4" start="0" length="0">
    <dxf/>
  </rfmt>
  <rfmt sheetId="10" sqref="N4" start="0" length="0">
    <dxf/>
  </rfmt>
  <rfmt sheetId="10" sqref="O4" start="0" length="0">
    <dxf/>
  </rfmt>
  <rcc rId="2394" sId="10" odxf="1" dxf="1">
    <nc r="P4">
      <v>108.65200000000002</v>
    </nc>
    <odxf/>
    <ndxf/>
  </rcc>
  <rfmt sheetId="10" sqref="Q4" start="0" length="0">
    <dxf/>
  </rfmt>
  <rcc rId="2395" sId="10" odxf="1" dxf="1">
    <oc r="R4">
      <f>SUM(C4:Q4)</f>
    </oc>
    <nc r="R4"/>
    <odxf/>
    <ndxf/>
  </rcc>
  <rfmt sheetId="10" sqref="S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6" sId="10" odxf="1" dxf="1">
    <nc r="U4">
      <f>SUM(C4:T4)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10" odxf="1" dxf="1">
    <oc r="B5" t="inlineStr">
      <is>
        <t>Aleksey Borodulin</t>
      </is>
    </oc>
    <nc r="B5" t="inlineStr">
      <is>
        <t>Aleksey Fedotov</t>
      </is>
    </nc>
    <odxf>
      <alignment horizontal="left" vertical="top" readingOrder="0"/>
    </odxf>
    <ndxf>
      <alignment horizontal="general" vertical="bottom" readingOrder="0"/>
    </ndxf>
  </rcc>
  <rfmt sheetId="10" sqref="C5" start="0" length="0">
    <dxf/>
  </rfmt>
  <rfmt sheetId="10" sqref="D5" start="0" length="0">
    <dxf/>
  </rfmt>
  <rfmt sheetId="10" sqref="E5" start="0" length="0">
    <dxf/>
  </rfmt>
  <rfmt sheetId="10" sqref="F5" start="0" length="0">
    <dxf/>
  </rfmt>
  <rfmt sheetId="10" sqref="G5" start="0" length="0">
    <dxf/>
  </rfmt>
  <rfmt sheetId="10" sqref="H5" start="0" length="0">
    <dxf/>
  </rfmt>
  <rcc rId="2398" sId="10" odxf="1" dxf="1">
    <oc r="I5">
      <v>222.73500000000001</v>
    </oc>
    <nc r="I5"/>
    <odxf/>
    <ndxf/>
  </rcc>
  <rfmt sheetId="10" sqref="J5" start="0" length="0">
    <dxf/>
  </rfmt>
  <rfmt sheetId="10" sqref="K5" start="0" length="0">
    <dxf/>
  </rfmt>
  <rfmt sheetId="10" sqref="L5" start="0" length="0">
    <dxf/>
  </rfmt>
  <rfmt sheetId="10" sqref="M5" start="0" length="0">
    <dxf/>
  </rfmt>
  <rfmt sheetId="10" sqref="N5" start="0" length="0">
    <dxf/>
  </rfmt>
  <rfmt sheetId="10" sqref="O5" start="0" length="0">
    <dxf/>
  </rfmt>
  <rcc rId="2399" sId="10" odxf="1" dxf="1">
    <nc r="P5">
      <v>98.234000000000009</v>
    </nc>
    <odxf/>
    <ndxf/>
  </rcc>
  <rfmt sheetId="10" sqref="Q5" start="0" length="0">
    <dxf/>
  </rfmt>
  <rcc rId="2400" sId="10" odxf="1" dxf="1">
    <oc r="R5">
      <f>SUM(C5:Q5)</f>
    </oc>
    <nc r="R5"/>
    <odxf/>
    <ndxf/>
  </rcc>
  <rfmt sheetId="10" sqref="S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1" sId="10" odxf="1" dxf="1">
    <nc r="U5">
      <f>SUM(C5:T5)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10" odxf="1" dxf="1">
    <oc r="B6" t="inlineStr">
      <is>
        <t>Aleksey Fedotov</t>
      </is>
    </oc>
    <nc r="B6" t="inlineStr">
      <is>
        <t>Alena Steganceva</t>
      </is>
    </nc>
    <odxf>
      <alignment horizontal="left" vertical="top" readingOrder="0"/>
    </odxf>
    <ndxf>
      <alignment horizontal="general" vertical="bottom" readingOrder="0"/>
    </ndxf>
  </rcc>
  <rfmt sheetId="10" sqref="C6" start="0" length="0">
    <dxf/>
  </rfmt>
  <rcc rId="2403" sId="10" odxf="1" dxf="1">
    <oc r="D6">
      <v>177.309</v>
    </oc>
    <nc r="D6"/>
    <odxf/>
    <ndxf/>
  </rcc>
  <rfmt sheetId="10" sqref="E6" start="0" length="0">
    <dxf/>
  </rfmt>
  <rfmt sheetId="10" sqref="F6" start="0" length="0">
    <dxf/>
  </rfmt>
  <rfmt sheetId="10" sqref="G6" start="0" length="0">
    <dxf/>
  </rfmt>
  <rfmt sheetId="10" sqref="H6" start="0" length="0">
    <dxf/>
  </rfmt>
  <rfmt sheetId="10" sqref="I6" start="0" length="0">
    <dxf/>
  </rfmt>
  <rfmt sheetId="10" sqref="J6" start="0" length="0">
    <dxf/>
  </rfmt>
  <rfmt sheetId="10" sqref="K6" start="0" length="0">
    <dxf/>
  </rfmt>
  <rcc rId="2404" sId="10" odxf="1" dxf="1">
    <nc r="L6">
      <v>18.72</v>
    </nc>
    <odxf/>
    <ndxf/>
  </rcc>
  <rcc rId="2405" sId="10" odxf="1" dxf="1">
    <nc r="M6">
      <v>141.309</v>
    </nc>
    <odxf/>
    <ndxf/>
  </rcc>
  <rfmt sheetId="10" sqref="N6" start="0" length="0">
    <dxf/>
  </rfmt>
  <rfmt sheetId="10" sqref="O6" start="0" length="0">
    <dxf/>
  </rfmt>
  <rfmt sheetId="10" sqref="P6" start="0" length="0">
    <dxf/>
  </rfmt>
  <rcc rId="2406" sId="10" odxf="1" dxf="1">
    <oc r="Q6">
      <v>21.8</v>
    </oc>
    <nc r="Q6"/>
    <odxf/>
    <ndxf/>
  </rcc>
  <rcc rId="2407" sId="10" odxf="1" dxf="1">
    <oc r="R6">
      <f>SUM(C6:Q6)</f>
    </oc>
    <nc r="R6"/>
    <odxf/>
    <ndxf/>
  </rcc>
  <rfmt sheetId="10" sqref="S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8" sId="10" odxf="1" dxf="1">
    <nc r="U6">
      <f>SUM(C6:T6)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9" sId="10" odxf="1" dxf="1">
    <oc r="B7" t="inlineStr">
      <is>
        <t>Alena Astapova</t>
      </is>
    </oc>
    <nc r="B7" t="inlineStr">
      <is>
        <t>Alexandr Baydullin</t>
      </is>
    </nc>
    <odxf>
      <alignment horizontal="left" vertical="top" readingOrder="0"/>
    </odxf>
    <ndxf>
      <alignment horizontal="general" vertical="bottom" readingOrder="0"/>
    </ndxf>
  </rcc>
  <rcc rId="2410" sId="10" odxf="1" dxf="1">
    <nc r="C7">
      <v>38.557000000000002</v>
    </nc>
    <odxf/>
    <ndxf/>
  </rcc>
  <rcc rId="2411" sId="10" odxf="1" dxf="1">
    <nc r="D7">
      <v>3.8809999999999998</v>
    </nc>
    <odxf/>
    <ndxf/>
  </rcc>
  <rcc rId="2412" sId="10" odxf="1" dxf="1">
    <nc r="E7">
      <v>73.850999999999999</v>
    </nc>
    <odxf/>
    <ndxf/>
  </rcc>
  <rfmt sheetId="10" sqref="F7" start="0" length="0">
    <dxf/>
  </rfmt>
  <rfmt sheetId="10" sqref="G7" start="0" length="0">
    <dxf/>
  </rfmt>
  <rfmt sheetId="10" sqref="H7" start="0" length="0">
    <dxf/>
  </rfmt>
  <rfmt sheetId="10" sqref="I7" start="0" length="0">
    <dxf/>
  </rfmt>
  <rfmt sheetId="10" sqref="J7" start="0" length="0">
    <dxf/>
  </rfmt>
  <rfmt sheetId="10" sqref="K7" start="0" length="0">
    <dxf/>
  </rfmt>
  <rfmt sheetId="10" sqref="L7" start="0" length="0">
    <dxf/>
  </rfmt>
  <rcc rId="2413" sId="10" odxf="1" dxf="1">
    <oc r="M7">
      <v>101.26</v>
    </oc>
    <nc r="M7"/>
    <odxf/>
    <ndxf/>
  </rcc>
  <rcc rId="2414" sId="10" odxf="1" dxf="1">
    <nc r="N7">
      <v>32.691000000000003</v>
    </nc>
    <odxf/>
    <ndxf/>
  </rcc>
  <rfmt sheetId="10" sqref="O7" start="0" length="0">
    <dxf/>
  </rfmt>
  <rfmt sheetId="10" sqref="P7" start="0" length="0">
    <dxf/>
  </rfmt>
  <rfmt sheetId="10" sqref="Q7" start="0" length="0">
    <dxf/>
  </rfmt>
  <rcc rId="2415" sId="10" odxf="1" dxf="1">
    <oc r="R7">
      <f>SUM(C7:Q7)</f>
    </oc>
    <nc r="R7"/>
    <odxf/>
    <ndxf/>
  </rcc>
  <rfmt sheetId="10" sqref="S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16" sId="10" odxf="1" dxf="1">
    <nc r="U7">
      <f>SUM(C7:T7)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7" sId="10" odxf="1" dxf="1">
    <oc r="B8" t="inlineStr">
      <is>
        <t>Alena Steganceva</t>
      </is>
    </oc>
    <nc r="B8" t="inlineStr">
      <is>
        <t>Alexandr Lotnik</t>
      </is>
    </nc>
    <odxf>
      <alignment horizontal="left" vertical="top" readingOrder="0"/>
    </odxf>
    <ndxf>
      <alignment horizontal="general" vertical="bottom" readingOrder="0"/>
    </ndxf>
  </rcc>
  <rfmt sheetId="10" sqref="C8" start="0" length="0">
    <dxf/>
  </rfmt>
  <rcc rId="2418" sId="10" odxf="1" dxf="1">
    <oc r="D8">
      <v>159.42000000000002</v>
    </oc>
    <nc r="D8"/>
    <odxf/>
    <ndxf/>
  </rcc>
  <rfmt sheetId="10" sqref="E8" start="0" length="0">
    <dxf/>
  </rfmt>
  <rfmt sheetId="10" sqref="F8" start="0" length="0">
    <dxf/>
  </rfmt>
  <rfmt sheetId="10" sqref="G8" start="0" length="0">
    <dxf/>
  </rfmt>
  <rfmt sheetId="10" sqref="H8" start="0" length="0">
    <dxf/>
  </rfmt>
  <rfmt sheetId="10" sqref="I8" start="0" length="0">
    <dxf/>
  </rfmt>
  <rfmt sheetId="10" sqref="J8" start="0" length="0">
    <dxf/>
  </rfmt>
  <rfmt sheetId="10" sqref="K8" start="0" length="0">
    <dxf/>
  </rfmt>
  <rfmt sheetId="10" sqref="L8" start="0" length="0">
    <dxf/>
  </rfmt>
  <rcc rId="2419" sId="10" odxf="1" dxf="1">
    <nc r="M8">
      <v>63.69</v>
    </nc>
    <odxf/>
    <ndxf/>
  </rcc>
  <rfmt sheetId="10" sqref="N8" start="0" length="0">
    <dxf/>
  </rfmt>
  <rfmt sheetId="10" sqref="O8" start="0" length="0">
    <dxf/>
  </rfmt>
  <rfmt sheetId="10" sqref="P8" start="0" length="0">
    <dxf/>
  </rfmt>
  <rfmt sheetId="10" sqref="Q8" start="0" length="0">
    <dxf/>
  </rfmt>
  <rcc rId="2420" sId="10" odxf="1" dxf="1">
    <oc r="R8">
      <f>SUM(C8:Q8)</f>
    </oc>
    <nc r="R8"/>
    <odxf/>
    <ndxf/>
  </rcc>
  <rfmt sheetId="10" sqref="S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1" sId="10" odxf="1" dxf="1">
    <nc r="U8">
      <f>SUM(C8:T8)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2" sId="10" odxf="1" dxf="1">
    <oc r="B9" t="inlineStr">
      <is>
        <t>Alexandr Baydullin</t>
      </is>
    </oc>
    <nc r="B9" t="inlineStr">
      <is>
        <t>Alexey Troskovets</t>
      </is>
    </nc>
    <odxf>
      <alignment horizontal="left" vertical="top" readingOrder="0"/>
    </odxf>
    <ndxf>
      <alignment horizontal="general" vertical="bottom" readingOrder="0"/>
    </ndxf>
  </rcc>
  <rfmt sheetId="10" sqref="C9" start="0" length="0">
    <dxf/>
  </rfmt>
  <rcc rId="2423" sId="10" odxf="1" dxf="1">
    <oc r="D9">
      <v>151.178</v>
    </oc>
    <nc r="D9"/>
    <odxf/>
    <ndxf/>
  </rcc>
  <rfmt sheetId="10" sqref="E9" start="0" length="0">
    <dxf/>
  </rfmt>
  <rfmt sheetId="10" sqref="F9" start="0" length="0">
    <dxf/>
  </rfmt>
  <rfmt sheetId="10" sqref="G9" start="0" length="0">
    <dxf/>
  </rfmt>
  <rfmt sheetId="10" sqref="H9" start="0" length="0">
    <dxf/>
  </rfmt>
  <rfmt sheetId="10" sqref="I9" start="0" length="0">
    <dxf/>
  </rfmt>
  <rfmt sheetId="10" sqref="J9" start="0" length="0">
    <dxf/>
  </rfmt>
  <rcc rId="2424" sId="10" odxf="1" dxf="1">
    <nc r="K9">
      <v>153.62300000000002</v>
    </nc>
    <odxf/>
    <ndxf/>
  </rcc>
  <rfmt sheetId="10" sqref="L9" start="0" length="0">
    <dxf/>
  </rfmt>
  <rfmt sheetId="10" sqref="M9" start="0" length="0">
    <dxf/>
  </rfmt>
  <rfmt sheetId="10" sqref="N9" start="0" length="0">
    <dxf/>
  </rfmt>
  <rfmt sheetId="10" sqref="O9" start="0" length="0">
    <dxf/>
  </rfmt>
  <rfmt sheetId="10" sqref="P9" start="0" length="0">
    <dxf/>
  </rfmt>
  <rcc rId="2425" sId="10" odxf="1" dxf="1">
    <oc r="Q9">
      <v>30.6</v>
    </oc>
    <nc r="Q9"/>
    <odxf/>
    <ndxf/>
  </rcc>
  <rcc rId="2426" sId="10" odxf="1" dxf="1">
    <oc r="R9">
      <f>SUM(C9:Q9)</f>
    </oc>
    <nc r="R9"/>
    <odxf/>
    <ndxf/>
  </rcc>
  <rfmt sheetId="10" sqref="S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7" sId="10" odxf="1" dxf="1">
    <nc r="U9">
      <f>SUM(C9:T9)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8" sId="10" odxf="1" dxf="1">
    <oc r="B10" t="inlineStr">
      <is>
        <t>Alexandr Lotnik</t>
      </is>
    </oc>
    <nc r="B10" t="inlineStr">
      <is>
        <t>Alina Sobol</t>
      </is>
    </nc>
    <odxf>
      <alignment horizontal="left" vertical="top" readingOrder="0"/>
    </odxf>
    <ndxf>
      <alignment horizontal="general" vertical="bottom" readingOrder="0"/>
    </ndxf>
  </rcc>
  <rfmt sheetId="10" sqref="C10" start="0" length="0">
    <dxf/>
  </rfmt>
  <rfmt sheetId="10" sqref="D10" start="0" length="0">
    <dxf/>
  </rfmt>
  <rfmt sheetId="10" sqref="E10" start="0" length="0">
    <dxf/>
  </rfmt>
  <rfmt sheetId="10" sqref="F10" start="0" length="0">
    <dxf/>
  </rfmt>
  <rfmt sheetId="10" sqref="G10" start="0" length="0">
    <dxf/>
  </rfmt>
  <rfmt sheetId="10" sqref="H10" start="0" length="0">
    <dxf/>
  </rfmt>
  <rfmt sheetId="10" sqref="I10" start="0" length="0">
    <dxf/>
  </rfmt>
  <rfmt sheetId="10" sqref="J10" start="0" length="0">
    <dxf/>
  </rfmt>
  <rcc rId="2429" sId="10" odxf="1" dxf="1">
    <oc r="K10">
      <v>133.32900000000001</v>
    </oc>
    <nc r="K10"/>
    <odxf/>
    <ndxf/>
  </rcc>
  <rfmt sheetId="10" sqref="L10" start="0" length="0">
    <dxf/>
  </rfmt>
  <rcc rId="2430" sId="10" odxf="1" dxf="1">
    <oc r="M10">
      <v>42.78</v>
    </oc>
    <nc r="M10">
      <v>41.460999999999999</v>
    </nc>
    <odxf/>
    <ndxf/>
  </rcc>
  <rcc rId="2431" sId="10" odxf="1" dxf="1">
    <nc r="N10">
      <v>124.9</v>
    </nc>
    <odxf/>
    <ndxf/>
  </rcc>
  <rfmt sheetId="10" sqref="O10" start="0" length="0">
    <dxf/>
  </rfmt>
  <rfmt sheetId="10" sqref="P10" start="0" length="0">
    <dxf/>
  </rfmt>
  <rfmt sheetId="10" sqref="Q10" start="0" length="0">
    <dxf/>
  </rfmt>
  <rcc rId="2432" sId="10" odxf="1" dxf="1">
    <oc r="R10">
      <f>SUM(C10:Q10)</f>
    </oc>
    <nc r="R10"/>
    <odxf/>
    <ndxf/>
  </rcc>
  <rfmt sheetId="10" sqref="S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3" sId="10" odxf="1" dxf="1">
    <nc r="U10">
      <f>SUM(C10:T10)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4" sId="10" odxf="1" dxf="1">
    <oc r="B11" t="inlineStr">
      <is>
        <t>Alexey Troskovets</t>
      </is>
    </oc>
    <nc r="B11" t="inlineStr">
      <is>
        <t>Aliona Khurdei</t>
      </is>
    </nc>
    <odxf>
      <alignment horizontal="left" vertical="top" readingOrder="0"/>
    </odxf>
    <ndxf>
      <alignment horizontal="general" vertical="bottom" readingOrder="0"/>
    </ndxf>
  </rcc>
  <rfmt sheetId="10" sqref="C11" start="0" length="0">
    <dxf/>
  </rfmt>
  <rfmt sheetId="10" sqref="D11" start="0" length="0">
    <dxf/>
  </rfmt>
  <rfmt sheetId="10" sqref="E11" start="0" length="0">
    <dxf/>
  </rfmt>
  <rfmt sheetId="10" sqref="F11" start="0" length="0">
    <dxf/>
  </rfmt>
  <rfmt sheetId="10" sqref="G11" start="0" length="0">
    <dxf/>
  </rfmt>
  <rfmt sheetId="10" sqref="H11" start="0" length="0">
    <dxf/>
  </rfmt>
  <rcc rId="2435" sId="10" odxf="1" dxf="1">
    <nc r="I11">
      <v>153.726</v>
    </nc>
    <odxf/>
    <ndxf/>
  </rcc>
  <rfmt sheetId="10" sqref="J11" start="0" length="0">
    <dxf/>
  </rfmt>
  <rfmt sheetId="10" sqref="K11" start="0" length="0">
    <dxf/>
  </rfmt>
  <rfmt sheetId="10" sqref="L11" start="0" length="0">
    <dxf/>
  </rfmt>
  <rcc rId="2436" sId="10" odxf="1" dxf="1">
    <oc r="M11">
      <v>188.37</v>
    </oc>
    <nc r="M11"/>
    <odxf/>
    <ndxf/>
  </rcc>
  <rfmt sheetId="10" sqref="N11" start="0" length="0">
    <dxf/>
  </rfmt>
  <rfmt sheetId="10" sqref="O11" start="0" length="0">
    <dxf/>
  </rfmt>
  <rfmt sheetId="10" sqref="P11" start="0" length="0">
    <dxf/>
  </rfmt>
  <rfmt sheetId="10" sqref="Q11" start="0" length="0">
    <dxf/>
  </rfmt>
  <rcc rId="2437" sId="10" odxf="1" dxf="1">
    <oc r="R11">
      <f>SUM(C11:Q11)</f>
    </oc>
    <nc r="R11"/>
    <odxf/>
    <ndxf/>
  </rcc>
  <rfmt sheetId="10" sqref="S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8" sId="10" odxf="1" dxf="1">
    <nc r="U11">
      <f>SUM(C11:T11)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9" sId="10" odxf="1" dxf="1">
    <oc r="B12" t="inlineStr">
      <is>
        <t>Alina Sobol</t>
      </is>
    </oc>
    <nc r="B12" t="inlineStr">
      <is>
        <t>Anastasia Vavilova</t>
      </is>
    </nc>
    <odxf>
      <alignment horizontal="left" vertical="top" readingOrder="0"/>
    </odxf>
    <ndxf>
      <alignment horizontal="general" vertical="bottom" readingOrder="0"/>
    </ndxf>
  </rcc>
  <rfmt sheetId="10" sqref="C12" start="0" length="0">
    <dxf/>
  </rfmt>
  <rfmt sheetId="10" sqref="D12" start="0" length="0">
    <dxf/>
  </rfmt>
  <rfmt sheetId="10" sqref="E12" start="0" length="0">
    <dxf/>
  </rfmt>
  <rfmt sheetId="10" sqref="F12" start="0" length="0">
    <dxf/>
  </rfmt>
  <rfmt sheetId="10" sqref="G12" start="0" length="0">
    <dxf/>
  </rfmt>
  <rfmt sheetId="10" sqref="H12" start="0" length="0">
    <dxf/>
  </rfmt>
  <rfmt sheetId="10" sqref="I12" start="0" length="0">
    <dxf/>
  </rfmt>
  <rfmt sheetId="10" sqref="J12" start="0" length="0">
    <dxf/>
  </rfmt>
  <rfmt sheetId="10" sqref="K12" start="0" length="0">
    <dxf/>
  </rfmt>
  <rfmt sheetId="10" sqref="L12" start="0" length="0">
    <dxf/>
  </rfmt>
  <rcc rId="2440" sId="10" odxf="1" dxf="1">
    <nc r="M12">
      <v>166.59600000000003</v>
    </nc>
    <odxf/>
    <ndxf/>
  </rcc>
  <rcc rId="2441" sId="10" odxf="1" dxf="1">
    <oc r="N12">
      <v>110.355</v>
    </oc>
    <nc r="N12">
      <v>16.734999999999999</v>
    </nc>
    <odxf/>
    <ndxf/>
  </rcc>
  <rfmt sheetId="10" sqref="O12" start="0" length="0">
    <dxf/>
  </rfmt>
  <rfmt sheetId="10" sqref="P12" start="0" length="0">
    <dxf/>
  </rfmt>
  <rfmt sheetId="10" sqref="Q12" start="0" length="0">
    <dxf/>
  </rfmt>
  <rcc rId="2442" sId="10" odxf="1" dxf="1">
    <oc r="R12">
      <f>SUM(C12:Q12)</f>
    </oc>
    <nc r="R12"/>
    <odxf/>
    <ndxf/>
  </rcc>
  <rfmt sheetId="10" sqref="S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3" sId="10" odxf="1" dxf="1">
    <nc r="U12">
      <f>SUM(C12:T12)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4" sId="10" odxf="1" dxf="1">
    <oc r="B13" t="inlineStr">
      <is>
        <t>Aliona Khurdei</t>
      </is>
    </oc>
    <nc r="B13" t="inlineStr">
      <is>
        <t>Anastasia Verkhovod</t>
      </is>
    </nc>
    <odxf>
      <alignment horizontal="left" vertical="top" readingOrder="0"/>
    </odxf>
    <ndxf>
      <alignment horizontal="general" vertical="bottom" readingOrder="0"/>
    </ndxf>
  </rcc>
  <rfmt sheetId="10" sqref="C13" start="0" length="0">
    <dxf/>
  </rfmt>
  <rcc rId="2445" sId="10" odxf="1" dxf="1">
    <nc r="D13">
      <v>143.148</v>
    </nc>
    <odxf/>
    <ndxf/>
  </rcc>
  <rfmt sheetId="10" sqref="E13" start="0" length="0">
    <dxf/>
  </rfmt>
  <rfmt sheetId="10" sqref="F13" start="0" length="0">
    <dxf/>
  </rfmt>
  <rfmt sheetId="10" sqref="G13" start="0" length="0">
    <dxf/>
  </rfmt>
  <rfmt sheetId="10" sqref="H13" start="0" length="0">
    <dxf/>
  </rfmt>
  <rfmt sheetId="10" sqref="I13" start="0" length="0">
    <dxf/>
  </rfmt>
  <rfmt sheetId="10" sqref="J13" start="0" length="0">
    <dxf/>
  </rfmt>
  <rfmt sheetId="10" sqref="K13" start="0" length="0">
    <dxf/>
  </rfmt>
  <rfmt sheetId="10" sqref="L13" start="0" length="0">
    <dxf/>
  </rfmt>
  <rcc rId="2446" sId="10" odxf="1" dxf="1">
    <oc r="M13">
      <v>138.24999999999997</v>
    </oc>
    <nc r="M13"/>
    <odxf/>
    <ndxf/>
  </rcc>
  <rfmt sheetId="10" sqref="N13" start="0" length="0">
    <dxf/>
  </rfmt>
  <rfmt sheetId="10" sqref="O13" start="0" length="0">
    <dxf/>
  </rfmt>
  <rfmt sheetId="10" sqref="P13" start="0" length="0">
    <dxf/>
  </rfmt>
  <rfmt sheetId="10" sqref="Q13" start="0" length="0">
    <dxf/>
  </rfmt>
  <rcc rId="2447" sId="10" odxf="1" dxf="1">
    <oc r="R13">
      <f>SUM(C13:Q13)</f>
    </oc>
    <nc r="R13"/>
    <odxf/>
    <ndxf/>
  </rcc>
  <rfmt sheetId="10" sqref="S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8" sId="10" odxf="1" dxf="1">
    <nc r="U13">
      <f>SUM(C13:T13)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9" sId="10" odxf="1" dxf="1">
    <oc r="B14" t="inlineStr">
      <is>
        <t>Anastasia Vavilova</t>
      </is>
    </oc>
    <nc r="B14" t="inlineStr">
      <is>
        <t>Anastasiya Griсenko</t>
      </is>
    </nc>
    <odxf>
      <alignment horizontal="left" vertical="top" readingOrder="0"/>
    </odxf>
    <ndxf>
      <alignment horizontal="general" vertical="bottom" readingOrder="0"/>
    </ndxf>
  </rcc>
  <rfmt sheetId="10" sqref="C14" start="0" length="0">
    <dxf/>
  </rfmt>
  <rfmt sheetId="10" sqref="D14" start="0" length="0">
    <dxf/>
  </rfmt>
  <rfmt sheetId="10" sqref="E14" start="0" length="0">
    <dxf/>
  </rfmt>
  <rfmt sheetId="10" sqref="F14" start="0" length="0">
    <dxf/>
  </rfmt>
  <rfmt sheetId="10" sqref="G14" start="0" length="0">
    <dxf/>
  </rfmt>
  <rfmt sheetId="10" sqref="H14" start="0" length="0">
    <dxf/>
  </rfmt>
  <rfmt sheetId="10" sqref="I14" start="0" length="0">
    <dxf/>
  </rfmt>
  <rfmt sheetId="10" sqref="J14" start="0" length="0">
    <dxf/>
  </rfmt>
  <rfmt sheetId="10" sqref="K14" start="0" length="0">
    <dxf/>
  </rfmt>
  <rfmt sheetId="10" sqref="L14" start="0" length="0">
    <dxf/>
  </rfmt>
  <rfmt sheetId="10" sqref="M14" start="0" length="0">
    <dxf/>
  </rfmt>
  <rfmt sheetId="10" sqref="N14" start="0" length="0">
    <dxf/>
  </rfmt>
  <rcc rId="2450" sId="10" odxf="1" dxf="1">
    <oc r="O14">
      <v>201.06900000000002</v>
    </oc>
    <nc r="O14"/>
    <odxf/>
    <ndxf/>
  </rcc>
  <rcc rId="2451" sId="10" odxf="1" dxf="1">
    <nc r="P14">
      <v>176.739</v>
    </nc>
    <odxf/>
    <ndxf/>
  </rcc>
  <rfmt sheetId="10" sqref="Q14" start="0" length="0">
    <dxf/>
  </rfmt>
  <rcc rId="2452" sId="10" odxf="1" dxf="1">
    <oc r="R14">
      <f>SUM(C14:Q14)</f>
    </oc>
    <nc r="R14"/>
    <odxf/>
    <ndxf/>
  </rcc>
  <rfmt sheetId="10" sqref="S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3" sId="10" odxf="1" dxf="1">
    <nc r="U14">
      <f>SUM(C14:T14)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4" sId="10" odxf="1" dxf="1">
    <oc r="B15" t="inlineStr">
      <is>
        <t>Anastasia Verkhovod</t>
      </is>
    </oc>
    <nc r="B15" t="inlineStr">
      <is>
        <t>Anatoliy Pronyk</t>
      </is>
    </nc>
    <odxf>
      <alignment horizontal="left" vertical="top" readingOrder="0"/>
    </odxf>
    <ndxf>
      <alignment horizontal="general" vertical="bottom" readingOrder="0"/>
    </ndxf>
  </rcc>
  <rfmt sheetId="10" sqref="C15" start="0" length="0">
    <dxf/>
  </rfmt>
  <rcc rId="2455" sId="10" odxf="1" dxf="1">
    <oc r="D15">
      <v>162.57200000000003</v>
    </oc>
    <nc r="D15"/>
    <odxf/>
    <ndxf/>
  </rcc>
  <rfmt sheetId="10" sqref="E15" start="0" length="0">
    <dxf/>
  </rfmt>
  <rfmt sheetId="10" sqref="F15" start="0" length="0">
    <dxf/>
  </rfmt>
  <rfmt sheetId="10" sqref="G15" start="0" length="0">
    <dxf/>
  </rfmt>
  <rfmt sheetId="10" sqref="H15" start="0" length="0">
    <dxf/>
  </rfmt>
  <rfmt sheetId="10" sqref="I15" start="0" length="0">
    <dxf/>
  </rfmt>
  <rfmt sheetId="10" sqref="J15" start="0" length="0">
    <dxf/>
  </rfmt>
  <rfmt sheetId="10" sqref="K15" start="0" length="0">
    <dxf/>
  </rfmt>
  <rfmt sheetId="10" sqref="L15" start="0" length="0">
    <dxf/>
  </rfmt>
  <rfmt sheetId="10" sqref="M15" start="0" length="0">
    <dxf/>
  </rfmt>
  <rcc rId="2456" sId="10" odxf="1" dxf="1">
    <nc r="N15">
      <v>29.099000000000004</v>
    </nc>
    <odxf/>
    <ndxf/>
  </rcc>
  <rfmt sheetId="10" sqref="O15" start="0" length="0">
    <dxf/>
  </rfmt>
  <rfmt sheetId="10" sqref="P15" start="0" length="0">
    <dxf/>
  </rfmt>
  <rfmt sheetId="10" sqref="Q15" start="0" length="0">
    <dxf/>
  </rfmt>
  <rcc rId="2457" sId="10" odxf="1" dxf="1">
    <oc r="R15">
      <f>SUM(C15:Q15)</f>
    </oc>
    <nc r="R15"/>
    <odxf/>
    <ndxf/>
  </rcc>
  <rfmt sheetId="10" sqref="S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8" sId="10" odxf="1" dxf="1">
    <nc r="U15">
      <f>SUM(C15:T15)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9" sId="10" odxf="1" dxf="1">
    <oc r="B16" t="inlineStr">
      <is>
        <t>Anastasiia Khaustova</t>
      </is>
    </oc>
    <nc r="B16" t="inlineStr">
      <is>
        <t>Andrey Kutsenko</t>
      </is>
    </nc>
    <odxf>
      <alignment horizontal="left" vertical="top" readingOrder="0"/>
    </odxf>
    <ndxf>
      <alignment horizontal="general" vertical="bottom" readingOrder="0"/>
    </ndxf>
  </rcc>
  <rfmt sheetId="10" sqref="C16" start="0" length="0">
    <dxf/>
  </rfmt>
  <rfmt sheetId="10" sqref="D16" start="0" length="0">
    <dxf/>
  </rfmt>
  <rfmt sheetId="10" sqref="E16" start="0" length="0">
    <dxf/>
  </rfmt>
  <rfmt sheetId="10" sqref="F16" start="0" length="0">
    <dxf/>
  </rfmt>
  <rfmt sheetId="10" sqref="G16" start="0" length="0">
    <dxf/>
  </rfmt>
  <rcc rId="2460" sId="10" odxf="1" dxf="1">
    <nc r="H16">
      <v>81.073000000000008</v>
    </nc>
    <odxf/>
    <ndxf/>
  </rcc>
  <rfmt sheetId="10" sqref="I16" start="0" length="0">
    <dxf/>
  </rfmt>
  <rfmt sheetId="10" sqref="J16" start="0" length="0">
    <dxf/>
  </rfmt>
  <rfmt sheetId="10" sqref="K16" start="0" length="0">
    <dxf/>
  </rfmt>
  <rcc rId="2461" sId="10" odxf="1" dxf="1">
    <oc r="L16">
      <v>108.22999999999999</v>
    </oc>
    <nc r="L16"/>
    <odxf/>
    <ndxf/>
  </rcc>
  <rfmt sheetId="10" sqref="M16" start="0" length="0">
    <dxf/>
  </rfmt>
  <rfmt sheetId="10" sqref="N16" start="0" length="0">
    <dxf/>
  </rfmt>
  <rfmt sheetId="10" sqref="O16" start="0" length="0">
    <dxf/>
  </rfmt>
  <rfmt sheetId="10" sqref="P16" start="0" length="0">
    <dxf/>
  </rfmt>
  <rfmt sheetId="10" sqref="Q16" start="0" length="0">
    <dxf/>
  </rfmt>
  <rcc rId="2462" sId="10" odxf="1" dxf="1">
    <oc r="R16">
      <f>SUM(C16:Q16)</f>
    </oc>
    <nc r="R16"/>
    <odxf/>
    <ndxf/>
  </rcc>
  <rfmt sheetId="10" sqref="S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3" sId="10" odxf="1" dxf="1">
    <nc r="U16">
      <f>SUM(C16:T16)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4" sId="10" odxf="1" dxf="1">
    <oc r="B17" t="inlineStr">
      <is>
        <t>Anastasiya Griсenko</t>
      </is>
    </oc>
    <nc r="B17" t="inlineStr">
      <is>
        <t>Andrey Plakhotnik</t>
      </is>
    </nc>
    <odxf>
      <alignment horizontal="left" vertical="top" readingOrder="0"/>
    </odxf>
    <ndxf>
      <alignment horizontal="general" vertical="bottom" readingOrder="0"/>
    </ndxf>
  </rcc>
  <rfmt sheetId="10" sqref="C17" start="0" length="0">
    <dxf/>
  </rfmt>
  <rfmt sheetId="10" sqref="D17" start="0" length="0">
    <dxf/>
  </rfmt>
  <rfmt sheetId="10" sqref="E17" start="0" length="0">
    <dxf/>
  </rfmt>
  <rfmt sheetId="10" sqref="F17" start="0" length="0">
    <dxf/>
  </rfmt>
  <rfmt sheetId="10" sqref="G17" start="0" length="0">
    <dxf/>
  </rfmt>
  <rfmt sheetId="10" sqref="H17" start="0" length="0">
    <dxf/>
  </rfmt>
  <rfmt sheetId="10" sqref="I17" start="0" length="0">
    <dxf/>
  </rfmt>
  <rfmt sheetId="10" sqref="J17" start="0" length="0">
    <dxf/>
  </rfmt>
  <rfmt sheetId="10" sqref="K17" start="0" length="0">
    <dxf/>
  </rfmt>
  <rfmt sheetId="10" sqref="L17" start="0" length="0">
    <dxf/>
  </rfmt>
  <rcc rId="2465" sId="10" odxf="1" dxf="1">
    <oc r="M17">
      <v>163.72999999999999</v>
    </oc>
    <nc r="M17"/>
    <odxf/>
    <ndxf/>
  </rcc>
  <rfmt sheetId="10" sqref="N17" start="0" length="0">
    <dxf/>
  </rfmt>
  <rfmt sheetId="10" sqref="O17" start="0" length="0">
    <dxf/>
  </rfmt>
  <rfmt sheetId="10" sqref="P17" start="0" length="0">
    <dxf/>
  </rfmt>
  <rcc rId="2466" sId="10" odxf="1" dxf="1">
    <oc r="Q17">
      <v>22.1</v>
    </oc>
    <nc r="Q17"/>
    <odxf/>
    <ndxf/>
  </rcc>
  <rcc rId="2467" sId="10" odxf="1" dxf="1">
    <oc r="R17">
      <f>SUM(C17:Q17)</f>
    </oc>
    <nc r="R17"/>
    <odxf/>
    <ndxf/>
  </rcc>
  <rcc rId="2468" sId="10" odxf="1" dxf="1">
    <nc r="S17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9" sId="10" odxf="1" dxf="1">
    <nc r="U17">
      <f>SUM(C17:T17)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0" sId="10" odxf="1" dxf="1">
    <oc r="B18" t="inlineStr">
      <is>
        <t>Anatoliy Pronyk</t>
      </is>
    </oc>
    <nc r="B18" t="inlineStr">
      <is>
        <t>Andrey Puzik</t>
      </is>
    </nc>
    <odxf>
      <alignment horizontal="left" vertical="top" readingOrder="0"/>
    </odxf>
    <ndxf>
      <alignment horizontal="general" vertical="bottom" readingOrder="0"/>
    </ndxf>
  </rcc>
  <rfmt sheetId="10" sqref="C18" start="0" length="0">
    <dxf/>
  </rfmt>
  <rfmt sheetId="10" sqref="D18" start="0" length="0">
    <dxf/>
  </rfmt>
  <rfmt sheetId="10" sqref="E18" start="0" length="0">
    <dxf/>
  </rfmt>
  <rfmt sheetId="10" sqref="F18" start="0" length="0">
    <dxf/>
  </rfmt>
  <rfmt sheetId="10" sqref="G18" start="0" length="0">
    <dxf/>
  </rfmt>
  <rcc rId="2471" sId="10" odxf="1" dxf="1">
    <nc r="H18">
      <v>129.67699999999999</v>
    </nc>
    <odxf/>
    <ndxf/>
  </rcc>
  <rfmt sheetId="10" sqref="I18" start="0" length="0">
    <dxf/>
  </rfmt>
  <rfmt sheetId="10" sqref="J18" start="0" length="0">
    <dxf/>
  </rfmt>
  <rfmt sheetId="10" sqref="K18" start="0" length="0">
    <dxf/>
  </rfmt>
  <rfmt sheetId="10" sqref="L18" start="0" length="0">
    <dxf/>
  </rfmt>
  <rfmt sheetId="10" sqref="M18" start="0" length="0">
    <dxf/>
  </rfmt>
  <rcc rId="2472" sId="10" odxf="1" dxf="1">
    <oc r="N18">
      <v>129.01500000000001</v>
    </oc>
    <nc r="N18"/>
    <odxf/>
    <ndxf/>
  </rcc>
  <rfmt sheetId="10" sqref="O18" start="0" length="0">
    <dxf/>
  </rfmt>
  <rfmt sheetId="10" sqref="P18" start="0" length="0">
    <dxf/>
  </rfmt>
  <rfmt sheetId="10" sqref="Q18" start="0" length="0">
    <dxf/>
  </rfmt>
  <rcc rId="2473" sId="10" odxf="1" dxf="1">
    <oc r="R18">
      <f>SUM(C18:Q18)</f>
    </oc>
    <nc r="R18"/>
    <odxf/>
    <ndxf/>
  </rcc>
  <rfmt sheetId="10" sqref="S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74" sId="10" odxf="1" dxf="1">
    <nc r="U18">
      <f>SUM(C18:T18)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5" sId="10" odxf="1" dxf="1">
    <oc r="B19" t="inlineStr">
      <is>
        <t>Andrey Kutsenko</t>
      </is>
    </oc>
    <nc r="B19" t="inlineStr">
      <is>
        <t>Andrey Slichenko</t>
      </is>
    </nc>
    <odxf>
      <alignment horizontal="left" vertical="top" readingOrder="0"/>
    </odxf>
    <ndxf>
      <alignment horizontal="general" vertical="bottom" readingOrder="0"/>
    </ndxf>
  </rcc>
  <rcc rId="2476" sId="10" odxf="1" dxf="1">
    <nc r="C19">
      <v>97.709000000000003</v>
    </nc>
    <odxf/>
    <ndxf/>
  </rcc>
  <rcc rId="2477" sId="10" odxf="1" dxf="1">
    <nc r="D19">
      <v>41.762</v>
    </nc>
    <odxf/>
    <ndxf/>
  </rcc>
  <rfmt sheetId="10" sqref="E19" start="0" length="0">
    <dxf/>
  </rfmt>
  <rfmt sheetId="10" sqref="F19" start="0" length="0">
    <dxf/>
  </rfmt>
  <rcc rId="2478" sId="10" odxf="1" dxf="1">
    <oc r="G19">
      <v>103.58000000000001</v>
    </oc>
    <nc r="G19"/>
    <odxf/>
    <ndxf/>
  </rcc>
  <rfmt sheetId="10" sqref="H19" start="0" length="0">
    <dxf/>
  </rfmt>
  <rfmt sheetId="10" sqref="I19" start="0" length="0">
    <dxf/>
  </rfmt>
  <rfmt sheetId="10" sqref="J19" start="0" length="0">
    <dxf/>
  </rfmt>
  <rfmt sheetId="10" sqref="K19" start="0" length="0">
    <dxf/>
  </rfmt>
  <rfmt sheetId="10" sqref="L19" start="0" length="0">
    <dxf/>
  </rfmt>
  <rfmt sheetId="10" sqref="M19" start="0" length="0">
    <dxf/>
  </rfmt>
  <rfmt sheetId="10" sqref="N19" start="0" length="0">
    <dxf/>
  </rfmt>
  <rfmt sheetId="10" sqref="O19" start="0" length="0">
    <dxf/>
  </rfmt>
  <rcc rId="2479" sId="10" odxf="1" dxf="1">
    <oc r="P19">
      <v>25.358000000000004</v>
    </oc>
    <nc r="P19"/>
    <odxf/>
    <ndxf/>
  </rcc>
  <rfmt sheetId="10" sqref="Q19" start="0" length="0">
    <dxf/>
  </rfmt>
  <rcc rId="2480" sId="10" odxf="1" dxf="1">
    <oc r="R19">
      <f>SUM(C19:Q19)</f>
    </oc>
    <nc r="R19"/>
    <odxf/>
    <ndxf/>
  </rcc>
  <rfmt sheetId="10" sqref="S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1" sId="10" odxf="1" dxf="1">
    <nc r="U19">
      <f>SUM(C19:T19)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2" sId="10" odxf="1" dxf="1">
    <oc r="B20" t="inlineStr">
      <is>
        <t>Andrey Plakhotnik</t>
      </is>
    </oc>
    <nc r="B20" t="inlineStr">
      <is>
        <t>Andrii Buryk</t>
      </is>
    </nc>
    <odxf>
      <alignment horizontal="left" vertical="top" readingOrder="0"/>
    </odxf>
    <ndxf>
      <alignment horizontal="general" vertical="bottom" readingOrder="0"/>
    </ndxf>
  </rcc>
  <rfmt sheetId="10" sqref="C20" start="0" length="0">
    <dxf/>
  </rfmt>
  <rcc rId="2483" sId="10" odxf="1" dxf="1">
    <oc r="D20">
      <v>176.54300000000001</v>
    </oc>
    <nc r="D20"/>
    <odxf/>
    <ndxf/>
  </rcc>
  <rfmt sheetId="10" sqref="E20" start="0" length="0">
    <dxf/>
  </rfmt>
  <rfmt sheetId="10" sqref="F20" start="0" length="0">
    <dxf/>
  </rfmt>
  <rfmt sheetId="10" sqref="G20" start="0" length="0">
    <dxf/>
  </rfmt>
  <rfmt sheetId="10" sqref="H20" start="0" length="0">
    <dxf/>
  </rfmt>
  <rfmt sheetId="10" sqref="I20" start="0" length="0">
    <dxf/>
  </rfmt>
  <rfmt sheetId="10" sqref="J20" start="0" length="0">
    <dxf/>
  </rfmt>
  <rfmt sheetId="10" sqref="K20" start="0" length="0">
    <dxf/>
  </rfmt>
  <rfmt sheetId="10" sqref="L20" start="0" length="0">
    <dxf/>
  </rfmt>
  <rfmt sheetId="10" sqref="M20" start="0" length="0">
    <dxf/>
  </rfmt>
  <rfmt sheetId="10" sqref="N20" start="0" length="0">
    <dxf/>
  </rfmt>
  <rfmt sheetId="10" sqref="O20" start="0" length="0">
    <dxf/>
  </rfmt>
  <rfmt sheetId="10" sqref="P20" start="0" length="0">
    <dxf/>
  </rfmt>
  <rcc rId="2484" sId="10" odxf="1" dxf="1">
    <oc r="Q20">
      <v>23</v>
    </oc>
    <nc r="Q20">
      <v>226.23399999999995</v>
    </nc>
    <odxf/>
    <ndxf/>
  </rcc>
  <rcc rId="2485" sId="10" odxf="1" dxf="1">
    <oc r="R20">
      <f>SUM(C20:Q20)</f>
    </oc>
    <nc r="R20"/>
    <odxf/>
    <ndxf/>
  </rcc>
  <rfmt sheetId="10" sqref="S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6" sId="10" odxf="1" dxf="1">
    <nc r="U20">
      <f>SUM(C20:T20)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7" sId="10" odxf="1" dxf="1">
    <oc r="B21" t="inlineStr">
      <is>
        <t>Andrey Puzik</t>
      </is>
    </oc>
    <nc r="B21" t="inlineStr">
      <is>
        <t>Andrii Shulika</t>
      </is>
    </nc>
    <odxf>
      <alignment horizontal="left" vertical="top" readingOrder="0"/>
    </odxf>
    <ndxf>
      <alignment horizontal="general" vertical="bottom" readingOrder="0"/>
    </ndxf>
  </rcc>
  <rfmt sheetId="10" sqref="C21" start="0" length="0">
    <dxf/>
  </rfmt>
  <rfmt sheetId="10" sqref="D21" start="0" length="0">
    <dxf/>
  </rfmt>
  <rfmt sheetId="10" sqref="E21" start="0" length="0">
    <dxf/>
  </rfmt>
  <rfmt sheetId="10" sqref="F21" start="0" length="0">
    <dxf/>
  </rfmt>
  <rcc rId="2488" sId="10" odxf="1" dxf="1">
    <oc r="G21">
      <v>94.4</v>
    </oc>
    <nc r="G21"/>
    <odxf/>
    <ndxf/>
  </rcc>
  <rfmt sheetId="10" sqref="H21" start="0" length="0">
    <dxf/>
  </rfmt>
  <rfmt sheetId="10" sqref="I21" start="0" length="0">
    <dxf/>
  </rfmt>
  <rfmt sheetId="10" sqref="J21" start="0" length="0">
    <dxf/>
  </rfmt>
  <rfmt sheetId="10" sqref="K21" start="0" length="0">
    <dxf/>
  </rfmt>
  <rfmt sheetId="10" sqref="L21" start="0" length="0">
    <dxf/>
  </rfmt>
  <rfmt sheetId="10" sqref="M21" start="0" length="0">
    <dxf/>
  </rfmt>
  <rfmt sheetId="10" sqref="N21" start="0" length="0">
    <dxf/>
  </rfmt>
  <rfmt sheetId="10" sqref="O21" start="0" length="0">
    <dxf/>
  </rfmt>
  <rfmt sheetId="10" sqref="P21" start="0" length="0">
    <dxf/>
  </rfmt>
  <rfmt sheetId="10" sqref="Q21" start="0" length="0">
    <dxf/>
  </rfmt>
  <rcc rId="2489" sId="10" odxf="1" dxf="1">
    <oc r="R21">
      <f>SUM(C21:Q21)</f>
    </oc>
    <nc r="R21">
      <v>115.47399999999998</v>
    </nc>
    <odxf/>
    <ndxf/>
  </rcc>
  <rfmt sheetId="10" sqref="S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0" sId="10" odxf="1" dxf="1">
    <nc r="U21">
      <f>SUM(C21:T21)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1" sId="10" odxf="1" dxf="1">
    <oc r="B22" t="inlineStr">
      <is>
        <t>Andrey Slichenko</t>
      </is>
    </oc>
    <nc r="B22" t="inlineStr">
      <is>
        <t>Anna Avdeeva</t>
      </is>
    </nc>
    <odxf>
      <alignment horizontal="left" vertical="top" readingOrder="0"/>
    </odxf>
    <ndxf>
      <alignment horizontal="general" vertical="bottom" readingOrder="0"/>
    </ndxf>
  </rcc>
  <rfmt sheetId="10" sqref="C22" start="0" length="0">
    <dxf/>
  </rfmt>
  <rcc rId="2492" sId="10" odxf="1" dxf="1">
    <oc r="D22">
      <v>49.973000000000006</v>
    </oc>
    <nc r="D22"/>
    <odxf/>
    <ndxf/>
  </rcc>
  <rcc rId="2493" sId="10" odxf="1" dxf="1">
    <nc r="E22">
      <v>106.096</v>
    </nc>
    <odxf/>
    <ndxf/>
  </rcc>
  <rcc rId="2494" sId="10" odxf="1" dxf="1">
    <nc r="F22">
      <v>18.771000000000001</v>
    </nc>
    <odxf/>
    <ndxf/>
  </rcc>
  <rfmt sheetId="10" sqref="G22" start="0" length="0">
    <dxf/>
  </rfmt>
  <rfmt sheetId="10" sqref="H22" start="0" length="0">
    <dxf/>
  </rfmt>
  <rcc rId="2495" sId="10" odxf="1" dxf="1">
    <oc r="I22">
      <v>10.58</v>
    </oc>
    <nc r="I22"/>
    <odxf/>
    <ndxf/>
  </rcc>
  <rfmt sheetId="10" sqref="J22" start="0" length="0">
    <dxf/>
  </rfmt>
  <rfmt sheetId="10" sqref="K22" start="0" length="0">
    <dxf/>
  </rfmt>
  <rfmt sheetId="10" sqref="L22" start="0" length="0">
    <dxf/>
  </rfmt>
  <rfmt sheetId="10" sqref="M22" start="0" length="0">
    <dxf/>
  </rfmt>
  <rfmt sheetId="10" sqref="N22" start="0" length="0">
    <dxf/>
  </rfmt>
  <rfmt sheetId="10" sqref="O22" start="0" length="0">
    <dxf/>
  </rfmt>
  <rfmt sheetId="10" sqref="P22" start="0" length="0">
    <dxf/>
  </rfmt>
  <rcc rId="2496" sId="10" odxf="1" dxf="1">
    <oc r="Q22">
      <v>26.4</v>
    </oc>
    <nc r="Q22"/>
    <odxf/>
    <ndxf/>
  </rcc>
  <rcc rId="2497" sId="10" odxf="1" dxf="1">
    <oc r="R22">
      <f>SUM(C22:Q22)</f>
    </oc>
    <nc r="R22"/>
    <odxf/>
    <ndxf/>
  </rcc>
  <rfmt sheetId="10" sqref="S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8" sId="10" odxf="1" dxf="1">
    <nc r="U22">
      <f>SUM(C22:T22)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9" sId="10" odxf="1" dxf="1">
    <oc r="B23" t="inlineStr">
      <is>
        <t>Andrii Buryk</t>
      </is>
    </oc>
    <nc r="B23" t="inlineStr">
      <is>
        <t>Anna Koliadenko</t>
      </is>
    </nc>
    <odxf>
      <alignment horizontal="left" vertical="top" readingOrder="0"/>
    </odxf>
    <ndxf>
      <alignment horizontal="general" vertical="bottom" readingOrder="0"/>
    </ndxf>
  </rcc>
  <rfmt sheetId="10" sqref="C23" start="0" length="0">
    <dxf/>
  </rfmt>
  <rfmt sheetId="10" sqref="D23" start="0" length="0">
    <dxf/>
  </rfmt>
  <rcc rId="2500" sId="10" odxf="1" dxf="1">
    <nc r="E23">
      <v>151.35299999999998</v>
    </nc>
    <odxf/>
    <ndxf/>
  </rcc>
  <rcc rId="2501" sId="10" odxf="1" dxf="1">
    <nc r="F23">
      <v>37.362000000000002</v>
    </nc>
    <odxf/>
    <ndxf/>
  </rcc>
  <rfmt sheetId="10" sqref="G23" start="0" length="0">
    <dxf/>
  </rfmt>
  <rfmt sheetId="10" sqref="H23" start="0" length="0">
    <dxf/>
  </rfmt>
  <rcc rId="2502" sId="10" odxf="1" dxf="1">
    <nc r="I23">
      <v>20.076000000000001</v>
    </nc>
    <odxf/>
    <ndxf/>
  </rcc>
  <rfmt sheetId="10" sqref="J23" start="0" length="0">
    <dxf/>
  </rfmt>
  <rfmt sheetId="10" sqref="K23" start="0" length="0">
    <dxf/>
  </rfmt>
  <rfmt sheetId="10" sqref="L23" start="0" length="0">
    <dxf/>
  </rfmt>
  <rfmt sheetId="10" sqref="M23" start="0" length="0">
    <dxf/>
  </rfmt>
  <rfmt sheetId="10" sqref="N23" start="0" length="0">
    <dxf/>
  </rfmt>
  <rfmt sheetId="10" sqref="O23" start="0" length="0">
    <dxf/>
  </rfmt>
  <rcc rId="2503" sId="10" odxf="1" dxf="1">
    <oc r="P23">
      <v>187.95600000000002</v>
    </oc>
    <nc r="P23"/>
    <odxf/>
    <ndxf/>
  </rcc>
  <rfmt sheetId="10" sqref="Q23" start="0" length="0">
    <dxf/>
  </rfmt>
  <rcc rId="2504" sId="10" odxf="1" dxf="1">
    <oc r="R23">
      <f>SUM(C23:Q23)</f>
    </oc>
    <nc r="R23"/>
    <odxf/>
    <ndxf/>
  </rcc>
  <rfmt sheetId="10" sqref="S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05" sId="10" odxf="1" dxf="1">
    <nc r="U23">
      <f>SUM(C23:T23)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6" sId="10" odxf="1" dxf="1">
    <oc r="B24" t="inlineStr">
      <is>
        <t>Andrii Shulika</t>
      </is>
    </oc>
    <nc r="B24" t="inlineStr">
      <is>
        <t>Anna Novgorodova</t>
      </is>
    </nc>
    <odxf>
      <alignment horizontal="left" vertical="top" readingOrder="0"/>
    </odxf>
    <ndxf>
      <alignment horizontal="general" vertical="bottom" readingOrder="0"/>
    </ndxf>
  </rcc>
  <rfmt sheetId="10" sqref="C24" start="0" length="0">
    <dxf/>
  </rfmt>
  <rfmt sheetId="10" sqref="D24" start="0" length="0">
    <dxf/>
  </rfmt>
  <rfmt sheetId="10" sqref="E24" start="0" length="0">
    <dxf/>
  </rfmt>
  <rfmt sheetId="10" sqref="F24" start="0" length="0">
    <dxf/>
  </rfmt>
  <rfmt sheetId="10" sqref="G24" start="0" length="0">
    <dxf/>
  </rfmt>
  <rfmt sheetId="10" sqref="H24" start="0" length="0">
    <dxf/>
  </rfmt>
  <rfmt sheetId="10" sqref="I24" start="0" length="0">
    <dxf/>
  </rfmt>
  <rfmt sheetId="10" sqref="J24" start="0" length="0">
    <dxf/>
  </rfmt>
  <rfmt sheetId="10" sqref="K24" start="0" length="0">
    <dxf/>
  </rfmt>
  <rcc rId="2507" sId="10" odxf="1" dxf="1">
    <oc r="L24">
      <v>244.86</v>
    </oc>
    <nc r="L24"/>
    <odxf/>
    <ndxf/>
  </rcc>
  <rcc rId="2508" sId="10" odxf="1" dxf="1">
    <oc r="M24">
      <v>19.8</v>
    </oc>
    <nc r="M24"/>
    <odxf/>
    <ndxf/>
  </rcc>
  <rfmt sheetId="10" sqref="N24" start="0" length="0">
    <dxf/>
  </rfmt>
  <rfmt sheetId="10" sqref="O24" start="0" length="0">
    <dxf/>
  </rfmt>
  <rfmt sheetId="10" sqref="P24" start="0" length="0">
    <dxf/>
  </rfmt>
  <rcc rId="2509" sId="10" odxf="1" dxf="1">
    <nc r="Q24">
      <v>21.881999999999998</v>
    </nc>
    <odxf/>
    <ndxf/>
  </rcc>
  <rcc rId="2510" sId="10" odxf="1" dxf="1">
    <oc r="R24">
      <f>SUM(C24:Q24)</f>
    </oc>
    <nc r="R24"/>
    <odxf/>
    <ndxf/>
  </rcc>
  <rfmt sheetId="10" sqref="S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1" sId="10" odxf="1" dxf="1">
    <nc r="U24">
      <f>SUM(C24:T24)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2" sId="10" odxf="1" dxf="1">
    <oc r="B25" t="inlineStr">
      <is>
        <t>Anna Avdeeva</t>
      </is>
    </oc>
    <nc r="B25" t="inlineStr">
      <is>
        <t>Anna Ponomarenko</t>
      </is>
    </nc>
    <odxf>
      <alignment horizontal="left" vertical="top" readingOrder="0"/>
    </odxf>
    <ndxf>
      <alignment horizontal="general" vertical="bottom" readingOrder="0"/>
    </ndxf>
  </rcc>
  <rfmt sheetId="10" sqref="C25" start="0" length="0">
    <dxf/>
  </rfmt>
  <rfmt sheetId="10" sqref="D25" start="0" length="0">
    <dxf/>
  </rfmt>
  <rcc rId="2513" sId="10" odxf="1" dxf="1">
    <oc r="E25">
      <v>167.64500000000001</v>
    </oc>
    <nc r="E25"/>
    <odxf/>
    <ndxf/>
  </rcc>
  <rfmt sheetId="10" sqref="F25" start="0" length="0">
    <dxf/>
  </rfmt>
  <rfmt sheetId="10" sqref="G25" start="0" length="0">
    <dxf/>
  </rfmt>
  <rfmt sheetId="10" sqref="H25" start="0" length="0">
    <dxf/>
  </rfmt>
  <rfmt sheetId="10" sqref="I25" start="0" length="0">
    <dxf/>
  </rfmt>
  <rfmt sheetId="10" sqref="J25" start="0" length="0">
    <dxf/>
  </rfmt>
  <rcc rId="2514" sId="10" odxf="1" dxf="1">
    <nc r="K25">
      <v>18.733000000000001</v>
    </nc>
    <odxf/>
    <ndxf/>
  </rcc>
  <rfmt sheetId="10" sqref="L25" start="0" length="0">
    <dxf/>
  </rfmt>
  <rfmt sheetId="10" sqref="M25" start="0" length="0">
    <dxf/>
  </rfmt>
  <rcc rId="2515" sId="10" odxf="1" dxf="1">
    <nc r="N25">
      <v>103.47900000000001</v>
    </nc>
    <odxf/>
    <ndxf/>
  </rcc>
  <rfmt sheetId="10" sqref="O25" start="0" length="0">
    <dxf/>
  </rfmt>
  <rfmt sheetId="10" sqref="P25" start="0" length="0">
    <dxf/>
  </rfmt>
  <rfmt sheetId="10" sqref="Q25" start="0" length="0">
    <dxf/>
  </rfmt>
  <rcc rId="2516" sId="10" odxf="1" dxf="1">
    <oc r="R25">
      <f>SUM(C25:Q25)</f>
    </oc>
    <nc r="R25"/>
    <odxf/>
    <ndxf/>
  </rcc>
  <rfmt sheetId="10" sqref="S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7" sId="10" odxf="1" dxf="1">
    <nc r="U25">
      <f>SUM(C25:T25)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8" sId="10" odxf="1" dxf="1">
    <oc r="B26" t="inlineStr">
      <is>
        <t>Anna Koliadenko</t>
      </is>
    </oc>
    <nc r="B26" t="inlineStr">
      <is>
        <t>Anna Slichenko</t>
      </is>
    </nc>
    <odxf>
      <alignment horizontal="left" vertical="top" readingOrder="0"/>
    </odxf>
    <ndxf>
      <alignment horizontal="general" vertical="bottom" readingOrder="0"/>
    </ndxf>
  </rcc>
  <rfmt sheetId="10" sqref="C26" start="0" length="0">
    <dxf/>
  </rfmt>
  <rfmt sheetId="10" sqref="D26" start="0" length="0">
    <dxf/>
  </rfmt>
  <rcc rId="2519" sId="10" odxf="1" dxf="1">
    <oc r="E26">
      <v>201.01599999999999</v>
    </oc>
    <nc r="E26">
      <v>44.558999999999997</v>
    </nc>
    <odxf/>
    <ndxf/>
  </rcc>
  <rcc rId="2520" sId="10" odxf="1" dxf="1">
    <nc r="F26">
      <v>9.048</v>
    </nc>
    <odxf/>
    <ndxf/>
  </rcc>
  <rfmt sheetId="10" sqref="G26" start="0" length="0">
    <dxf/>
  </rfmt>
  <rfmt sheetId="10" sqref="H26" start="0" length="0">
    <dxf/>
  </rfmt>
  <rfmt sheetId="10" sqref="I26" start="0" length="0">
    <dxf/>
  </rfmt>
  <rfmt sheetId="10" sqref="J26" start="0" length="0">
    <dxf/>
  </rfmt>
  <rfmt sheetId="10" sqref="K26" start="0" length="0">
    <dxf/>
  </rfmt>
  <rfmt sheetId="10" sqref="L26" start="0" length="0">
    <dxf/>
  </rfmt>
  <rfmt sheetId="10" sqref="M26" start="0" length="0">
    <dxf/>
  </rfmt>
  <rcc rId="2521" sId="10" odxf="1" dxf="1">
    <nc r="N26">
      <v>5.8070000000000004</v>
    </nc>
    <odxf/>
    <ndxf/>
  </rcc>
  <rfmt sheetId="10" sqref="O26" start="0" length="0">
    <dxf/>
  </rfmt>
  <rfmt sheetId="10" sqref="P26" start="0" length="0">
    <dxf/>
  </rfmt>
  <rfmt sheetId="10" sqref="Q26" start="0" length="0">
    <dxf/>
  </rfmt>
  <rcc rId="2522" sId="10" odxf="1" dxf="1">
    <oc r="R26">
      <f>SUM(C26:Q26)</f>
    </oc>
    <nc r="R26"/>
    <odxf/>
    <ndxf/>
  </rcc>
  <rfmt sheetId="10" sqref="S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23" sId="10" odxf="1" dxf="1">
    <nc r="U26">
      <f>SUM(C26:T26)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4" sId="10" odxf="1" dxf="1">
    <oc r="B27" t="inlineStr">
      <is>
        <t>Anna Novgorodova</t>
      </is>
    </oc>
    <nc r="B27" t="inlineStr">
      <is>
        <t>Anna Symonchuk</t>
      </is>
    </nc>
    <odxf>
      <alignment horizontal="left" vertical="top" readingOrder="0"/>
    </odxf>
    <ndxf>
      <alignment horizontal="general" vertical="bottom" readingOrder="0"/>
    </ndxf>
  </rcc>
  <rcc rId="2525" sId="10" odxf="1" dxf="1">
    <nc r="C27">
      <v>128.19999999999999</v>
    </nc>
    <odxf/>
    <ndxf/>
  </rcc>
  <rfmt sheetId="10" sqref="D27" start="0" length="0">
    <dxf/>
  </rfmt>
  <rcc rId="2526" sId="10" odxf="1" dxf="1">
    <nc r="E27">
      <v>115</v>
    </nc>
    <odxf/>
    <ndxf/>
  </rcc>
  <rcc rId="2527" sId="10" odxf="1" dxf="1">
    <nc r="F27">
      <v>14</v>
    </nc>
    <odxf/>
    <ndxf/>
  </rcc>
  <rfmt sheetId="10" sqref="G27" start="0" length="0">
    <dxf/>
  </rfmt>
  <rfmt sheetId="10" sqref="H27" start="0" length="0">
    <dxf/>
  </rfmt>
  <rfmt sheetId="10" sqref="I27" start="0" length="0">
    <dxf/>
  </rfmt>
  <rfmt sheetId="10" sqref="J27" start="0" length="0">
    <dxf/>
  </rfmt>
  <rfmt sheetId="10" sqref="K27" start="0" length="0">
    <dxf/>
  </rfmt>
  <rfmt sheetId="10" sqref="L27" start="0" length="0">
    <dxf/>
  </rfmt>
  <rfmt sheetId="10" sqref="M27" start="0" length="0">
    <dxf/>
  </rfmt>
  <rfmt sheetId="10" sqref="N27" start="0" length="0">
    <dxf/>
  </rfmt>
  <rfmt sheetId="10" sqref="O27" start="0" length="0">
    <dxf/>
  </rfmt>
  <rcc rId="2528" sId="10" odxf="1" dxf="1">
    <oc r="P27">
      <v>16.056000000000001</v>
    </oc>
    <nc r="P27"/>
    <odxf/>
    <ndxf/>
  </rcc>
  <rcc rId="2529" sId="10" odxf="1" dxf="1">
    <oc r="Q27">
      <v>50</v>
    </oc>
    <nc r="Q27"/>
    <odxf/>
    <ndxf/>
  </rcc>
  <rcc rId="2530" sId="10" odxf="1" dxf="1">
    <oc r="R27">
      <f>SUM(C27:Q27)</f>
    </oc>
    <nc r="R27"/>
    <odxf/>
    <ndxf/>
  </rcc>
  <rfmt sheetId="10" sqref="S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1" sId="10" odxf="1" dxf="1">
    <nc r="U27">
      <f>SUM(C27:T27)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2" sId="10" odxf="1" dxf="1">
    <oc r="B28" t="inlineStr">
      <is>
        <t>Anna Ponomarenko</t>
      </is>
    </oc>
    <nc r="B28" t="inlineStr">
      <is>
        <t>Anton Isaev</t>
      </is>
    </nc>
    <odxf>
      <alignment horizontal="left" vertical="top" readingOrder="0"/>
    </odxf>
    <ndxf>
      <alignment horizontal="general" vertical="bottom" readingOrder="0"/>
    </ndxf>
  </rcc>
  <rfmt sheetId="10" sqref="C28" start="0" length="0">
    <dxf/>
  </rfmt>
  <rcc rId="2533" sId="10" odxf="1" dxf="1">
    <oc r="D28">
      <v>76.460000000000008</v>
    </oc>
    <nc r="D28"/>
    <odxf/>
    <ndxf/>
  </rcc>
  <rcc rId="2534" sId="10" odxf="1" dxf="1">
    <nc r="E28">
      <v>119.598</v>
    </nc>
    <odxf/>
    <ndxf/>
  </rcc>
  <rcc rId="2535" sId="10" odxf="1" dxf="1">
    <nc r="F28">
      <v>20.414999999999999</v>
    </nc>
    <odxf/>
    <ndxf/>
  </rcc>
  <rfmt sheetId="10" sqref="G28" start="0" length="0">
    <dxf/>
  </rfmt>
  <rfmt sheetId="10" sqref="H28" start="0" length="0">
    <dxf/>
  </rfmt>
  <rfmt sheetId="10" sqref="I28" start="0" length="0">
    <dxf/>
  </rfmt>
  <rcc rId="2536" sId="10" odxf="1" dxf="1">
    <oc r="J28">
      <v>87.089999999999989</v>
    </oc>
    <nc r="J28"/>
    <odxf/>
    <ndxf/>
  </rcc>
  <rfmt sheetId="10" sqref="K28" start="0" length="0">
    <dxf/>
  </rfmt>
  <rfmt sheetId="10" sqref="L28" start="0" length="0">
    <dxf/>
  </rfmt>
  <rfmt sheetId="10" sqref="M28" start="0" length="0">
    <dxf/>
  </rfmt>
  <rfmt sheetId="10" sqref="N28" start="0" length="0">
    <dxf/>
  </rfmt>
  <rfmt sheetId="10" sqref="O28" start="0" length="0">
    <dxf/>
  </rfmt>
  <rfmt sheetId="10" sqref="P28" start="0" length="0">
    <dxf/>
  </rfmt>
  <rcc rId="2537" sId="10" odxf="1" dxf="1">
    <oc r="Q28">
      <v>30.6</v>
    </oc>
    <nc r="Q28"/>
    <odxf/>
    <ndxf/>
  </rcc>
  <rcc rId="2538" sId="10" odxf="1" dxf="1">
    <oc r="R28">
      <f>SUM(C28:Q28)</f>
    </oc>
    <nc r="R28"/>
    <odxf/>
    <ndxf/>
  </rcc>
  <rfmt sheetId="10" sqref="S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9" sId="10" odxf="1" dxf="1">
    <nc r="U28">
      <f>SUM(C28:T28)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0" sId="10" odxf="1" dxf="1">
    <oc r="B29" t="inlineStr">
      <is>
        <t>Anna Slichenko</t>
      </is>
    </oc>
    <nc r="B29" t="inlineStr">
      <is>
        <t>Anton Petrenko</t>
      </is>
    </nc>
    <odxf>
      <alignment horizontal="left" vertical="top" readingOrder="0"/>
    </odxf>
    <ndxf>
      <alignment horizontal="general" vertical="bottom" readingOrder="0"/>
    </ndxf>
  </rcc>
  <rfmt sheetId="10" sqref="C29" start="0" length="0">
    <dxf/>
  </rfmt>
  <rfmt sheetId="10" sqref="D29" start="0" length="0">
    <dxf/>
  </rfmt>
  <rfmt sheetId="10" sqref="E29" start="0" length="0">
    <dxf/>
  </rfmt>
  <rfmt sheetId="10" sqref="F29" start="0" length="0">
    <dxf/>
  </rfmt>
  <rfmt sheetId="10" sqref="G29" start="0" length="0">
    <dxf/>
  </rfmt>
  <rfmt sheetId="10" sqref="H29" start="0" length="0">
    <dxf/>
  </rfmt>
  <rfmt sheetId="10" sqref="I29" start="0" length="0">
    <dxf/>
  </rfmt>
  <rfmt sheetId="10" sqref="J29" start="0" length="0">
    <dxf/>
  </rfmt>
  <rfmt sheetId="10" sqref="K29" start="0" length="0">
    <dxf/>
  </rfmt>
  <rfmt sheetId="10" sqref="L29" start="0" length="0">
    <dxf/>
  </rfmt>
  <rfmt sheetId="10" sqref="M29" start="0" length="0">
    <dxf/>
  </rfmt>
  <rcc rId="2541" sId="10" odxf="1" dxf="1">
    <oc r="N29">
      <v>232.68799999999996</v>
    </oc>
    <nc r="N29">
      <v>202.27700000000002</v>
    </nc>
    <odxf/>
    <ndxf/>
  </rcc>
  <rfmt sheetId="10" sqref="O29" start="0" length="0">
    <dxf/>
  </rfmt>
  <rfmt sheetId="10" sqref="P29" start="0" length="0">
    <dxf/>
  </rfmt>
  <rfmt sheetId="10" sqref="Q29" start="0" length="0">
    <dxf/>
  </rfmt>
  <rcc rId="2542" sId="10" odxf="1" dxf="1">
    <oc r="R29">
      <f>SUM(C29:Q29)</f>
    </oc>
    <nc r="R29"/>
    <odxf/>
    <ndxf/>
  </rcc>
  <rfmt sheetId="10" sqref="S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43" sId="10" odxf="1" dxf="1">
    <nc r="U29">
      <f>SUM(C29:T29)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4" sId="10" odxf="1" dxf="1">
    <oc r="B30" t="inlineStr">
      <is>
        <t>Anna Symonchuk</t>
      </is>
    </oc>
    <nc r="B30" t="inlineStr">
      <is>
        <t>Anton Valinov</t>
      </is>
    </nc>
    <odxf>
      <alignment horizontal="left" vertical="top" readingOrder="0"/>
    </odxf>
    <ndxf>
      <alignment horizontal="general" vertical="bottom" readingOrder="0"/>
    </ndxf>
  </rcc>
  <rcc rId="2545" sId="10" odxf="1" dxf="1">
    <nc r="C30">
      <v>16.152999999999999</v>
    </nc>
    <odxf/>
    <ndxf/>
  </rcc>
  <rcc rId="2546" sId="10" odxf="1" dxf="1">
    <oc r="D30">
      <v>278</v>
    </oc>
    <nc r="D30"/>
    <odxf/>
    <ndxf/>
  </rcc>
  <rcc rId="2547" sId="10" odxf="1" dxf="1">
    <nc r="E30">
      <v>117.437</v>
    </nc>
    <odxf/>
    <ndxf/>
  </rcc>
  <rcc rId="2548" sId="10" odxf="1" dxf="1">
    <nc r="F30">
      <v>6.843</v>
    </nc>
    <odxf/>
    <ndxf/>
  </rcc>
  <rfmt sheetId="10" sqref="G30" start="0" length="0">
    <dxf/>
  </rfmt>
  <rfmt sheetId="10" sqref="H30" start="0" length="0">
    <dxf/>
  </rfmt>
  <rfmt sheetId="10" sqref="I30" start="0" length="0">
    <dxf/>
  </rfmt>
  <rfmt sheetId="10" sqref="J30" start="0" length="0">
    <dxf/>
  </rfmt>
  <rfmt sheetId="10" sqref="K30" start="0" length="0">
    <dxf/>
  </rfmt>
  <rcc rId="2549" sId="10" odxf="1" dxf="1">
    <nc r="L30">
      <v>13.26</v>
    </nc>
    <odxf/>
    <ndxf/>
  </rcc>
  <rfmt sheetId="10" sqref="M30" start="0" length="0">
    <dxf/>
  </rfmt>
  <rfmt sheetId="10" sqref="N30" start="0" length="0">
    <dxf/>
  </rfmt>
  <rfmt sheetId="10" sqref="O30" start="0" length="0">
    <dxf/>
  </rfmt>
  <rfmt sheetId="10" sqref="P30" start="0" length="0">
    <dxf/>
  </rfmt>
  <rfmt sheetId="10" sqref="Q30" start="0" length="0">
    <dxf/>
  </rfmt>
  <rcc rId="2550" sId="10" odxf="1" dxf="1">
    <oc r="R30">
      <f>SUM(C30:Q30)</f>
    </oc>
    <nc r="R30"/>
    <odxf/>
    <ndxf/>
  </rcc>
  <rfmt sheetId="10" sqref="S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1" sId="10" odxf="1" dxf="1">
    <nc r="U30">
      <f>SUM(C30:T30)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2" sId="10" odxf="1" dxf="1">
    <oc r="B31" t="inlineStr">
      <is>
        <t>Anton Isaev</t>
      </is>
    </oc>
    <nc r="B31" t="inlineStr">
      <is>
        <t>Artem Kurishenko</t>
      </is>
    </nc>
    <odxf>
      <alignment horizontal="left" vertical="top" readingOrder="0"/>
    </odxf>
    <ndxf>
      <alignment horizontal="general" vertical="bottom" readingOrder="0"/>
    </ndxf>
  </rcc>
  <rfmt sheetId="10" sqref="C31" start="0" length="0">
    <dxf/>
  </rfmt>
  <rcc rId="2553" sId="10" odxf="1" dxf="1">
    <oc r="D31">
      <v>180.89700000000002</v>
    </oc>
    <nc r="D31"/>
    <odxf/>
    <ndxf/>
  </rcc>
  <rfmt sheetId="10" sqref="E31" start="0" length="0">
    <dxf/>
  </rfmt>
  <rfmt sheetId="10" sqref="F31" start="0" length="0">
    <dxf/>
  </rfmt>
  <rfmt sheetId="10" sqref="G31" start="0" length="0">
    <dxf/>
  </rfmt>
  <rfmt sheetId="10" sqref="H31" start="0" length="0">
    <dxf/>
  </rfmt>
  <rfmt sheetId="10" sqref="I31" start="0" length="0">
    <dxf/>
  </rfmt>
  <rfmt sheetId="10" sqref="J31" start="0" length="0">
    <dxf/>
  </rfmt>
  <rcc rId="2554" sId="10" odxf="1" dxf="1">
    <nc r="K31">
      <v>22.69</v>
    </nc>
    <odxf/>
    <ndxf/>
  </rcc>
  <rfmt sheetId="10" sqref="L31" start="0" length="0">
    <dxf/>
  </rfmt>
  <rfmt sheetId="10" sqref="M31" start="0" length="0">
    <dxf/>
  </rfmt>
  <rcc rId="2555" sId="10" odxf="1" dxf="1">
    <nc r="N31">
      <v>136.42599999999999</v>
    </nc>
    <odxf/>
    <ndxf/>
  </rcc>
  <rfmt sheetId="10" sqref="O31" start="0" length="0">
    <dxf/>
  </rfmt>
  <rfmt sheetId="10" sqref="P31" start="0" length="0">
    <dxf/>
  </rfmt>
  <rcc rId="2556" sId="10" odxf="1" dxf="1">
    <oc r="Q31">
      <v>27.3</v>
    </oc>
    <nc r="Q31"/>
    <odxf/>
    <ndxf/>
  </rcc>
  <rcc rId="2557" sId="10" odxf="1" dxf="1">
    <oc r="R31">
      <f>SUM(C31:Q31)</f>
    </oc>
    <nc r="R31"/>
    <odxf/>
    <ndxf/>
  </rcc>
  <rfmt sheetId="10" sqref="S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8" sId="10" odxf="1" dxf="1">
    <nc r="U31">
      <f>SUM(C31:T31)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9" sId="10" odxf="1" dxf="1">
    <oc r="B32" t="inlineStr">
      <is>
        <t>Anton Petrenko</t>
      </is>
    </oc>
    <nc r="B32" t="inlineStr">
      <is>
        <t>Darina Chumak</t>
      </is>
    </nc>
    <odxf>
      <alignment horizontal="left" vertical="top" readingOrder="0"/>
    </odxf>
    <ndxf>
      <alignment horizontal="general" vertical="bottom" readingOrder="0"/>
    </ndxf>
  </rcc>
  <rfmt sheetId="10" sqref="C32" start="0" length="0">
    <dxf/>
  </rfmt>
  <rfmt sheetId="10" sqref="D32" start="0" length="0">
    <dxf/>
  </rfmt>
  <rfmt sheetId="10" sqref="E32" start="0" length="0">
    <dxf/>
  </rfmt>
  <rfmt sheetId="10" sqref="F32" start="0" length="0">
    <dxf/>
  </rfmt>
  <rfmt sheetId="10" sqref="G32" start="0" length="0">
    <dxf/>
  </rfmt>
  <rfmt sheetId="10" sqref="H32" start="0" length="0">
    <dxf/>
  </rfmt>
  <rfmt sheetId="10" sqref="I32" start="0" length="0">
    <dxf/>
  </rfmt>
  <rcc rId="2560" sId="10" odxf="1" dxf="1">
    <nc r="J32">
      <v>36.61</v>
    </nc>
    <odxf/>
    <ndxf/>
  </rcc>
  <rfmt sheetId="10" sqref="K32" start="0" length="0">
    <dxf/>
  </rfmt>
  <rcc rId="2561" sId="10" odxf="1" dxf="1">
    <oc r="L32">
      <v>109.59</v>
    </oc>
    <nc r="L32"/>
    <odxf/>
    <ndxf/>
  </rcc>
  <rcc rId="2562" sId="10" odxf="1" dxf="1">
    <oc r="M32">
      <v>17.84</v>
    </oc>
    <nc r="M32"/>
    <odxf/>
    <ndxf/>
  </rcc>
  <rfmt sheetId="10" sqref="N32" start="0" length="0">
    <dxf/>
  </rfmt>
  <rcc rId="2563" sId="10" odxf="1" dxf="1">
    <nc r="O32">
      <v>137.34399999999999</v>
    </nc>
    <odxf/>
    <ndxf/>
  </rcc>
  <rfmt sheetId="10" sqref="P32" start="0" length="0">
    <dxf/>
  </rfmt>
  <rfmt sheetId="10" sqref="Q32" start="0" length="0">
    <dxf/>
  </rfmt>
  <rcc rId="2564" sId="10" odxf="1" dxf="1">
    <oc r="R32">
      <f>SUM(C32:Q32)</f>
    </oc>
    <nc r="R32"/>
    <odxf/>
    <ndxf/>
  </rcc>
  <rfmt sheetId="10" sqref="S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65" sId="10" odxf="1" dxf="1">
    <nc r="U32">
      <f>SUM(C32:T32)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6" sId="10" odxf="1" dxf="1">
    <oc r="B33" t="inlineStr">
      <is>
        <t>Anton Valinov</t>
      </is>
    </oc>
    <nc r="B33" t="inlineStr">
      <is>
        <t>Denis Bessarabov</t>
      </is>
    </nc>
    <odxf>
      <alignment horizontal="left" vertical="top" readingOrder="0"/>
    </odxf>
    <ndxf>
      <alignment horizontal="general" vertical="bottom" readingOrder="0"/>
    </ndxf>
  </rcc>
  <rfmt sheetId="10" sqref="C33" start="0" length="0">
    <dxf/>
  </rfmt>
  <rcc rId="2567" sId="10" odxf="1" dxf="1">
    <oc r="D33">
      <v>77.766999999999996</v>
    </oc>
    <nc r="D33"/>
    <odxf/>
    <ndxf/>
  </rcc>
  <rfmt sheetId="10" sqref="E33" start="0" length="0">
    <dxf/>
  </rfmt>
  <rfmt sheetId="10" sqref="F33" start="0" length="0">
    <dxf/>
  </rfmt>
  <rfmt sheetId="10" sqref="G33" start="0" length="0">
    <dxf/>
  </rfmt>
  <rfmt sheetId="10" sqref="H33" start="0" length="0">
    <dxf/>
  </rfmt>
  <rfmt sheetId="10" sqref="I33" start="0" length="0">
    <dxf/>
  </rfmt>
  <rfmt sheetId="10" sqref="J33" start="0" length="0">
    <dxf/>
  </rfmt>
  <rfmt sheetId="10" sqref="K33" start="0" length="0">
    <dxf/>
  </rfmt>
  <rfmt sheetId="10" sqref="L33" start="0" length="0">
    <dxf/>
  </rfmt>
  <rfmt sheetId="10" sqref="M33" start="0" length="0">
    <dxf/>
  </rfmt>
  <rfmt sheetId="10" sqref="N33" start="0" length="0">
    <dxf/>
  </rfmt>
  <rfmt sheetId="10" sqref="O33" start="0" length="0">
    <dxf/>
  </rfmt>
  <rfmt sheetId="10" sqref="P33" start="0" length="0">
    <dxf/>
  </rfmt>
  <rcc rId="2568" sId="10" odxf="1" dxf="1">
    <oc r="Q33">
      <v>40</v>
    </oc>
    <nc r="Q33">
      <v>156.745</v>
    </nc>
    <odxf/>
    <ndxf/>
  </rcc>
  <rcc rId="2569" sId="10" odxf="1" dxf="1">
    <oc r="R33">
      <f>SUM(C33:Q33)</f>
    </oc>
    <nc r="R33"/>
    <odxf/>
    <ndxf/>
  </rcc>
  <rfmt sheetId="10" sqref="S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0" sId="10" odxf="1" dxf="1">
    <nc r="U33">
      <f>SUM(C33:T33)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1" sId="10" odxf="1" dxf="1">
    <oc r="B34" t="inlineStr">
      <is>
        <t>Artem Kurishenko</t>
      </is>
    </oc>
    <nc r="B34" t="inlineStr">
      <is>
        <t>Denis Lunev</t>
      </is>
    </nc>
    <odxf>
      <alignment horizontal="left" vertical="top" readingOrder="0"/>
    </odxf>
    <ndxf>
      <alignment horizontal="general" vertical="bottom" readingOrder="0"/>
    </ndxf>
  </rcc>
  <rfmt sheetId="10" sqref="C34" start="0" length="0">
    <dxf/>
  </rfmt>
  <rfmt sheetId="10" sqref="D34" start="0" length="0">
    <dxf/>
  </rfmt>
  <rfmt sheetId="10" sqref="E34" start="0" length="0">
    <dxf/>
  </rfmt>
  <rfmt sheetId="10" sqref="F34" start="0" length="0">
    <dxf/>
  </rfmt>
  <rfmt sheetId="10" sqref="G34" start="0" length="0">
    <dxf/>
  </rfmt>
  <rfmt sheetId="10" sqref="H34" start="0" length="0">
    <dxf/>
  </rfmt>
  <rfmt sheetId="10" sqref="I34" start="0" length="0">
    <dxf/>
  </rfmt>
  <rfmt sheetId="10" sqref="J34" start="0" length="0">
    <dxf/>
  </rfmt>
  <rcc rId="2572" sId="10" odxf="1" dxf="1">
    <nc r="K34">
      <v>34.375</v>
    </nc>
    <odxf/>
    <ndxf/>
  </rcc>
  <rfmt sheetId="10" sqref="L34" start="0" length="0">
    <dxf/>
  </rfmt>
  <rfmt sheetId="10" sqref="M34" start="0" length="0">
    <dxf/>
  </rfmt>
  <rcc rId="2573" sId="10" odxf="1" dxf="1">
    <oc r="N34">
      <v>145.148</v>
    </oc>
    <nc r="N34">
      <v>126.23499999999999</v>
    </nc>
    <odxf/>
    <ndxf/>
  </rcc>
  <rfmt sheetId="10" sqref="O34" start="0" length="0">
    <dxf/>
  </rfmt>
  <rfmt sheetId="10" sqref="P34" start="0" length="0">
    <dxf/>
  </rfmt>
  <rfmt sheetId="10" sqref="Q34" start="0" length="0">
    <dxf/>
  </rfmt>
  <rcc rId="2574" sId="10" odxf="1" dxf="1">
    <oc r="R34">
      <f>SUM(C34:Q34)</f>
    </oc>
    <nc r="R34"/>
    <odxf/>
    <ndxf/>
  </rcc>
  <rfmt sheetId="10" sqref="S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5" sId="10" odxf="1" dxf="1">
    <nc r="U34">
      <f>SUM(C34:T34)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6" sId="10" odxf="1" dxf="1">
    <oc r="B35" t="inlineStr">
      <is>
        <t>Darina Chumak</t>
      </is>
    </oc>
    <nc r="B35" t="inlineStr">
      <is>
        <t>Denis Udachin</t>
      </is>
    </nc>
    <odxf>
      <alignment horizontal="left" vertical="top" readingOrder="0"/>
    </odxf>
    <ndxf>
      <alignment horizontal="general" vertical="bottom" readingOrder="0"/>
    </ndxf>
  </rcc>
  <rfmt sheetId="10" sqref="C35" start="0" length="0">
    <dxf/>
  </rfmt>
  <rfmt sheetId="10" sqref="D35" start="0" length="0">
    <dxf/>
  </rfmt>
  <rfmt sheetId="10" sqref="E35" start="0" length="0">
    <dxf/>
  </rfmt>
  <rfmt sheetId="10" sqref="F35" start="0" length="0">
    <dxf/>
  </rfmt>
  <rfmt sheetId="10" sqref="G35" start="0" length="0">
    <dxf/>
  </rfmt>
  <rfmt sheetId="10" sqref="H35" start="0" length="0">
    <dxf/>
  </rfmt>
  <rcc rId="2577" sId="10" odxf="1" dxf="1">
    <nc r="I35">
      <v>131.071</v>
    </nc>
    <odxf/>
    <ndxf/>
  </rcc>
  <rfmt sheetId="10" sqref="J35" start="0" length="0">
    <dxf/>
  </rfmt>
  <rfmt sheetId="10" sqref="K35" start="0" length="0">
    <dxf/>
  </rfmt>
  <rcc rId="2578" sId="10" odxf="1" dxf="1">
    <oc r="L35">
      <v>162.88</v>
    </oc>
    <nc r="L35"/>
    <odxf/>
    <ndxf/>
  </rcc>
  <rfmt sheetId="10" sqref="M35" start="0" length="0">
    <dxf/>
  </rfmt>
  <rfmt sheetId="10" sqref="N35" start="0" length="0">
    <dxf/>
  </rfmt>
  <rfmt sheetId="10" sqref="O35" start="0" length="0">
    <dxf/>
  </rfmt>
  <rfmt sheetId="10" sqref="P35" start="0" length="0">
    <dxf/>
  </rfmt>
  <rfmt sheetId="10" sqref="Q35" start="0" length="0">
    <dxf/>
  </rfmt>
  <rcc rId="2579" sId="10" odxf="1" dxf="1">
    <oc r="R35">
      <f>SUM(C35:Q35)</f>
    </oc>
    <nc r="R35"/>
    <odxf/>
    <ndxf/>
  </rcc>
  <rfmt sheetId="10" sqref="S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0" sId="10" odxf="1" dxf="1">
    <nc r="U35">
      <f>SUM(C35:T35)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1" sId="10" odxf="1" dxf="1">
    <oc r="B36" t="inlineStr">
      <is>
        <t>Denis Bessarabov</t>
      </is>
    </oc>
    <nc r="B36" t="inlineStr">
      <is>
        <t>Dmitriy Tarasenko</t>
      </is>
    </nc>
    <odxf>
      <alignment horizontal="left" vertical="top" readingOrder="0"/>
    </odxf>
    <ndxf>
      <alignment horizontal="general" vertical="bottom" readingOrder="0"/>
    </ndxf>
  </rcc>
  <rfmt sheetId="10" sqref="C36" start="0" length="0">
    <dxf/>
  </rfmt>
  <rfmt sheetId="10" sqref="D36" start="0" length="0">
    <dxf/>
  </rfmt>
  <rfmt sheetId="10" sqref="E36" start="0" length="0">
    <dxf/>
  </rfmt>
  <rfmt sheetId="10" sqref="F36" start="0" length="0">
    <dxf/>
  </rfmt>
  <rfmt sheetId="10" sqref="G36" start="0" length="0">
    <dxf/>
  </rfmt>
  <rfmt sheetId="10" sqref="H36" start="0" length="0">
    <dxf/>
  </rfmt>
  <rfmt sheetId="10" sqref="I36" start="0" length="0">
    <dxf/>
  </rfmt>
  <rfmt sheetId="10" sqref="J36" start="0" length="0">
    <dxf/>
  </rfmt>
  <rfmt sheetId="10" sqref="K36" start="0" length="0">
    <dxf/>
  </rfmt>
  <rfmt sheetId="10" sqref="L36" start="0" length="0">
    <dxf/>
  </rfmt>
  <rfmt sheetId="10" sqref="M36" start="0" length="0">
    <dxf/>
  </rfmt>
  <rfmt sheetId="10" sqref="N36" start="0" length="0">
    <dxf/>
  </rfmt>
  <rfmt sheetId="10" sqref="O36" start="0" length="0">
    <dxf/>
  </rfmt>
  <rcc rId="2582" sId="10" odxf="1" dxf="1">
    <oc r="P36">
      <v>203.89099999999996</v>
    </oc>
    <nc r="P36"/>
    <odxf/>
    <ndxf/>
  </rcc>
  <rfmt sheetId="10" sqref="Q36" start="0" length="0">
    <dxf/>
  </rfmt>
  <rcc rId="2583" sId="10" odxf="1" dxf="1">
    <oc r="R36">
      <f>SUM(C36:Q36)</f>
    </oc>
    <nc r="R36"/>
    <odxf/>
    <ndxf/>
  </rcc>
  <rcc rId="2584" sId="10" odxf="1" dxf="1">
    <nc r="S36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5" sId="10" odxf="1" dxf="1">
    <nc r="U36">
      <f>SUM(C36:T36)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10" odxf="1" dxf="1">
    <oc r="B37" t="inlineStr">
      <is>
        <t>Denis Lunev</t>
      </is>
    </oc>
    <nc r="B37" t="inlineStr">
      <is>
        <t>Dmytro Lomakin</t>
      </is>
    </nc>
    <odxf>
      <alignment horizontal="left" vertical="top" readingOrder="0"/>
    </odxf>
    <ndxf>
      <alignment horizontal="general" vertical="bottom" readingOrder="0"/>
    </ndxf>
  </rcc>
  <rfmt sheetId="10" sqref="C37" start="0" length="0">
    <dxf/>
  </rfmt>
  <rfmt sheetId="10" sqref="D37" start="0" length="0">
    <dxf/>
  </rfmt>
  <rfmt sheetId="10" sqref="E37" start="0" length="0">
    <dxf/>
  </rfmt>
  <rfmt sheetId="10" sqref="F37" start="0" length="0">
    <dxf/>
  </rfmt>
  <rfmt sheetId="10" sqref="G37" start="0" length="0">
    <dxf/>
  </rfmt>
  <rfmt sheetId="10" sqref="H37" start="0" length="0">
    <dxf/>
  </rfmt>
  <rfmt sheetId="10" sqref="I37" start="0" length="0">
    <dxf/>
  </rfmt>
  <rfmt sheetId="10" sqref="J37" start="0" length="0">
    <dxf/>
  </rfmt>
  <rfmt sheetId="10" sqref="K37" start="0" length="0">
    <dxf/>
  </rfmt>
  <rfmt sheetId="10" sqref="L37" start="0" length="0">
    <dxf/>
  </rfmt>
  <rfmt sheetId="10" sqref="M37" start="0" length="0">
    <dxf/>
  </rfmt>
  <rcc rId="2587" sId="10" odxf="1" dxf="1">
    <oc r="N37">
      <v>171.80600000000001</v>
    </oc>
    <nc r="N37"/>
    <odxf/>
    <ndxf/>
  </rcc>
  <rfmt sheetId="10" sqref="O37" start="0" length="0">
    <dxf/>
  </rfmt>
  <rcc rId="2588" sId="10" odxf="1" dxf="1">
    <nc r="P37">
      <v>73.5</v>
    </nc>
    <odxf/>
    <ndxf/>
  </rcc>
  <rfmt sheetId="10" sqref="Q37" start="0" length="0">
    <dxf/>
  </rfmt>
  <rcc rId="2589" sId="10" odxf="1" dxf="1">
    <oc r="R37">
      <f>SUM(C37:Q37)</f>
    </oc>
    <nc r="R37">
      <v>85</v>
    </nc>
    <odxf/>
    <ndxf/>
  </rcc>
  <rfmt sheetId="10" sqref="S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0" sId="10" odxf="1" dxf="1">
    <nc r="U37">
      <f>SUM(C37:T37)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1" sId="10" odxf="1" dxf="1">
    <oc r="B38" t="inlineStr">
      <is>
        <t>Denis Udachin</t>
      </is>
    </oc>
    <nc r="B38" t="inlineStr">
      <is>
        <t>Ekaterina Prusikhina</t>
      </is>
    </nc>
    <odxf>
      <alignment horizontal="left" vertical="top" readingOrder="0"/>
    </odxf>
    <ndxf>
      <alignment horizontal="general" vertical="bottom" readingOrder="0"/>
    </ndxf>
  </rcc>
  <rfmt sheetId="10" sqref="C38" start="0" length="0">
    <dxf/>
  </rfmt>
  <rfmt sheetId="10" sqref="D38" start="0" length="0">
    <dxf/>
  </rfmt>
  <rfmt sheetId="10" sqref="E38" start="0" length="0">
    <dxf/>
  </rfmt>
  <rfmt sheetId="10" sqref="F38" start="0" length="0">
    <dxf/>
  </rfmt>
  <rfmt sheetId="10" sqref="G38" start="0" length="0">
    <dxf/>
  </rfmt>
  <rcc rId="2592" sId="10" odxf="1" dxf="1">
    <oc r="H38">
      <f>144.303+15</f>
    </oc>
    <nc r="H38"/>
    <odxf>
      <numFmt numFmtId="164" formatCode="0.0"/>
    </odxf>
    <ndxf>
      <numFmt numFmtId="0" formatCode="General"/>
    </ndxf>
  </rcc>
  <rfmt sheetId="10" sqref="I38" start="0" length="0">
    <dxf/>
  </rfmt>
  <rfmt sheetId="10" sqref="J38" start="0" length="0">
    <dxf/>
  </rfmt>
  <rcc rId="2593" sId="10" odxf="1" dxf="1">
    <nc r="K38">
      <v>20.407</v>
    </nc>
    <odxf/>
    <ndxf/>
  </rcc>
  <rfmt sheetId="10" sqref="L38" start="0" length="0">
    <dxf/>
  </rfmt>
  <rfmt sheetId="10" sqref="M38" start="0" length="0">
    <dxf/>
  </rfmt>
  <rcc rId="2594" sId="10" odxf="1" dxf="1">
    <nc r="N38">
      <v>116.03999999999999</v>
    </nc>
    <odxf/>
    <ndxf/>
  </rcc>
  <rfmt sheetId="10" sqref="O38" start="0" length="0">
    <dxf/>
  </rfmt>
  <rfmt sheetId="10" sqref="P38" start="0" length="0">
    <dxf/>
  </rfmt>
  <rfmt sheetId="10" sqref="Q38" start="0" length="0">
    <dxf/>
  </rfmt>
  <rcc rId="2595" sId="10" odxf="1" dxf="1">
    <oc r="R38">
      <f>SUM(C38:Q38)</f>
    </oc>
    <nc r="R38"/>
    <odxf/>
    <ndxf/>
  </rcc>
  <rfmt sheetId="10" sqref="S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6" sId="10" odxf="1" dxf="1">
    <nc r="U38">
      <f>SUM(C38:T38)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7" sId="10" odxf="1" dxf="1">
    <oc r="B39" t="inlineStr">
      <is>
        <t>Dmitriy Skorobogatov</t>
      </is>
    </oc>
    <nc r="B39" t="inlineStr">
      <is>
        <t>Elena Belokoneva</t>
      </is>
    </nc>
    <odxf>
      <alignment horizontal="left" vertical="top" readingOrder="0"/>
    </odxf>
    <ndxf>
      <alignment horizontal="general" vertical="bottom" readingOrder="0"/>
    </ndxf>
  </rcc>
  <rfmt sheetId="10" sqref="C39" start="0" length="0">
    <dxf/>
  </rfmt>
  <rfmt sheetId="10" sqref="D39" start="0" length="0">
    <dxf/>
  </rfmt>
  <rfmt sheetId="10" sqref="E39" start="0" length="0">
    <dxf/>
  </rfmt>
  <rfmt sheetId="10" sqref="F39" start="0" length="0">
    <dxf/>
  </rfmt>
  <rcc rId="2598" sId="10" odxf="1" dxf="1">
    <oc r="G39">
      <v>120.95000000000002</v>
    </oc>
    <nc r="G39"/>
    <odxf/>
    <ndxf/>
  </rcc>
  <rfmt sheetId="10" sqref="H39" start="0" length="0">
    <dxf>
      <numFmt numFmtId="0" formatCode="General"/>
    </dxf>
  </rfmt>
  <rfmt sheetId="10" sqref="I39" start="0" length="0">
    <dxf/>
  </rfmt>
  <rfmt sheetId="10" sqref="J39" start="0" length="0">
    <dxf/>
  </rfmt>
  <rfmt sheetId="10" sqref="K39" start="0" length="0">
    <dxf/>
  </rfmt>
  <rfmt sheetId="10" sqref="L39" start="0" length="0">
    <dxf/>
  </rfmt>
  <rfmt sheetId="10" sqref="M39" start="0" length="0">
    <dxf/>
  </rfmt>
  <rcc rId="2599" sId="10" odxf="1" dxf="1">
    <nc r="N39">
      <v>123.02500000000001</v>
    </nc>
    <odxf/>
    <ndxf/>
  </rcc>
  <rfmt sheetId="10" sqref="O39" start="0" length="0">
    <dxf/>
  </rfmt>
  <rfmt sheetId="10" sqref="P39" start="0" length="0">
    <dxf/>
  </rfmt>
  <rfmt sheetId="10" sqref="Q39" start="0" length="0">
    <dxf/>
  </rfmt>
  <rcc rId="2600" sId="10" odxf="1" dxf="1">
    <oc r="R39">
      <f>SUM(C39:Q39)</f>
    </oc>
    <nc r="R39"/>
    <odxf/>
    <ndxf/>
  </rcc>
  <rfmt sheetId="10" sqref="S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1" sId="10" odxf="1" dxf="1">
    <nc r="U39">
      <f>SUM(C39:T39)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2" sId="10" odxf="1" dxf="1">
    <oc r="B40" t="inlineStr">
      <is>
        <t>Dmitriy Tarasenko</t>
      </is>
    </oc>
    <nc r="B40" t="inlineStr">
      <is>
        <t>Elena Belotserkovskaya</t>
      </is>
    </nc>
    <odxf>
      <alignment horizontal="left" vertical="top" readingOrder="0"/>
    </odxf>
    <ndxf>
      <alignment horizontal="general" vertical="bottom" readingOrder="0"/>
    </ndxf>
  </rcc>
  <rcc rId="2603" sId="10" odxf="1" dxf="1">
    <oc r="C40">
      <v>6.87</v>
    </oc>
    <nc r="C40"/>
    <odxf/>
    <ndxf/>
  </rcc>
  <rcc rId="2604" sId="10" odxf="1" dxf="1">
    <oc r="D40">
      <v>99.853999999999999</v>
    </oc>
    <nc r="D40"/>
    <odxf/>
    <ndxf/>
  </rcc>
  <rfmt sheetId="10" sqref="E40" start="0" length="0">
    <dxf/>
  </rfmt>
  <rfmt sheetId="10" sqref="F40" start="0" length="0">
    <dxf/>
  </rfmt>
  <rfmt sheetId="10" sqref="G40" start="0" length="0">
    <dxf/>
  </rfmt>
  <rfmt sheetId="10" sqref="H40" start="0" length="0">
    <dxf>
      <numFmt numFmtId="0" formatCode="General"/>
    </dxf>
  </rfmt>
  <rfmt sheetId="10" sqref="I40" start="0" length="0">
    <dxf/>
  </rfmt>
  <rfmt sheetId="10" sqref="J40" start="0" length="0">
    <dxf/>
  </rfmt>
  <rfmt sheetId="10" sqref="K40" start="0" length="0">
    <dxf/>
  </rfmt>
  <rcc rId="2605" sId="10" odxf="1" dxf="1">
    <nc r="L40">
      <v>143.19</v>
    </nc>
    <odxf/>
    <ndxf/>
  </rcc>
  <rfmt sheetId="10" sqref="M40" start="0" length="0">
    <dxf/>
  </rfmt>
  <rfmt sheetId="10" sqref="N40" start="0" length="0">
    <dxf/>
  </rfmt>
  <rfmt sheetId="10" sqref="O40" start="0" length="0">
    <dxf/>
  </rfmt>
  <rfmt sheetId="10" sqref="P40" start="0" length="0">
    <dxf/>
  </rfmt>
  <rcc rId="2606" sId="10" odxf="1" dxf="1">
    <oc r="Q40">
      <v>32</v>
    </oc>
    <nc r="Q40"/>
    <odxf/>
    <ndxf/>
  </rcc>
  <rcc rId="2607" sId="10" odxf="1" dxf="1">
    <oc r="R40">
      <f>SUM(C40:Q40)</f>
    </oc>
    <nc r="R40"/>
    <odxf/>
    <ndxf/>
  </rcc>
  <rfmt sheetId="10" sqref="S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8" sId="10" odxf="1" dxf="1">
    <nc r="U40">
      <f>SUM(C40:T40)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9" sId="10" odxf="1" dxf="1">
    <oc r="B41" t="inlineStr">
      <is>
        <t>Dmytro Lomakin</t>
      </is>
    </oc>
    <nc r="B41" t="inlineStr">
      <is>
        <t>Elena Malahova</t>
      </is>
    </nc>
    <odxf>
      <alignment horizontal="left" vertical="top" readingOrder="0"/>
    </odxf>
    <ndxf>
      <alignment horizontal="general" vertical="bottom" readingOrder="0"/>
    </ndxf>
  </rcc>
  <rfmt sheetId="10" sqref="C41" start="0" length="0">
    <dxf/>
  </rfmt>
  <rfmt sheetId="10" sqref="D41" start="0" length="0">
    <dxf/>
  </rfmt>
  <rcc rId="2610" sId="10" odxf="1" dxf="1">
    <nc r="E41">
      <v>102.84500000000001</v>
    </nc>
    <odxf/>
    <ndxf/>
  </rcc>
  <rcc rId="2611" sId="10" odxf="1" dxf="1">
    <nc r="F41">
      <v>18.613</v>
    </nc>
    <odxf/>
    <ndxf/>
  </rcc>
  <rfmt sheetId="10" sqref="G41" start="0" length="0">
    <dxf/>
  </rfmt>
  <rfmt sheetId="10" sqref="H41" start="0" length="0">
    <dxf>
      <numFmt numFmtId="0" formatCode="General"/>
    </dxf>
  </rfmt>
  <rcc rId="2612" sId="10" odxf="1" dxf="1">
    <oc r="I41">
      <v>152</v>
    </oc>
    <nc r="I41"/>
    <odxf/>
    <ndxf/>
  </rcc>
  <rfmt sheetId="10" sqref="J41" start="0" length="0">
    <dxf/>
  </rfmt>
  <rfmt sheetId="10" sqref="K41" start="0" length="0">
    <dxf/>
  </rfmt>
  <rfmt sheetId="10" sqref="L41" start="0" length="0">
    <dxf/>
  </rfmt>
  <rfmt sheetId="10" sqref="M41" start="0" length="0">
    <dxf/>
  </rfmt>
  <rcc rId="2613" sId="10" odxf="1" dxf="1">
    <nc r="N41">
      <v>14.221</v>
    </nc>
    <odxf/>
    <ndxf/>
  </rcc>
  <rcc rId="2614" sId="10" odxf="1" dxf="1">
    <oc r="O41">
      <v>129</v>
    </oc>
    <nc r="O41"/>
    <odxf/>
    <ndxf/>
  </rcc>
  <rcc rId="2615" sId="10" odxf="1" dxf="1">
    <oc r="P41">
      <v>130</v>
    </oc>
    <nc r="P41"/>
    <odxf/>
    <ndxf/>
  </rcc>
  <rcc rId="2616" sId="10" odxf="1" dxf="1">
    <nc r="Q41">
      <v>21.9</v>
    </nc>
    <odxf/>
    <ndxf/>
  </rcc>
  <rcc rId="2617" sId="10" odxf="1" dxf="1">
    <oc r="R41">
      <f>SUM(C41:Q41)</f>
    </oc>
    <nc r="R41"/>
    <odxf/>
    <ndxf/>
  </rcc>
  <rfmt sheetId="10" sqref="S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18" sId="10" odxf="1" dxf="1">
    <nc r="U41">
      <f>SUM(C41:T41)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9" sId="10" odxf="1" dxf="1">
    <oc r="B42" t="inlineStr">
      <is>
        <t>Ekaterina Prusikhina</t>
      </is>
    </oc>
    <nc r="B42" t="inlineStr">
      <is>
        <t>Elena Pivovar</t>
      </is>
    </nc>
    <odxf>
      <alignment horizontal="left" vertical="top" readingOrder="0"/>
    </odxf>
    <ndxf>
      <alignment horizontal="general" vertical="bottom" readingOrder="0"/>
    </ndxf>
  </rcc>
  <rfmt sheetId="10" sqref="C42" start="0" length="0">
    <dxf/>
  </rfmt>
  <rfmt sheetId="10" sqref="D42" start="0" length="0">
    <dxf/>
  </rfmt>
  <rfmt sheetId="10" sqref="E42" start="0" length="0">
    <dxf/>
  </rfmt>
  <rfmt sheetId="10" sqref="F42" start="0" length="0">
    <dxf/>
  </rfmt>
  <rfmt sheetId="10" sqref="G42" start="0" length="0">
    <dxf/>
  </rfmt>
  <rfmt sheetId="10" sqref="H42" start="0" length="0">
    <dxf>
      <numFmt numFmtId="0" formatCode="General"/>
    </dxf>
  </rfmt>
  <rcc rId="2620" sId="10" odxf="1" dxf="1">
    <nc r="I42">
      <v>162.26300000000001</v>
    </nc>
    <odxf/>
    <ndxf/>
  </rcc>
  <rfmt sheetId="10" sqref="J42" start="0" length="0">
    <dxf/>
  </rfmt>
  <rfmt sheetId="10" sqref="K42" start="0" length="0">
    <dxf/>
  </rfmt>
  <rfmt sheetId="10" sqref="L42" start="0" length="0">
    <dxf/>
  </rfmt>
  <rfmt sheetId="10" sqref="M42" start="0" length="0">
    <dxf/>
  </rfmt>
  <rfmt sheetId="10" sqref="N42" start="0" length="0">
    <dxf/>
  </rfmt>
  <rfmt sheetId="10" sqref="O42" start="0" length="0">
    <dxf/>
  </rfmt>
  <rcc rId="2621" sId="10" odxf="1" dxf="1">
    <oc r="P42">
      <v>205.53</v>
    </oc>
    <nc r="P42"/>
    <odxf/>
    <ndxf/>
  </rcc>
  <rcc rId="2622" sId="10" odxf="1" dxf="1">
    <oc r="Q42">
      <v>17.399999999999999</v>
    </oc>
    <nc r="Q42"/>
    <odxf/>
    <ndxf/>
  </rcc>
  <rcc rId="2623" sId="10" odxf="1" dxf="1">
    <oc r="R42">
      <f>SUM(C42:Q42)</f>
    </oc>
    <nc r="R42"/>
    <odxf/>
    <ndxf/>
  </rcc>
  <rfmt sheetId="10" sqref="S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4" sId="10" odxf="1" dxf="1">
    <nc r="U42">
      <f>SUM(C42:T42)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5" sId="10" odxf="1" dxf="1">
    <oc r="B43" t="inlineStr">
      <is>
        <t>Elena Belotserkovskaya</t>
      </is>
    </oc>
    <nc r="B43" t="inlineStr">
      <is>
        <t>Elena Semchenko</t>
      </is>
    </nc>
    <odxf>
      <alignment horizontal="left" vertical="top" readingOrder="0"/>
    </odxf>
    <ndxf>
      <alignment horizontal="general" vertical="bottom" readingOrder="0"/>
    </ndxf>
  </rcc>
  <rfmt sheetId="10" sqref="C43" start="0" length="0">
    <dxf/>
  </rfmt>
  <rfmt sheetId="10" sqref="D43" start="0" length="0">
    <dxf/>
  </rfmt>
  <rfmt sheetId="10" sqref="E43" start="0" length="0">
    <dxf/>
  </rfmt>
  <rfmt sheetId="10" sqref="F43" start="0" length="0">
    <dxf/>
  </rfmt>
  <rfmt sheetId="10" sqref="G43" start="0" length="0">
    <dxf/>
  </rfmt>
  <rfmt sheetId="10" sqref="H43" start="0" length="0">
    <dxf>
      <numFmt numFmtId="0" formatCode="General"/>
    </dxf>
  </rfmt>
  <rfmt sheetId="10" sqref="I43" start="0" length="0">
    <dxf/>
  </rfmt>
  <rfmt sheetId="10" sqref="J43" start="0" length="0">
    <dxf/>
  </rfmt>
  <rfmt sheetId="10" sqref="K43" start="0" length="0">
    <dxf/>
  </rfmt>
  <rcc rId="2626" sId="10" odxf="1" dxf="1">
    <oc r="L43">
      <v>173.24000000000004</v>
    </oc>
    <nc r="L43">
      <v>103.35</v>
    </nc>
    <odxf/>
    <ndxf/>
  </rcc>
  <rfmt sheetId="10" sqref="M43" start="0" length="0">
    <dxf/>
  </rfmt>
  <rfmt sheetId="10" sqref="N43" start="0" length="0">
    <dxf/>
  </rfmt>
  <rfmt sheetId="10" sqref="O43" start="0" length="0">
    <dxf/>
  </rfmt>
  <rfmt sheetId="10" sqref="P43" start="0" length="0">
    <dxf/>
  </rfmt>
  <rfmt sheetId="10" sqref="Q43" start="0" length="0">
    <dxf/>
  </rfmt>
  <rcc rId="2627" sId="10" odxf="1" dxf="1">
    <oc r="R43">
      <f>SUM(C43:Q43)</f>
    </oc>
    <nc r="R43"/>
    <odxf/>
    <ndxf/>
  </rcc>
  <rfmt sheetId="10" sqref="S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8" sId="10" odxf="1" dxf="1">
    <nc r="U43">
      <f>SUM(C43:T43)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9" sId="10" odxf="1" dxf="1">
    <oc r="B44" t="inlineStr">
      <is>
        <t>Elena Malahova</t>
      </is>
    </oc>
    <nc r="B44" t="inlineStr">
      <is>
        <t>Eleonora Kutsenko</t>
      </is>
    </nc>
    <odxf>
      <alignment horizontal="left" vertical="top" readingOrder="0"/>
    </odxf>
    <ndxf>
      <alignment horizontal="general" vertical="bottom" readingOrder="0"/>
    </ndxf>
  </rcc>
  <rfmt sheetId="10" sqref="C44" start="0" length="0">
    <dxf/>
  </rfmt>
  <rfmt sheetId="10" sqref="D44" start="0" length="0">
    <dxf/>
  </rfmt>
  <rfmt sheetId="10" sqref="E44" start="0" length="0">
    <dxf/>
  </rfmt>
  <rfmt sheetId="10" sqref="F44" start="0" length="0">
    <dxf/>
  </rfmt>
  <rcc rId="2630" sId="10" odxf="1" dxf="1">
    <nc r="G44">
      <v>130.45999999999998</v>
    </nc>
    <odxf/>
    <ndxf/>
  </rcc>
  <rfmt sheetId="10" sqref="H44" start="0" length="0">
    <dxf>
      <numFmt numFmtId="0" formatCode="General"/>
    </dxf>
  </rfmt>
  <rfmt sheetId="10" sqref="I44" start="0" length="0">
    <dxf/>
  </rfmt>
  <rfmt sheetId="10" sqref="J44" start="0" length="0">
    <dxf/>
  </rfmt>
  <rfmt sheetId="10" sqref="K44" start="0" length="0">
    <dxf/>
  </rfmt>
  <rfmt sheetId="10" sqref="L44" start="0" length="0">
    <dxf/>
  </rfmt>
  <rcc rId="2631" sId="10" odxf="1" dxf="1">
    <oc r="M44">
      <v>10.88</v>
    </oc>
    <nc r="M44"/>
    <odxf/>
    <ndxf/>
  </rcc>
  <rcc rId="2632" sId="10" odxf="1" dxf="1">
    <oc r="N44">
      <v>155.36100000000002</v>
    </oc>
    <nc r="N44"/>
    <odxf/>
    <ndxf/>
  </rcc>
  <rfmt sheetId="10" sqref="O44" start="0" length="0">
    <dxf/>
  </rfmt>
  <rfmt sheetId="10" sqref="P44" start="0" length="0">
    <dxf/>
  </rfmt>
  <rfmt sheetId="10" sqref="Q44" start="0" length="0">
    <dxf/>
  </rfmt>
  <rcc rId="2633" sId="10" odxf="1" dxf="1">
    <oc r="R44">
      <f>SUM(C44:Q44)</f>
    </oc>
    <nc r="R44"/>
    <odxf/>
    <ndxf/>
  </rcc>
  <rfmt sheetId="10" sqref="S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34" sId="10" odxf="1" dxf="1">
    <nc r="U44">
      <f>SUM(C44:T44)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5" sId="10" odxf="1" dxf="1">
    <oc r="B45" t="inlineStr">
      <is>
        <t>Elena Pivovar</t>
      </is>
    </oc>
    <nc r="B45" t="inlineStr">
      <is>
        <t>Elizaveta Krupa</t>
      </is>
    </nc>
    <odxf>
      <alignment horizontal="left" vertical="top" readingOrder="0"/>
    </odxf>
    <ndxf>
      <alignment horizontal="general" vertical="bottom" readingOrder="0"/>
    </ndxf>
  </rcc>
  <rfmt sheetId="10" sqref="C45" start="0" length="0">
    <dxf/>
  </rfmt>
  <rfmt sheetId="10" sqref="D45" start="0" length="0">
    <dxf/>
  </rfmt>
  <rfmt sheetId="10" sqref="E45" start="0" length="0">
    <dxf/>
  </rfmt>
  <rfmt sheetId="10" sqref="F45" start="0" length="0">
    <dxf/>
  </rfmt>
  <rfmt sheetId="10" sqref="G45" start="0" length="0">
    <dxf/>
  </rfmt>
  <rcc rId="2636" sId="10" odxf="1" dxf="1">
    <oc r="H45">
      <f>246.701+10</f>
    </oc>
    <nc r="H45"/>
    <odxf>
      <numFmt numFmtId="164" formatCode="0.0"/>
    </odxf>
    <ndxf>
      <numFmt numFmtId="0" formatCode="General"/>
    </ndxf>
  </rcc>
  <rfmt sheetId="10" sqref="I45" start="0" length="0">
    <dxf/>
  </rfmt>
  <rcc rId="2637" sId="10" odxf="1" dxf="1">
    <nc r="J45">
      <v>45.55</v>
    </nc>
    <odxf/>
    <ndxf/>
  </rcc>
  <rfmt sheetId="10" sqref="K45" start="0" length="0">
    <dxf/>
  </rfmt>
  <rcc rId="2638" sId="10" odxf="1" dxf="1">
    <nc r="L45">
      <v>69.06</v>
    </nc>
    <odxf/>
    <ndxf/>
  </rcc>
  <rfmt sheetId="10" sqref="M45" start="0" length="0">
    <dxf/>
  </rfmt>
  <rfmt sheetId="10" sqref="N45" start="0" length="0">
    <dxf/>
  </rfmt>
  <rfmt sheetId="10" sqref="O45" start="0" length="0">
    <dxf/>
  </rfmt>
  <rfmt sheetId="10" sqref="P45" start="0" length="0">
    <dxf/>
  </rfmt>
  <rfmt sheetId="10" sqref="Q45" start="0" length="0">
    <dxf/>
  </rfmt>
  <rcc rId="2639" sId="10" odxf="1" dxf="1">
    <oc r="R45">
      <f>SUM(C45:Q45)</f>
    </oc>
    <nc r="R45"/>
    <odxf/>
    <ndxf/>
  </rcc>
  <rfmt sheetId="10" sqref="S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0" sId="10" odxf="1" dxf="1">
    <nc r="U45">
      <f>SUM(C45:T45)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1" sId="10" odxf="1" dxf="1">
    <oc r="B46" t="inlineStr">
      <is>
        <t>Elena Semchenko</t>
      </is>
    </oc>
    <nc r="B46" t="inlineStr">
      <is>
        <t>Eugene Pozdorovkin</t>
      </is>
    </nc>
    <odxf>
      <alignment horizontal="left" vertical="top" readingOrder="0"/>
    </odxf>
    <ndxf>
      <alignment horizontal="general" vertical="bottom" readingOrder="0"/>
    </ndxf>
  </rcc>
  <rcc rId="2642" sId="10" odxf="1" dxf="1">
    <nc r="C46">
      <v>10.041</v>
    </nc>
    <odxf/>
    <ndxf/>
  </rcc>
  <rcc rId="2643" sId="10" odxf="1" dxf="1">
    <nc r="D46">
      <v>97.043000000000021</v>
    </nc>
    <odxf/>
    <ndxf/>
  </rcc>
  <rfmt sheetId="10" sqref="E46" start="0" length="0">
    <dxf/>
  </rfmt>
  <rfmt sheetId="10" sqref="F46" start="0" length="0">
    <dxf/>
  </rfmt>
  <rfmt sheetId="10" sqref="G46" start="0" length="0">
    <dxf/>
  </rfmt>
  <rfmt sheetId="10" sqref="H46" start="0" length="0">
    <dxf>
      <numFmt numFmtId="0" formatCode="General"/>
    </dxf>
  </rfmt>
  <rfmt sheetId="10" sqref="I46" start="0" length="0">
    <dxf/>
  </rfmt>
  <rfmt sheetId="10" sqref="J46" start="0" length="0">
    <dxf/>
  </rfmt>
  <rfmt sheetId="10" sqref="K46" start="0" length="0">
    <dxf/>
  </rfmt>
  <rfmt sheetId="10" sqref="L46" start="0" length="0">
    <dxf/>
  </rfmt>
  <rcc rId="2644" sId="10" odxf="1" dxf="1">
    <oc r="M46">
      <v>143.79</v>
    </oc>
    <nc r="M46"/>
    <odxf/>
    <ndxf/>
  </rcc>
  <rfmt sheetId="10" sqref="N46" start="0" length="0">
    <dxf/>
  </rfmt>
  <rfmt sheetId="10" sqref="O46" start="0" length="0">
    <dxf/>
  </rfmt>
  <rfmt sheetId="10" sqref="P46" start="0" length="0">
    <dxf/>
  </rfmt>
  <rfmt sheetId="10" sqref="Q46" start="0" length="0">
    <dxf/>
  </rfmt>
  <rcc rId="2645" sId="10" odxf="1" dxf="1">
    <oc r="R46">
      <f>SUM(C46:Q46)</f>
    </oc>
    <nc r="R46"/>
    <odxf/>
    <ndxf/>
  </rcc>
  <rfmt sheetId="10" sqref="S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6" sId="10" odxf="1" dxf="1">
    <nc r="U46">
      <f>SUM(C46:T46)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7" sId="10" odxf="1" dxf="1">
    <oc r="B47" t="inlineStr">
      <is>
        <t>Eleonora Kutsenko</t>
      </is>
    </oc>
    <nc r="B47" t="inlineStr">
      <is>
        <t>Eugeniy Velichko</t>
      </is>
    </nc>
    <odxf>
      <alignment horizontal="left" vertical="top" readingOrder="0"/>
    </odxf>
    <ndxf>
      <alignment horizontal="general" vertical="bottom" readingOrder="0"/>
    </ndxf>
  </rcc>
  <rcc rId="2648" sId="10" odxf="1" dxf="1">
    <nc r="C47">
      <v>153.959</v>
    </nc>
    <odxf/>
    <ndxf/>
  </rcc>
  <rfmt sheetId="10" sqref="D47" start="0" length="0">
    <dxf/>
  </rfmt>
  <rfmt sheetId="10" sqref="E47" start="0" length="0">
    <dxf/>
  </rfmt>
  <rcc rId="2649" sId="10" odxf="1" dxf="1">
    <oc r="F47">
      <v>170.10800000000003</v>
    </oc>
    <nc r="F47"/>
    <odxf/>
    <ndxf/>
  </rcc>
  <rfmt sheetId="10" sqref="G47" start="0" length="0">
    <dxf/>
  </rfmt>
  <rfmt sheetId="10" sqref="H47" start="0" length="0">
    <dxf>
      <numFmt numFmtId="0" formatCode="General"/>
    </dxf>
  </rfmt>
  <rfmt sheetId="10" sqref="I47" start="0" length="0">
    <dxf/>
  </rfmt>
  <rfmt sheetId="10" sqref="J47" start="0" length="0">
    <dxf/>
  </rfmt>
  <rfmt sheetId="10" sqref="K47" start="0" length="0">
    <dxf/>
  </rfmt>
  <rfmt sheetId="10" sqref="L47" start="0" length="0">
    <dxf/>
  </rfmt>
  <rfmt sheetId="10" sqref="M47" start="0" length="0">
    <dxf/>
  </rfmt>
  <rfmt sheetId="10" sqref="N47" start="0" length="0">
    <dxf/>
  </rfmt>
  <rfmt sheetId="10" sqref="O47" start="0" length="0">
    <dxf/>
  </rfmt>
  <rfmt sheetId="10" sqref="P47" start="0" length="0">
    <dxf/>
  </rfmt>
  <rfmt sheetId="10" sqref="Q47" start="0" length="0">
    <dxf/>
  </rfmt>
  <rcc rId="2650" sId="10" odxf="1" dxf="1">
    <oc r="R47">
      <f>SUM(C47:Q47)</f>
    </oc>
    <nc r="R47"/>
    <odxf/>
    <ndxf/>
  </rcc>
  <rfmt sheetId="10" sqref="S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1" sId="10" odxf="1" dxf="1">
    <nc r="U47">
      <f>SUM(C47:T47)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2" sId="10" odxf="1" dxf="1">
    <oc r="B48" t="inlineStr">
      <is>
        <t>Elizaveta Krupa</t>
      </is>
    </oc>
    <nc r="B48" t="inlineStr">
      <is>
        <t>Evgeniya Gladisheva</t>
      </is>
    </nc>
    <odxf>
      <alignment horizontal="left" vertical="top" readingOrder="0"/>
    </odxf>
    <ndxf>
      <alignment horizontal="general" vertical="bottom" readingOrder="0"/>
    </ndxf>
  </rcc>
  <rfmt sheetId="10" sqref="C48" start="0" length="0">
    <dxf/>
  </rfmt>
  <rfmt sheetId="10" sqref="D48" start="0" length="0">
    <dxf/>
  </rfmt>
  <rfmt sheetId="10" sqref="E48" start="0" length="0">
    <dxf/>
  </rfmt>
  <rfmt sheetId="10" sqref="F48" start="0" length="0">
    <dxf/>
  </rfmt>
  <rfmt sheetId="10" sqref="G48" start="0" length="0">
    <dxf/>
  </rfmt>
  <rfmt sheetId="10" sqref="H48" start="0" length="0">
    <dxf>
      <numFmt numFmtId="0" formatCode="General"/>
    </dxf>
  </rfmt>
  <rfmt sheetId="10" sqref="I48" start="0" length="0">
    <dxf/>
  </rfmt>
  <rfmt sheetId="10" sqref="J48" start="0" length="0">
    <dxf/>
  </rfmt>
  <rfmt sheetId="10" sqref="K48" start="0" length="0">
    <dxf/>
  </rfmt>
  <rcc rId="2653" sId="10" odxf="1" dxf="1">
    <nc r="L48">
      <v>19.899999999999999</v>
    </nc>
    <odxf/>
    <ndxf/>
  </rcc>
  <rcc rId="2654" sId="10" odxf="1" dxf="1">
    <nc r="M48">
      <v>133.37899999999999</v>
    </nc>
    <odxf/>
    <ndxf/>
  </rcc>
  <rfmt sheetId="10" sqref="N48" start="0" length="0">
    <dxf/>
  </rfmt>
  <rfmt sheetId="10" sqref="O48" start="0" length="0">
    <dxf/>
  </rfmt>
  <rcc rId="2655" sId="10" odxf="1" dxf="1">
    <oc r="P48">
      <v>180.68900000000002</v>
    </oc>
    <nc r="P48"/>
    <odxf/>
    <ndxf/>
  </rcc>
  <rcc rId="2656" sId="10" odxf="1" dxf="1">
    <oc r="Q48">
      <v>29.3</v>
    </oc>
    <nc r="Q48"/>
    <odxf/>
    <ndxf/>
  </rcc>
  <rcc rId="2657" sId="10" odxf="1" dxf="1">
    <oc r="R48">
      <f>SUM(C48:Q48)</f>
    </oc>
    <nc r="R48"/>
    <odxf/>
    <ndxf/>
  </rcc>
  <rfmt sheetId="10" sqref="S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8" sId="10" odxf="1" dxf="1">
    <nc r="U48">
      <f>SUM(C48:T48)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9" sId="10" odxf="1" dxf="1">
    <oc r="B49" t="inlineStr">
      <is>
        <t>Eugene Pozdorovkin</t>
      </is>
    </oc>
    <nc r="B49" t="inlineStr">
      <is>
        <t>Ievgen Sukhotin</t>
      </is>
    </nc>
    <odxf>
      <alignment horizontal="left" vertical="top" readingOrder="0"/>
    </odxf>
    <ndxf>
      <alignment horizontal="general" vertical="bottom" readingOrder="0"/>
    </ndxf>
  </rcc>
  <rcc rId="2660" sId="10" odxf="1" dxf="1">
    <nc r="C49">
      <v>67.197000000000003</v>
    </nc>
    <odxf/>
    <ndxf/>
  </rcc>
  <rcc rId="2661" sId="10" odxf="1" dxf="1">
    <oc r="D49">
      <v>179.86800000000002</v>
    </oc>
    <nc r="D49">
      <v>69.933000000000007</v>
    </nc>
    <odxf/>
    <ndxf/>
  </rcc>
  <rfmt sheetId="10" sqref="E49" start="0" length="0">
    <dxf/>
  </rfmt>
  <rfmt sheetId="10" sqref="F49" start="0" length="0">
    <dxf/>
  </rfmt>
  <rfmt sheetId="10" sqref="G49" start="0" length="0">
    <dxf/>
  </rfmt>
  <rfmt sheetId="10" sqref="H49" start="0" length="0">
    <dxf>
      <numFmt numFmtId="0" formatCode="General"/>
    </dxf>
  </rfmt>
  <rfmt sheetId="10" sqref="I49" start="0" length="0">
    <dxf/>
  </rfmt>
  <rfmt sheetId="10" sqref="J49" start="0" length="0">
    <dxf/>
  </rfmt>
  <rfmt sheetId="10" sqref="K49" start="0" length="0">
    <dxf/>
  </rfmt>
  <rfmt sheetId="10" sqref="L49" start="0" length="0">
    <dxf/>
  </rfmt>
  <rfmt sheetId="10" sqref="M49" start="0" length="0">
    <dxf/>
  </rfmt>
  <rfmt sheetId="10" sqref="N49" start="0" length="0">
    <dxf/>
  </rfmt>
  <rfmt sheetId="10" sqref="O49" start="0" length="0">
    <dxf/>
  </rfmt>
  <rfmt sheetId="10" sqref="P49" start="0" length="0">
    <dxf/>
  </rfmt>
  <rcc rId="2662" sId="10" odxf="1" dxf="1">
    <oc r="Q49">
      <v>8.5</v>
    </oc>
    <nc r="Q49"/>
    <odxf/>
    <ndxf/>
  </rcc>
  <rcc rId="2663" sId="10" odxf="1" dxf="1">
    <oc r="R49">
      <f>SUM(C49:Q49)</f>
    </oc>
    <nc r="R49"/>
    <odxf/>
    <ndxf/>
  </rcc>
  <rfmt sheetId="10" sqref="S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4" sId="10" odxf="1" dxf="1">
    <nc r="U49">
      <f>SUM(C49:T49)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5" sId="10" odxf="1" dxf="1">
    <oc r="B50" t="inlineStr">
      <is>
        <t>Evgeniya Gladisheva</t>
      </is>
    </oc>
    <nc r="B50" t="inlineStr">
      <is>
        <t>Ievgen Tskhovrebov</t>
      </is>
    </nc>
    <odxf>
      <alignment horizontal="left" vertical="top" readingOrder="0"/>
    </odxf>
    <ndxf>
      <alignment horizontal="general" vertical="bottom" readingOrder="0"/>
    </ndxf>
  </rcc>
  <rfmt sheetId="10" sqref="C50" start="0" length="0">
    <dxf/>
  </rfmt>
  <rcc rId="2666" sId="10" odxf="1" dxf="1">
    <oc r="D50">
      <v>153.55300000000003</v>
    </oc>
    <nc r="D50"/>
    <odxf/>
    <ndxf/>
  </rcc>
  <rfmt sheetId="10" sqref="E50" start="0" length="0">
    <dxf/>
  </rfmt>
  <rfmt sheetId="10" sqref="F50" start="0" length="0">
    <dxf/>
  </rfmt>
  <rfmt sheetId="10" sqref="G50" start="0" length="0">
    <dxf/>
  </rfmt>
  <rfmt sheetId="10" sqref="H50" start="0" length="0">
    <dxf>
      <numFmt numFmtId="0" formatCode="General"/>
    </dxf>
  </rfmt>
  <rcc rId="2667" sId="10" odxf="1" dxf="1">
    <nc r="I50">
      <v>111.99799999999999</v>
    </nc>
    <odxf/>
    <ndxf/>
  </rcc>
  <rfmt sheetId="10" sqref="J50" start="0" length="0">
    <dxf/>
  </rfmt>
  <rfmt sheetId="10" sqref="K50" start="0" length="0">
    <dxf/>
  </rfmt>
  <rfmt sheetId="10" sqref="L50" start="0" length="0">
    <dxf/>
  </rfmt>
  <rfmt sheetId="10" sqref="M50" start="0" length="0">
    <dxf/>
  </rfmt>
  <rfmt sheetId="10" sqref="N50" start="0" length="0">
    <dxf/>
  </rfmt>
  <rfmt sheetId="10" sqref="O50" start="0" length="0">
    <dxf/>
  </rfmt>
  <rfmt sheetId="10" sqref="P50" start="0" length="0">
    <dxf/>
  </rfmt>
  <rcc rId="2668" sId="10" odxf="1" dxf="1">
    <oc r="Q50">
      <v>13.6</v>
    </oc>
    <nc r="Q50"/>
    <odxf/>
    <ndxf/>
  </rcc>
  <rcc rId="2669" sId="10" odxf="1" dxf="1">
    <oc r="R50">
      <f>SUM(C50:Q50)</f>
    </oc>
    <nc r="R50"/>
    <odxf/>
    <ndxf/>
  </rcc>
  <rfmt sheetId="10" sqref="S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0" sId="10" odxf="1" dxf="1">
    <nc r="U50">
      <f>SUM(C50:T50)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1" sId="10" odxf="1" dxf="1">
    <oc r="B51" t="inlineStr">
      <is>
        <t>Ievgen Sukhotin</t>
      </is>
    </oc>
    <nc r="B51" t="inlineStr">
      <is>
        <t>Ievgenii Matveichuk</t>
      </is>
    </nc>
    <odxf>
      <alignment horizontal="left" vertical="top" readingOrder="0"/>
    </odxf>
    <ndxf>
      <alignment horizontal="general" vertical="bottom" readingOrder="0"/>
    </ndxf>
  </rcc>
  <rfmt sheetId="10" sqref="C51" start="0" length="0">
    <dxf/>
  </rfmt>
  <rcc rId="2672" sId="10" odxf="1" dxf="1">
    <oc r="D51">
      <v>173.994</v>
    </oc>
    <nc r="D51"/>
    <odxf/>
    <ndxf/>
  </rcc>
  <rfmt sheetId="10" sqref="E51" start="0" length="0">
    <dxf/>
  </rfmt>
  <rfmt sheetId="10" sqref="F51" start="0" length="0">
    <dxf/>
  </rfmt>
  <rcc rId="2673" sId="10" odxf="1" dxf="1">
    <nc r="G51">
      <v>30</v>
    </nc>
    <odxf/>
    <ndxf/>
  </rcc>
  <rcc rId="2674" sId="10" odxf="1" dxf="1">
    <nc r="H51">
      <v>42</v>
    </nc>
    <odxf>
      <numFmt numFmtId="164" formatCode="0.0"/>
    </odxf>
    <ndxf>
      <numFmt numFmtId="0" formatCode="General"/>
    </ndxf>
  </rcc>
  <rfmt sheetId="10" sqref="I51" start="0" length="0">
    <dxf/>
  </rfmt>
  <rfmt sheetId="10" sqref="J51" start="0" length="0">
    <dxf/>
  </rfmt>
  <rfmt sheetId="10" sqref="K51" start="0" length="0">
    <dxf/>
  </rfmt>
  <rfmt sheetId="10" sqref="L51" start="0" length="0">
    <dxf/>
  </rfmt>
  <rfmt sheetId="10" sqref="M51" start="0" length="0">
    <dxf/>
  </rfmt>
  <rfmt sheetId="10" sqref="N51" start="0" length="0">
    <dxf/>
  </rfmt>
  <rfmt sheetId="10" sqref="O51" start="0" length="0">
    <dxf/>
  </rfmt>
  <rfmt sheetId="10" sqref="P51" start="0" length="0">
    <dxf/>
  </rfmt>
  <rcc rId="2675" sId="10" odxf="1" dxf="1">
    <nc r="Q51">
      <v>144</v>
    </nc>
    <odxf/>
    <ndxf/>
  </rcc>
  <rcc rId="2676" sId="10" odxf="1" dxf="1">
    <oc r="R51">
      <f>SUM(C51:Q51)</f>
    </oc>
    <nc r="R51"/>
    <odxf/>
    <ndxf/>
  </rcc>
  <rfmt sheetId="10" sqref="S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7" sId="10" odxf="1" dxf="1">
    <nc r="U51">
      <f>SUM(C51:T51)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8" sId="10" odxf="1" dxf="1">
    <oc r="B52" t="inlineStr">
      <is>
        <t>Ievgen Tskhovrebov</t>
      </is>
    </oc>
    <nc r="B52" t="inlineStr">
      <is>
        <t>Igor Umnov</t>
      </is>
    </nc>
    <odxf>
      <alignment horizontal="left" vertical="top" readingOrder="0"/>
    </odxf>
    <ndxf>
      <alignment horizontal="general" vertical="bottom" readingOrder="0"/>
    </ndxf>
  </rcc>
  <rfmt sheetId="10" sqref="C52" start="0" length="0">
    <dxf/>
  </rfmt>
  <rfmt sheetId="10" sqref="D52" start="0" length="0">
    <dxf/>
  </rfmt>
  <rfmt sheetId="10" sqref="E52" start="0" length="0">
    <dxf/>
  </rfmt>
  <rfmt sheetId="10" sqref="F52" start="0" length="0">
    <dxf/>
  </rfmt>
  <rfmt sheetId="10" sqref="G52" start="0" length="0">
    <dxf/>
  </rfmt>
  <rcc rId="2679" sId="10" odxf="1" dxf="1">
    <oc r="H52">
      <v>227.042</v>
    </oc>
    <nc r="H52"/>
    <odxf>
      <numFmt numFmtId="164" formatCode="0.0"/>
    </odxf>
    <ndxf>
      <numFmt numFmtId="0" formatCode="General"/>
    </ndxf>
  </rcc>
  <rfmt sheetId="10" sqref="I52" start="0" length="0">
    <dxf/>
  </rfmt>
  <rfmt sheetId="10" sqref="J52" start="0" length="0">
    <dxf/>
  </rfmt>
  <rfmt sheetId="10" sqref="K52" start="0" length="0">
    <dxf/>
  </rfmt>
  <rfmt sheetId="10" sqref="L52" start="0" length="0">
    <dxf/>
  </rfmt>
  <rfmt sheetId="10" sqref="M52" start="0" length="0">
    <dxf/>
  </rfmt>
  <rfmt sheetId="10" sqref="N52" start="0" length="0">
    <dxf/>
  </rfmt>
  <rfmt sheetId="10" sqref="O52" start="0" length="0">
    <dxf/>
  </rfmt>
  <rcc rId="2680" sId="10" odxf="1" dxf="1">
    <oc r="P52">
      <v>7</v>
    </oc>
    <nc r="P52"/>
    <odxf/>
    <ndxf/>
  </rcc>
  <rcc rId="2681" sId="10" odxf="1" dxf="1">
    <nc r="Q52">
      <v>286.59500000000014</v>
    </nc>
    <odxf/>
    <ndxf/>
  </rcc>
  <rcc rId="2682" sId="10" odxf="1" dxf="1">
    <oc r="R52">
      <f>SUM(C52:Q52)</f>
    </oc>
    <nc r="R52"/>
    <odxf/>
    <ndxf/>
  </rcc>
  <rfmt sheetId="10" sqref="S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3" sId="10" odxf="1" dxf="1">
    <nc r="U52">
      <f>SUM(C52:T52)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0" odxf="1" dxf="1">
    <oc r="B53" t="inlineStr">
      <is>
        <t>Ievgenii Matveichuk</t>
      </is>
    </oc>
    <nc r="B53" t="inlineStr">
      <is>
        <t>Irina Semernina</t>
      </is>
    </nc>
    <odxf>
      <alignment horizontal="left" vertical="top" readingOrder="0"/>
    </odxf>
    <ndxf>
      <alignment horizontal="general" vertical="bottom" readingOrder="0"/>
    </ndxf>
  </rcc>
  <rcc rId="2685" sId="10" odxf="1" dxf="1">
    <nc r="C53">
      <v>60.408999999999999</v>
    </nc>
    <odxf/>
    <ndxf/>
  </rcc>
  <rfmt sheetId="10" sqref="D53" start="0" length="0">
    <dxf/>
  </rfmt>
  <rfmt sheetId="10" sqref="E53" start="0" length="0">
    <dxf/>
  </rfmt>
  <rcc rId="2686" sId="10" odxf="1" dxf="1">
    <oc r="F53">
      <v>37</v>
    </oc>
    <nc r="F53"/>
    <odxf/>
    <ndxf/>
  </rcc>
  <rcc rId="2687" sId="10" odxf="1" dxf="1">
    <oc r="G53">
      <v>54.6</v>
    </oc>
    <nc r="G53"/>
    <odxf/>
    <ndxf/>
  </rcc>
  <rfmt sheetId="10" sqref="H53" start="0" length="0">
    <dxf>
      <numFmt numFmtId="0" formatCode="General"/>
    </dxf>
  </rfmt>
  <rfmt sheetId="10" sqref="I53" start="0" length="0">
    <dxf/>
  </rfmt>
  <rfmt sheetId="10" sqref="J53" start="0" length="0">
    <dxf/>
  </rfmt>
  <rfmt sheetId="10" sqref="K53" start="0" length="0">
    <dxf/>
  </rfmt>
  <rfmt sheetId="10" sqref="L53" start="0" length="0">
    <dxf/>
  </rfmt>
  <rfmt sheetId="10" sqref="M53" start="0" length="0">
    <dxf/>
  </rfmt>
  <rfmt sheetId="10" sqref="N53" start="0" length="0">
    <dxf/>
  </rfmt>
  <rfmt sheetId="10" sqref="O53" start="0" length="0">
    <dxf/>
  </rfmt>
  <rcc rId="2688" sId="10" odxf="1" dxf="1">
    <oc r="P53">
      <v>105</v>
    </oc>
    <nc r="P53"/>
    <odxf/>
    <ndxf/>
  </rcc>
  <rfmt sheetId="10" sqref="Q53" start="0" length="0">
    <dxf/>
  </rfmt>
  <rcc rId="2689" sId="10" odxf="1" dxf="1">
    <oc r="R53">
      <f>SUM(C53:Q53)</f>
    </oc>
    <nc r="R53"/>
    <odxf/>
    <ndxf/>
  </rcc>
  <rfmt sheetId="10" sqref="S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0" sId="10" odxf="1" dxf="1">
    <nc r="U53">
      <f>SUM(C53:T53)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10" odxf="1" dxf="1">
    <oc r="B54" t="inlineStr">
      <is>
        <t>Ievgeniia Luchnykova</t>
      </is>
    </oc>
    <nc r="B54" t="inlineStr">
      <is>
        <t>Irina Tsyganash</t>
      </is>
    </nc>
    <odxf>
      <alignment horizontal="left" vertical="top" readingOrder="0"/>
    </odxf>
    <ndxf>
      <alignment horizontal="general" vertical="bottom" readingOrder="0"/>
    </ndxf>
  </rcc>
  <rfmt sheetId="10" sqref="C54" start="0" length="0">
    <dxf/>
  </rfmt>
  <rfmt sheetId="10" sqref="D54" start="0" length="0">
    <dxf/>
  </rfmt>
  <rfmt sheetId="10" sqref="E54" start="0" length="0">
    <dxf/>
  </rfmt>
  <rfmt sheetId="10" sqref="F54" start="0" length="0">
    <dxf/>
  </rfmt>
  <rfmt sheetId="10" sqref="G54" start="0" length="0">
    <dxf/>
  </rfmt>
  <rcc rId="2692" sId="10" odxf="1" dxf="1">
    <oc r="H54">
      <v>93</v>
    </oc>
    <nc r="H54"/>
    <odxf>
      <numFmt numFmtId="164" formatCode="0.0"/>
    </odxf>
    <ndxf>
      <numFmt numFmtId="0" formatCode="General"/>
    </ndxf>
  </rcc>
  <rfmt sheetId="10" sqref="I54" start="0" length="0">
    <dxf/>
  </rfmt>
  <rcc rId="2693" sId="10" odxf="1" dxf="1">
    <oc r="J54">
      <f>19.5+8</f>
    </oc>
    <nc r="J54"/>
    <odxf/>
    <ndxf/>
  </rcc>
  <rcc rId="2694" sId="10" odxf="1" dxf="1">
    <oc r="K54">
      <v>22</v>
    </oc>
    <nc r="K54"/>
    <odxf/>
    <ndxf/>
  </rcc>
  <rfmt sheetId="10" sqref="L54" start="0" length="0">
    <dxf/>
  </rfmt>
  <rfmt sheetId="10" sqref="M54" start="0" length="0">
    <dxf/>
  </rfmt>
  <rcc rId="2695" sId="10" odxf="1" dxf="1">
    <nc r="N54">
      <v>230.29500000000002</v>
    </nc>
    <odxf/>
    <ndxf/>
  </rcc>
  <rfmt sheetId="10" sqref="O54" start="0" length="0">
    <dxf/>
  </rfmt>
  <rfmt sheetId="10" sqref="P54" start="0" length="0">
    <dxf/>
  </rfmt>
  <rfmt sheetId="10" sqref="Q54" start="0" length="0">
    <dxf/>
  </rfmt>
  <rcc rId="2696" sId="10" odxf="1" dxf="1">
    <oc r="R54">
      <f>SUM(C54:Q54)</f>
    </oc>
    <nc r="R54"/>
    <odxf/>
    <ndxf/>
  </rcc>
  <rfmt sheetId="10" sqref="S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7" sId="10" odxf="1" dxf="1">
    <nc r="U54">
      <f>SUM(C54:T54)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10" odxf="1" dxf="1">
    <oc r="B55" t="inlineStr">
      <is>
        <t>Igor Umnov</t>
      </is>
    </oc>
    <nc r="B55" t="inlineStr">
      <is>
        <t>Iryna Kharchevnykova</t>
      </is>
    </nc>
    <odxf>
      <alignment horizontal="left" vertical="top" readingOrder="0"/>
    </odxf>
    <ndxf>
      <alignment horizontal="general" vertical="bottom" readingOrder="0"/>
    </ndxf>
  </rcc>
  <rfmt sheetId="10" sqref="C55" start="0" length="0">
    <dxf/>
  </rfmt>
  <rfmt sheetId="10" sqref="D55" start="0" length="0">
    <dxf/>
  </rfmt>
  <rfmt sheetId="10" sqref="E55" start="0" length="0">
    <dxf/>
  </rfmt>
  <rfmt sheetId="10" sqref="F55" start="0" length="0">
    <dxf/>
  </rfmt>
  <rfmt sheetId="10" sqref="G55" start="0" length="0">
    <dxf/>
  </rfmt>
  <rfmt sheetId="10" sqref="H55" start="0" length="0">
    <dxf>
      <numFmt numFmtId="0" formatCode="General"/>
    </dxf>
  </rfmt>
  <rfmt sheetId="10" sqref="I55" start="0" length="0">
    <dxf/>
  </rfmt>
  <rfmt sheetId="10" sqref="J55" start="0" length="0">
    <dxf/>
  </rfmt>
  <rcc rId="2699" sId="10" odxf="1" dxf="1">
    <nc r="K55">
      <v>96.322000000000003</v>
    </nc>
    <odxf/>
    <ndxf/>
  </rcc>
  <rcc rId="2700" sId="10" odxf="1" dxf="1">
    <nc r="L55">
      <v>20.57</v>
    </nc>
    <odxf/>
    <ndxf/>
  </rcc>
  <rfmt sheetId="10" sqref="M55" start="0" length="0">
    <dxf/>
  </rfmt>
  <rfmt sheetId="10" sqref="N55" start="0" length="0">
    <dxf/>
  </rfmt>
  <rfmt sheetId="10" sqref="O55" start="0" length="0">
    <dxf/>
  </rfmt>
  <rcc rId="2701" sId="10" odxf="1" dxf="1">
    <oc r="P55">
      <v>275.62699999999995</v>
    </oc>
    <nc r="P55"/>
    <odxf/>
    <ndxf/>
  </rcc>
  <rfmt sheetId="10" sqref="Q55" start="0" length="0">
    <dxf/>
  </rfmt>
  <rcc rId="2702" sId="10" odxf="1" dxf="1">
    <oc r="R55">
      <f>SUM(C55:Q55)</f>
    </oc>
    <nc r="R55"/>
    <odxf/>
    <ndxf/>
  </rcc>
  <rfmt sheetId="10" sqref="S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3" sId="10" odxf="1" dxf="1">
    <nc r="U55">
      <f>SUM(C55:T55)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10" odxf="1" dxf="1">
    <oc r="B56" t="inlineStr">
      <is>
        <t>Irina Tsyganash</t>
      </is>
    </oc>
    <nc r="B56" t="inlineStr">
      <is>
        <t>Iuliia Brizhyk</t>
      </is>
    </nc>
    <odxf>
      <alignment horizontal="left" vertical="top" readingOrder="0"/>
    </odxf>
    <ndxf>
      <alignment horizontal="general" vertical="bottom" readingOrder="0"/>
    </ndxf>
  </rcc>
  <rfmt sheetId="10" sqref="C56" start="0" length="0">
    <dxf/>
  </rfmt>
  <rfmt sheetId="10" sqref="D56" start="0" length="0">
    <dxf/>
  </rfmt>
  <rfmt sheetId="10" sqref="E56" start="0" length="0">
    <dxf/>
  </rfmt>
  <rfmt sheetId="10" sqref="F56" start="0" length="0">
    <dxf/>
  </rfmt>
  <rfmt sheetId="10" sqref="G56" start="0" length="0">
    <dxf/>
  </rfmt>
  <rfmt sheetId="10" sqref="H56" start="0" length="0">
    <dxf>
      <numFmt numFmtId="0" formatCode="General"/>
    </dxf>
  </rfmt>
  <rfmt sheetId="10" sqref="I56" start="0" length="0">
    <dxf/>
  </rfmt>
  <rfmt sheetId="10" sqref="J56" start="0" length="0">
    <dxf/>
  </rfmt>
  <rcc rId="2705" sId="10" odxf="1" dxf="1">
    <nc r="K56">
      <v>93.443000000000012</v>
    </nc>
    <odxf/>
    <ndxf/>
  </rcc>
  <rfmt sheetId="10" sqref="L56" start="0" length="0">
    <dxf/>
  </rfmt>
  <rfmt sheetId="10" sqref="M56" start="0" length="0">
    <dxf/>
  </rfmt>
  <rcc rId="2706" sId="10" odxf="1" dxf="1">
    <oc r="N56">
      <v>149.01799999999997</v>
    </oc>
    <nc r="N56"/>
    <odxf/>
    <ndxf/>
  </rcc>
  <rfmt sheetId="10" sqref="O56" start="0" length="0">
    <dxf/>
  </rfmt>
  <rfmt sheetId="10" sqref="P56" start="0" length="0">
    <dxf/>
  </rfmt>
  <rfmt sheetId="10" sqref="Q56" start="0" length="0">
    <dxf/>
  </rfmt>
  <rcc rId="2707" sId="10" odxf="1" dxf="1">
    <oc r="R56">
      <f>SUM(C56:Q56)</f>
    </oc>
    <nc r="R56"/>
    <odxf/>
    <ndxf/>
  </rcc>
  <rfmt sheetId="10" sqref="S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8" sId="10" odxf="1" dxf="1">
    <nc r="U56">
      <f>SUM(C56:T56)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9" sId="10" odxf="1" dxf="1">
    <oc r="B57" t="inlineStr">
      <is>
        <t>Iryna Grygorieva</t>
      </is>
    </oc>
    <nc r="B57" t="inlineStr">
      <is>
        <t>Iurii Shubin</t>
      </is>
    </nc>
    <odxf>
      <alignment horizontal="left" vertical="top" readingOrder="0"/>
    </odxf>
    <ndxf>
      <alignment horizontal="general" vertical="bottom" readingOrder="0"/>
    </ndxf>
  </rcc>
  <rfmt sheetId="10" sqref="C57" start="0" length="0">
    <dxf/>
  </rfmt>
  <rfmt sheetId="10" sqref="D57" start="0" length="0">
    <dxf/>
  </rfmt>
  <rcc rId="2710" sId="10" odxf="1" dxf="1">
    <oc r="E57">
      <v>155.06699999999998</v>
    </oc>
    <nc r="E57"/>
    <odxf/>
    <ndxf/>
  </rcc>
  <rfmt sheetId="10" sqref="F57" start="0" length="0">
    <dxf/>
  </rfmt>
  <rfmt sheetId="10" sqref="G57" start="0" length="0">
    <dxf/>
  </rfmt>
  <rfmt sheetId="10" sqref="H57" start="0" length="0">
    <dxf>
      <numFmt numFmtId="0" formatCode="General"/>
    </dxf>
  </rfmt>
  <rfmt sheetId="10" sqref="I57" start="0" length="0">
    <dxf/>
  </rfmt>
  <rfmt sheetId="10" sqref="J57" start="0" length="0">
    <dxf/>
  </rfmt>
  <rfmt sheetId="10" sqref="K57" start="0" length="0">
    <dxf/>
  </rfmt>
  <rfmt sheetId="10" sqref="L57" start="0" length="0">
    <dxf/>
  </rfmt>
  <rcc rId="2711" sId="10" odxf="1" dxf="1">
    <nc r="M57">
      <v>50</v>
    </nc>
    <odxf/>
    <ndxf/>
  </rcc>
  <rcc rId="2712" sId="10" odxf="1" dxf="1">
    <nc r="N57">
      <v>200</v>
    </nc>
    <odxf/>
    <ndxf/>
  </rcc>
  <rfmt sheetId="10" sqref="O57" start="0" length="0">
    <dxf/>
  </rfmt>
  <rfmt sheetId="10" sqref="P57" start="0" length="0">
    <dxf/>
  </rfmt>
  <rfmt sheetId="10" sqref="Q57" start="0" length="0">
    <dxf/>
  </rfmt>
  <rcc rId="2713" sId="10" odxf="1" dxf="1">
    <oc r="R57">
      <f>SUM(C57:Q57)</f>
    </oc>
    <nc r="R57"/>
    <odxf/>
    <ndxf/>
  </rcc>
  <rfmt sheetId="10" sqref="S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4" sId="10" odxf="1" dxf="1">
    <nc r="U57">
      <f>SUM(C57:T57)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5" sId="10" odxf="1" dxf="1">
    <oc r="B58" t="inlineStr">
      <is>
        <t>Iryna Kharchevnykova</t>
      </is>
    </oc>
    <nc r="B58" t="inlineStr">
      <is>
        <t>Konstantin Bondarenko</t>
      </is>
    </nc>
    <odxf>
      <alignment horizontal="left" vertical="top" readingOrder="0"/>
    </odxf>
    <ndxf>
      <alignment horizontal="general" vertical="bottom" readingOrder="0"/>
    </ndxf>
  </rcc>
  <rfmt sheetId="10" sqref="C58" start="0" length="0">
    <dxf/>
  </rfmt>
  <rfmt sheetId="10" sqref="D58" start="0" length="0">
    <dxf/>
  </rfmt>
  <rfmt sheetId="10" sqref="E58" start="0" length="0">
    <dxf/>
  </rfmt>
  <rfmt sheetId="10" sqref="F58" start="0" length="0">
    <dxf/>
  </rfmt>
  <rfmt sheetId="10" sqref="G58" start="0" length="0">
    <dxf/>
  </rfmt>
  <rfmt sheetId="10" sqref="H58" start="0" length="0">
    <dxf>
      <numFmt numFmtId="0" formatCode="General"/>
    </dxf>
  </rfmt>
  <rfmt sheetId="10" sqref="I58" start="0" length="0">
    <dxf/>
  </rfmt>
  <rfmt sheetId="10" sqref="J58" start="0" length="0">
    <dxf/>
  </rfmt>
  <rfmt sheetId="10" sqref="K58" start="0" length="0">
    <dxf/>
  </rfmt>
  <rfmt sheetId="10" sqref="L58" start="0" length="0">
    <dxf/>
  </rfmt>
  <rcc rId="2716" sId="10" odxf="1" dxf="1">
    <oc r="M58">
      <v>219.40000000000003</v>
    </oc>
    <nc r="M58"/>
    <odxf/>
    <ndxf/>
  </rcc>
  <rfmt sheetId="10" sqref="N58" start="0" length="0">
    <dxf/>
  </rfmt>
  <rfmt sheetId="10" sqref="O58" start="0" length="0">
    <dxf/>
  </rfmt>
  <rfmt sheetId="10" sqref="P58" start="0" length="0">
    <dxf/>
  </rfmt>
  <rcc rId="2717" sId="10" odxf="1" dxf="1">
    <nc r="Q58">
      <v>90.345000000000013</v>
    </nc>
    <odxf/>
    <ndxf/>
  </rcc>
  <rcc rId="2718" sId="10" odxf="1" dxf="1">
    <oc r="R58">
      <f>SUM(C58:Q58)</f>
    </oc>
    <nc r="R58"/>
    <odxf/>
    <ndxf/>
  </rcc>
  <rfmt sheetId="10" sqref="S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9" sId="10" odxf="1" dxf="1">
    <nc r="U58">
      <f>SUM(C58:T58)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0" sId="10" odxf="1" dxf="1">
    <oc r="B59" t="inlineStr">
      <is>
        <t>Iuliia Brizhyk</t>
      </is>
    </oc>
    <nc r="B59" t="inlineStr">
      <is>
        <t>Konstantin Gorlachev</t>
      </is>
    </nc>
    <odxf>
      <alignment horizontal="left" vertical="top" readingOrder="0"/>
    </odxf>
    <ndxf>
      <alignment horizontal="general" vertical="bottom" readingOrder="0"/>
    </ndxf>
  </rcc>
  <rfmt sheetId="10" sqref="C59" start="0" length="0">
    <dxf/>
  </rfmt>
  <rfmt sheetId="10" sqref="D59" start="0" length="0">
    <dxf/>
  </rfmt>
  <rfmt sheetId="10" sqref="E59" start="0" length="0">
    <dxf/>
  </rfmt>
  <rfmt sheetId="10" sqref="F59" start="0" length="0">
    <dxf/>
  </rfmt>
  <rfmt sheetId="10" sqref="G59" start="0" length="0">
    <dxf/>
  </rfmt>
  <rfmt sheetId="10" sqref="H59" start="0" length="0">
    <dxf>
      <numFmt numFmtId="0" formatCode="General"/>
    </dxf>
  </rfmt>
  <rfmt sheetId="10" sqref="I59" start="0" length="0">
    <dxf/>
  </rfmt>
  <rfmt sheetId="10" sqref="J59" start="0" length="0">
    <dxf/>
  </rfmt>
  <rfmt sheetId="10" sqref="K59" start="0" length="0">
    <dxf/>
  </rfmt>
  <rcc rId="2721" sId="10" odxf="1" dxf="1">
    <nc r="L59">
      <v>61.43</v>
    </nc>
    <odxf/>
    <ndxf/>
  </rcc>
  <rcc rId="2722" sId="10" odxf="1" dxf="1">
    <oc r="M59">
      <v>126.10000000000001</v>
    </oc>
    <nc r="M59"/>
    <odxf/>
    <ndxf/>
  </rcc>
  <rfmt sheetId="10" sqref="N59" start="0" length="0">
    <dxf/>
  </rfmt>
  <rfmt sheetId="10" sqref="O59" start="0" length="0">
    <dxf/>
  </rfmt>
  <rcc rId="2723" sId="10" odxf="1" dxf="1">
    <nc r="P59">
      <v>13</v>
    </nc>
    <odxf/>
    <ndxf/>
  </rcc>
  <rfmt sheetId="10" sqref="Q59" start="0" length="0">
    <dxf/>
  </rfmt>
  <rcc rId="2724" sId="10" odxf="1" dxf="1">
    <oc r="R59">
      <f>SUM(C59:Q59)</f>
    </oc>
    <nc r="R59"/>
    <odxf/>
    <ndxf/>
  </rcc>
  <rfmt sheetId="10" sqref="S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25" sId="10" odxf="1" dxf="1">
    <nc r="U59">
      <f>SUM(C59:T59)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6" sId="10" odxf="1" dxf="1">
    <oc r="B60" t="inlineStr">
      <is>
        <t>Iurii Shubin</t>
      </is>
    </oc>
    <nc r="B60" t="inlineStr">
      <is>
        <t>Konstantin Oleksyuk</t>
      </is>
    </nc>
    <odxf>
      <alignment horizontal="left" vertical="top" readingOrder="0"/>
    </odxf>
    <ndxf>
      <alignment horizontal="general" vertical="bottom" readingOrder="0"/>
    </ndxf>
  </rcc>
  <rfmt sheetId="10" sqref="C60" start="0" length="0">
    <dxf/>
  </rfmt>
  <rfmt sheetId="10" sqref="D60" start="0" length="0">
    <dxf/>
  </rfmt>
  <rfmt sheetId="10" sqref="E60" start="0" length="0">
    <dxf/>
  </rfmt>
  <rfmt sheetId="10" sqref="F60" start="0" length="0">
    <dxf/>
  </rfmt>
  <rfmt sheetId="10" sqref="G60" start="0" length="0">
    <dxf/>
  </rfmt>
  <rcc rId="2727" sId="10" odxf="1" dxf="1">
    <nc r="H60">
      <v>169.10599999999999</v>
    </nc>
    <odxf>
      <numFmt numFmtId="164" formatCode="0.0"/>
    </odxf>
    <ndxf>
      <numFmt numFmtId="0" formatCode="General"/>
    </ndxf>
  </rcc>
  <rfmt sheetId="10" sqref="I60" start="0" length="0">
    <dxf/>
  </rfmt>
  <rfmt sheetId="10" sqref="J60" start="0" length="0">
    <dxf/>
  </rfmt>
  <rfmt sheetId="10" sqref="K60" start="0" length="0">
    <dxf/>
  </rfmt>
  <rfmt sheetId="10" sqref="L60" start="0" length="0">
    <dxf/>
  </rfmt>
  <rfmt sheetId="10" sqref="M60" start="0" length="0">
    <dxf/>
  </rfmt>
  <rcc rId="2728" sId="10" odxf="1" dxf="1">
    <oc r="N60">
      <v>160</v>
    </oc>
    <nc r="N60"/>
    <odxf/>
    <ndxf/>
  </rcc>
  <rfmt sheetId="10" sqref="O60" start="0" length="0">
    <dxf/>
  </rfmt>
  <rfmt sheetId="10" sqref="P60" start="0" length="0">
    <dxf/>
  </rfmt>
  <rfmt sheetId="10" sqref="Q60" start="0" length="0">
    <dxf/>
  </rfmt>
  <rcc rId="2729" sId="10" odxf="1" dxf="1">
    <oc r="R60">
      <f>SUM(C60:Q60)</f>
    </oc>
    <nc r="R60"/>
    <odxf/>
    <ndxf/>
  </rcc>
  <rfmt sheetId="10" sqref="S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0" sId="10" odxf="1" dxf="1">
    <nc r="U60">
      <f>SUM(C60:T60)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1" sId="10" odxf="1" dxf="1">
    <oc r="B61" t="inlineStr">
      <is>
        <t>Konstantin Bondarenko</t>
      </is>
    </oc>
    <nc r="B61" t="inlineStr">
      <is>
        <t>Kseniya Martynuk</t>
      </is>
    </nc>
    <odxf>
      <alignment horizontal="left" vertical="top" readingOrder="0"/>
    </odxf>
    <ndxf>
      <alignment horizontal="general" vertical="bottom" readingOrder="0"/>
    </ndxf>
  </rcc>
  <rcc rId="2732" sId="10" odxf="1" dxf="1">
    <nc r="C61">
      <v>107.297</v>
    </nc>
    <odxf/>
    <ndxf/>
  </rcc>
  <rcc rId="2733" sId="10" odxf="1" dxf="1">
    <nc r="D61">
      <v>15.225</v>
    </nc>
    <odxf/>
    <ndxf/>
  </rcc>
  <rfmt sheetId="10" sqref="E61" start="0" length="0">
    <dxf/>
  </rfmt>
  <rfmt sheetId="10" sqref="F61" start="0" length="0">
    <dxf/>
  </rfmt>
  <rfmt sheetId="10" sqref="G61" start="0" length="0">
    <dxf/>
  </rfmt>
  <rfmt sheetId="10" sqref="H61" start="0" length="0">
    <dxf>
      <numFmt numFmtId="0" formatCode="General"/>
    </dxf>
  </rfmt>
  <rfmt sheetId="10" sqref="I61" start="0" length="0">
    <dxf/>
  </rfmt>
  <rfmt sheetId="10" sqref="J61" start="0" length="0">
    <dxf/>
  </rfmt>
  <rfmt sheetId="10" sqref="K61" start="0" length="0">
    <dxf/>
  </rfmt>
  <rfmt sheetId="10" sqref="L61" start="0" length="0">
    <dxf/>
  </rfmt>
  <rfmt sheetId="10" sqref="M61" start="0" length="0">
    <dxf/>
  </rfmt>
  <rfmt sheetId="10" sqref="N61" start="0" length="0">
    <dxf/>
  </rfmt>
  <rcc rId="2734" sId="10" odxf="1" dxf="1">
    <oc r="O61">
      <v>26.091000000000001</v>
    </oc>
    <nc r="O61"/>
    <odxf/>
    <ndxf/>
  </rcc>
  <rfmt sheetId="10" sqref="P61" start="0" length="0">
    <dxf/>
  </rfmt>
  <rfmt sheetId="10" sqref="Q61" start="0" length="0">
    <dxf/>
  </rfmt>
  <rcc rId="2735" sId="10" odxf="1" dxf="1">
    <oc r="R61">
      <f>SUM(C61:Q61)</f>
    </oc>
    <nc r="R61"/>
    <odxf/>
    <ndxf/>
  </rcc>
  <rfmt sheetId="10" sqref="S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6" sId="10" odxf="1" dxf="1">
    <nc r="U61">
      <f>SUM(C61:T61)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10" odxf="1" dxf="1">
    <oc r="B62" t="inlineStr">
      <is>
        <t>Konstantin Gorlachev</t>
      </is>
    </oc>
    <nc r="B62" t="inlineStr">
      <is>
        <t>Leonid Bajdullin</t>
      </is>
    </nc>
    <odxf>
      <alignment horizontal="left" vertical="top" readingOrder="0"/>
    </odxf>
    <ndxf>
      <alignment horizontal="general" vertical="bottom" readingOrder="0"/>
    </ndxf>
  </rcc>
  <rfmt sheetId="10" sqref="C62" start="0" length="0">
    <dxf/>
  </rfmt>
  <rfmt sheetId="10" sqref="D62" start="0" length="0">
    <dxf/>
  </rfmt>
  <rfmt sheetId="10" sqref="E62" start="0" length="0">
    <dxf/>
  </rfmt>
  <rfmt sheetId="10" sqref="F62" start="0" length="0">
    <dxf/>
  </rfmt>
  <rfmt sheetId="10" sqref="G62" start="0" length="0">
    <dxf/>
  </rfmt>
  <rfmt sheetId="10" sqref="H62" start="0" length="0">
    <dxf>
      <numFmt numFmtId="0" formatCode="General"/>
    </dxf>
  </rfmt>
  <rfmt sheetId="10" sqref="I62" start="0" length="0">
    <dxf/>
  </rfmt>
  <rfmt sheetId="10" sqref="J62" start="0" length="0">
    <dxf/>
  </rfmt>
  <rcc rId="2738" sId="10" odxf="1" dxf="1">
    <nc r="K62">
      <v>12.907999999999999</v>
    </nc>
    <odxf/>
    <ndxf/>
  </rcc>
  <rfmt sheetId="10" sqref="L62" start="0" length="0">
    <dxf/>
  </rfmt>
  <rfmt sheetId="10" sqref="M62" start="0" length="0">
    <dxf/>
  </rfmt>
  <rcc rId="2739" sId="10" odxf="1" dxf="1">
    <nc r="N62">
      <v>132.06100000000001</v>
    </nc>
    <odxf/>
    <ndxf/>
  </rcc>
  <rcc rId="2740" sId="10" odxf="1" dxf="1">
    <oc r="O62">
      <v>278.42100000000011</v>
    </oc>
    <nc r="O62"/>
    <odxf/>
    <ndxf/>
  </rcc>
  <rfmt sheetId="10" sqref="P62" start="0" length="0">
    <dxf/>
  </rfmt>
  <rfmt sheetId="10" sqref="Q62" start="0" length="0">
    <dxf/>
  </rfmt>
  <rcc rId="2741" sId="10" odxf="1" dxf="1">
    <oc r="R62">
      <f>SUM(C62:Q62)</f>
    </oc>
    <nc r="R62"/>
    <odxf/>
    <ndxf/>
  </rcc>
  <rfmt sheetId="10" sqref="S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2" sId="10" odxf="1" dxf="1">
    <nc r="U62">
      <f>SUM(C62:T62)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3" sId="10" odxf="1" dxf="1">
    <oc r="B63" t="inlineStr">
      <is>
        <t>Konstantin Oleksyuk</t>
      </is>
    </oc>
    <nc r="B63" t="inlineStr">
      <is>
        <t>Lesya Smagliy</t>
      </is>
    </nc>
    <odxf>
      <alignment horizontal="left" vertical="top" readingOrder="0"/>
    </odxf>
    <ndxf>
      <alignment horizontal="general" vertical="bottom" readingOrder="0"/>
    </ndxf>
  </rcc>
  <rfmt sheetId="10" sqref="C63" start="0" length="0">
    <dxf/>
  </rfmt>
  <rfmt sheetId="10" sqref="D63" start="0" length="0">
    <dxf/>
  </rfmt>
  <rfmt sheetId="10" sqref="E63" start="0" length="0">
    <dxf/>
  </rfmt>
  <rfmt sheetId="10" sqref="F63" start="0" length="0">
    <dxf/>
  </rfmt>
  <rfmt sheetId="10" sqref="G63" start="0" length="0">
    <dxf/>
  </rfmt>
  <rfmt sheetId="10" sqref="H63" start="0" length="0">
    <dxf>
      <numFmt numFmtId="0" formatCode="General"/>
    </dxf>
  </rfmt>
  <rfmt sheetId="10" sqref="I63" start="0" length="0">
    <dxf/>
  </rfmt>
  <rfmt sheetId="10" sqref="J63" start="0" length="0">
    <dxf/>
  </rfmt>
  <rfmt sheetId="10" sqref="K63" start="0" length="0">
    <dxf/>
  </rfmt>
  <rfmt sheetId="10" sqref="L63" start="0" length="0">
    <dxf/>
  </rfmt>
  <rfmt sheetId="10" sqref="M63" start="0" length="0">
    <dxf/>
  </rfmt>
  <rfmt sheetId="10" sqref="N63" start="0" length="0">
    <dxf/>
  </rfmt>
  <rfmt sheetId="10" sqref="O63" start="0" length="0">
    <dxf/>
  </rfmt>
  <rcc rId="2744" sId="10" odxf="1" dxf="1">
    <oc r="P63">
      <v>144.90299999999999</v>
    </oc>
    <nc r="P63"/>
    <odxf/>
    <ndxf/>
  </rcc>
  <rcc rId="2745" sId="10" odxf="1" dxf="1">
    <nc r="Q63">
      <v>198.68599999999998</v>
    </nc>
    <odxf/>
    <ndxf/>
  </rcc>
  <rcc rId="2746" sId="10" odxf="1" dxf="1">
    <oc r="R63">
      <f>SUM(C63:Q63)</f>
    </oc>
    <nc r="R63"/>
    <odxf/>
    <ndxf/>
  </rcc>
  <rfmt sheetId="10" sqref="S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7" sId="10" odxf="1" dxf="1">
    <nc r="U63">
      <f>SUM(C63:T63)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8" sId="10" odxf="1" dxf="1">
    <oc r="B64" t="inlineStr">
      <is>
        <t>Kseniya Martynuk</t>
      </is>
    </oc>
    <nc r="B64" t="inlineStr">
      <is>
        <t>Lidiia Khoprianinova</t>
      </is>
    </nc>
    <odxf>
      <alignment horizontal="left" vertical="top" readingOrder="0"/>
    </odxf>
    <ndxf>
      <alignment horizontal="general" vertical="bottom" readingOrder="0"/>
    </ndxf>
  </rcc>
  <rfmt sheetId="10" sqref="C64" start="0" length="0">
    <dxf/>
  </rfmt>
  <rfmt sheetId="10" sqref="D64" start="0" length="0">
    <dxf/>
  </rfmt>
  <rcc rId="2749" sId="10" odxf="1" dxf="1">
    <oc r="E64">
      <v>102.73100000000001</v>
    </oc>
    <nc r="E64"/>
    <odxf/>
    <ndxf/>
  </rcc>
  <rfmt sheetId="10" sqref="F64" start="0" length="0">
    <dxf/>
  </rfmt>
  <rfmt sheetId="10" sqref="G64" start="0" length="0">
    <dxf/>
  </rfmt>
  <rfmt sheetId="10" sqref="H64" start="0" length="0">
    <dxf>
      <numFmt numFmtId="0" formatCode="General"/>
    </dxf>
  </rfmt>
  <rfmt sheetId="10" sqref="I64" start="0" length="0">
    <dxf/>
  </rfmt>
  <rfmt sheetId="10" sqref="J64" start="0" length="0">
    <dxf/>
  </rfmt>
  <rcc rId="2750" sId="10" odxf="1" dxf="1">
    <nc r="K64">
      <v>103.964</v>
    </nc>
    <odxf/>
    <ndxf/>
  </rcc>
  <rfmt sheetId="10" sqref="L64" start="0" length="0">
    <dxf/>
  </rfmt>
  <rfmt sheetId="10" sqref="M64" start="0" length="0">
    <dxf/>
  </rfmt>
  <rfmt sheetId="10" sqref="N64" start="0" length="0">
    <dxf/>
  </rfmt>
  <rfmt sheetId="10" sqref="O64" start="0" length="0">
    <dxf/>
  </rfmt>
  <rfmt sheetId="10" sqref="P64" start="0" length="0">
    <dxf/>
  </rfmt>
  <rfmt sheetId="10" sqref="Q64" start="0" length="0">
    <dxf/>
  </rfmt>
  <rcc rId="2751" sId="10" odxf="1" dxf="1">
    <oc r="R64">
      <f>SUM(C64:Q64)</f>
    </oc>
    <nc r="R64"/>
    <odxf/>
    <ndxf/>
  </rcc>
  <rfmt sheetId="10" sqref="S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2" sId="10" odxf="1" dxf="1">
    <nc r="U64">
      <f>SUM(C64:T64)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3" sId="10" odxf="1" dxf="1">
    <oc r="B65" t="inlineStr">
      <is>
        <t>Leonid Bajdullin</t>
      </is>
    </oc>
    <nc r="B65" t="inlineStr">
      <is>
        <t>Maksym Nartov</t>
      </is>
    </nc>
    <odxf>
      <alignment horizontal="left" vertical="top" readingOrder="0"/>
    </odxf>
    <ndxf>
      <alignment horizontal="general" vertical="bottom" readingOrder="0"/>
    </ndxf>
  </rcc>
  <rfmt sheetId="10" sqref="C65" start="0" length="0">
    <dxf/>
  </rfmt>
  <rfmt sheetId="10" sqref="D65" start="0" length="0">
    <dxf/>
  </rfmt>
  <rfmt sheetId="10" sqref="E65" start="0" length="0">
    <dxf/>
  </rfmt>
  <rfmt sheetId="10" sqref="F65" start="0" length="0">
    <dxf/>
  </rfmt>
  <rfmt sheetId="10" sqref="G65" start="0" length="0">
    <dxf/>
  </rfmt>
  <rfmt sheetId="10" sqref="H65" start="0" length="0">
    <dxf>
      <numFmt numFmtId="0" formatCode="General"/>
    </dxf>
  </rfmt>
  <rfmt sheetId="10" sqref="I65" start="0" length="0">
    <dxf/>
  </rfmt>
  <rfmt sheetId="10" sqref="J65" start="0" length="0">
    <dxf/>
  </rfmt>
  <rcc rId="2754" sId="10" odxf="1" dxf="1">
    <nc r="K65">
      <v>146.24299999999999</v>
    </nc>
    <odxf/>
    <ndxf/>
  </rcc>
  <rfmt sheetId="10" sqref="L65" start="0" length="0">
    <dxf/>
  </rfmt>
  <rcc rId="2755" sId="10" odxf="1" dxf="1">
    <oc r="M65">
      <v>125.05</v>
    </oc>
    <nc r="M65"/>
    <odxf/>
    <ndxf/>
  </rcc>
  <rfmt sheetId="10" sqref="N65" start="0" length="0">
    <dxf/>
  </rfmt>
  <rfmt sheetId="10" sqref="O65" start="0" length="0">
    <dxf/>
  </rfmt>
  <rfmt sheetId="10" sqref="P65" start="0" length="0">
    <dxf/>
  </rfmt>
  <rfmt sheetId="10" sqref="Q65" start="0" length="0">
    <dxf/>
  </rfmt>
  <rcc rId="2756" sId="10" odxf="1" dxf="1">
    <oc r="R65">
      <f>SUM(C65:Q65)</f>
    </oc>
    <nc r="R65"/>
    <odxf/>
    <ndxf/>
  </rcc>
  <rfmt sheetId="10" sqref="S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7" sId="10" odxf="1" dxf="1">
    <nc r="U65">
      <f>SUM(C65:T65)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8" sId="10" odxf="1" dxf="1">
    <oc r="B66" t="inlineStr">
      <is>
        <t>Lesya Smagliy</t>
      </is>
    </oc>
    <nc r="B66" t="inlineStr">
      <is>
        <t>Maksym Vysochin</t>
      </is>
    </nc>
    <odxf>
      <alignment horizontal="left" vertical="top" readingOrder="0"/>
    </odxf>
    <ndxf>
      <alignment horizontal="general" vertical="bottom" readingOrder="0"/>
    </ndxf>
  </rcc>
  <rfmt sheetId="10" sqref="C66" start="0" length="0">
    <dxf/>
  </rfmt>
  <rfmt sheetId="10" sqref="D66" start="0" length="0">
    <dxf/>
  </rfmt>
  <rfmt sheetId="10" sqref="E66" start="0" length="0">
    <dxf/>
  </rfmt>
  <rfmt sheetId="10" sqref="F66" start="0" length="0">
    <dxf/>
  </rfmt>
  <rfmt sheetId="10" sqref="G66" start="0" length="0">
    <dxf/>
  </rfmt>
  <rfmt sheetId="10" sqref="H66" start="0" length="0">
    <dxf>
      <numFmt numFmtId="0" formatCode="General"/>
    </dxf>
  </rfmt>
  <rcc rId="2759" sId="10" odxf="1" dxf="1">
    <nc r="I66">
      <v>94.31</v>
    </nc>
    <odxf/>
    <ndxf/>
  </rcc>
  <rfmt sheetId="10" sqref="J66" start="0" length="0">
    <dxf/>
  </rfmt>
  <rfmt sheetId="10" sqref="K66" start="0" length="0">
    <dxf/>
  </rfmt>
  <rfmt sheetId="10" sqref="L66" start="0" length="0">
    <dxf/>
  </rfmt>
  <rfmt sheetId="10" sqref="M66" start="0" length="0">
    <dxf/>
  </rfmt>
  <rfmt sheetId="10" sqref="N66" start="0" length="0">
    <dxf/>
  </rfmt>
  <rfmt sheetId="10" sqref="O66" start="0" length="0">
    <dxf/>
  </rfmt>
  <rcc rId="2760" sId="10" odxf="1" dxf="1">
    <oc r="P66">
      <v>184.71099999999998</v>
    </oc>
    <nc r="P66"/>
    <odxf/>
    <ndxf/>
  </rcc>
  <rfmt sheetId="10" sqref="Q66" start="0" length="0">
    <dxf/>
  </rfmt>
  <rcc rId="2761" sId="10" odxf="1" dxf="1">
    <oc r="R66">
      <f>SUM(C66:Q66)</f>
    </oc>
    <nc r="R66"/>
    <odxf/>
    <ndxf/>
  </rcc>
  <rfmt sheetId="10" sqref="S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2" sId="10" odxf="1" dxf="1">
    <nc r="U66">
      <f>SUM(C66:T66)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3" sId="10" odxf="1" dxf="1">
    <oc r="B67" t="inlineStr">
      <is>
        <t>Lidiia Khoprianinova</t>
      </is>
    </oc>
    <nc r="B67" t="inlineStr">
      <is>
        <t>Mikhail Vdovareize</t>
      </is>
    </nc>
    <odxf>
      <alignment horizontal="left" vertical="top" readingOrder="0"/>
    </odxf>
    <ndxf>
      <alignment horizontal="general" vertical="bottom" readingOrder="0"/>
    </ndxf>
  </rcc>
  <rfmt sheetId="10" sqref="C67" start="0" length="0">
    <dxf/>
  </rfmt>
  <rfmt sheetId="10" sqref="D67" start="0" length="0">
    <dxf/>
  </rfmt>
  <rfmt sheetId="10" sqref="E67" start="0" length="0">
    <dxf/>
  </rfmt>
  <rfmt sheetId="10" sqref="F67" start="0" length="0">
    <dxf/>
  </rfmt>
  <rcc rId="2764" sId="10" odxf="1" dxf="1">
    <nc r="G67">
      <v>15.35</v>
    </nc>
    <odxf/>
    <ndxf/>
  </rcc>
  <rfmt sheetId="10" sqref="H67" start="0" length="0">
    <dxf>
      <numFmt numFmtId="0" formatCode="General"/>
    </dxf>
  </rfmt>
  <rfmt sheetId="10" sqref="I67" start="0" length="0">
    <dxf/>
  </rfmt>
  <rfmt sheetId="10" sqref="J67" start="0" length="0">
    <dxf/>
  </rfmt>
  <rfmt sheetId="10" sqref="K67" start="0" length="0">
    <dxf/>
  </rfmt>
  <rfmt sheetId="10" sqref="L67" start="0" length="0">
    <dxf/>
  </rfmt>
  <rcc rId="2765" sId="10" odxf="1" dxf="1">
    <oc r="M67">
      <v>227.67</v>
    </oc>
    <nc r="M67"/>
    <odxf/>
    <ndxf/>
  </rcc>
  <rfmt sheetId="10" sqref="N67" start="0" length="0">
    <dxf/>
  </rfmt>
  <rfmt sheetId="10" sqref="O67" start="0" length="0">
    <dxf/>
  </rfmt>
  <rfmt sheetId="10" sqref="P67" start="0" length="0">
    <dxf/>
  </rfmt>
  <rfmt sheetId="10" sqref="Q67" start="0" length="0">
    <dxf/>
  </rfmt>
  <rcc rId="2766" sId="10" odxf="1" dxf="1">
    <oc r="R67">
      <f>SUM(C67:Q67)</f>
    </oc>
    <nc r="R67">
      <v>134.18199999999999</v>
    </nc>
    <odxf/>
    <ndxf/>
  </rcc>
  <rfmt sheetId="10" sqref="S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7" sId="10" odxf="1" dxf="1">
    <nc r="U67">
      <f>SUM(C67:T67)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8" sId="10" odxf="1" dxf="1">
    <oc r="B68" t="inlineStr">
      <is>
        <t>Maksym Evsyukov</t>
      </is>
    </oc>
    <nc r="B68" t="inlineStr">
      <is>
        <t>Mykhailo Semernin</t>
      </is>
    </nc>
    <odxf>
      <alignment horizontal="left" vertical="top" readingOrder="0"/>
    </odxf>
    <ndxf>
      <alignment horizontal="general" vertical="bottom" readingOrder="0"/>
    </ndxf>
  </rcc>
  <rfmt sheetId="10" sqref="C68" start="0" length="0">
    <dxf/>
  </rfmt>
  <rfmt sheetId="10" sqref="D68" start="0" length="0">
    <dxf/>
  </rfmt>
  <rfmt sheetId="10" sqref="E68" start="0" length="0">
    <dxf/>
  </rfmt>
  <rfmt sheetId="10" sqref="F68" start="0" length="0">
    <dxf/>
  </rfmt>
  <rfmt sheetId="10" sqref="G68" start="0" length="0">
    <dxf/>
  </rfmt>
  <rfmt sheetId="10" sqref="H68" start="0" length="0">
    <dxf>
      <numFmt numFmtId="0" formatCode="General"/>
    </dxf>
  </rfmt>
  <rfmt sheetId="10" sqref="I68" start="0" length="0">
    <dxf/>
  </rfmt>
  <rcc rId="2769" sId="10" odxf="1" dxf="1">
    <nc r="J68">
      <v>25.299999999999997</v>
    </nc>
    <odxf/>
    <ndxf/>
  </rcc>
  <rfmt sheetId="10" sqref="K68" start="0" length="0">
    <dxf/>
  </rfmt>
  <rfmt sheetId="10" sqref="L68" start="0" length="0">
    <dxf/>
  </rfmt>
  <rfmt sheetId="10" sqref="M68" start="0" length="0">
    <dxf/>
  </rfmt>
  <rcc rId="2770" sId="10" odxf="1" dxf="1">
    <nc r="N68">
      <v>119.751</v>
    </nc>
    <odxf/>
    <ndxf/>
  </rcc>
  <rfmt sheetId="10" sqref="O68" start="0" length="0">
    <dxf/>
  </rfmt>
  <rfmt sheetId="10" sqref="P68" start="0" length="0">
    <dxf/>
  </rfmt>
  <rcc rId="2771" sId="10" odxf="1" dxf="1">
    <oc r="Q68">
      <v>100</v>
    </oc>
    <nc r="Q68"/>
    <odxf/>
    <ndxf/>
  </rcc>
  <rcc rId="2772" sId="10" odxf="1" dxf="1">
    <oc r="R68">
      <f>SUM(C68:Q68)</f>
    </oc>
    <nc r="R68"/>
    <odxf/>
    <ndxf/>
  </rcc>
  <rfmt sheetId="10" sqref="S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3" sId="10" odxf="1" dxf="1">
    <nc r="U68">
      <f>SUM(C68:T68)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10" odxf="1" dxf="1">
    <oc r="B69" t="inlineStr">
      <is>
        <t>Maksym Nartov</t>
      </is>
    </oc>
    <nc r="B69" t="inlineStr">
      <is>
        <t>Nikolay Moskvin</t>
      </is>
    </nc>
    <odxf>
      <alignment horizontal="left" vertical="top" readingOrder="0"/>
    </odxf>
    <ndxf>
      <alignment horizontal="general" vertical="bottom" readingOrder="0"/>
    </ndxf>
  </rcc>
  <rfmt sheetId="10" sqref="C69" start="0" length="0">
    <dxf/>
  </rfmt>
  <rfmt sheetId="10" sqref="D69" start="0" length="0">
    <dxf/>
  </rfmt>
  <rfmt sheetId="10" sqref="E69" start="0" length="0">
    <dxf/>
  </rfmt>
  <rfmt sheetId="10" sqref="F69" start="0" length="0">
    <dxf/>
  </rfmt>
  <rfmt sheetId="10" sqref="G69" start="0" length="0">
    <dxf/>
  </rfmt>
  <rfmt sheetId="10" sqref="H69" start="0" length="0">
    <dxf>
      <numFmt numFmtId="0" formatCode="General"/>
    </dxf>
  </rfmt>
  <rfmt sheetId="10" sqref="I69" start="0" length="0">
    <dxf/>
  </rfmt>
  <rfmt sheetId="10" sqref="J69" start="0" length="0">
    <dxf/>
  </rfmt>
  <rfmt sheetId="10" sqref="K69" start="0" length="0">
    <dxf/>
  </rfmt>
  <rfmt sheetId="10" sqref="L69" start="0" length="0">
    <dxf/>
  </rfmt>
  <rcc rId="2775" sId="10" odxf="1" dxf="1">
    <oc r="M69">
      <v>216.31999999999996</v>
    </oc>
    <nc r="M69"/>
    <odxf/>
    <ndxf/>
  </rcc>
  <rfmt sheetId="10" sqref="N69" start="0" length="0">
    <dxf/>
  </rfmt>
  <rfmt sheetId="10" sqref="O69" start="0" length="0">
    <dxf/>
  </rfmt>
  <rfmt sheetId="10" sqref="P69" start="0" length="0">
    <dxf/>
  </rfmt>
  <rfmt sheetId="10" sqref="Q69" start="0" length="0">
    <dxf/>
  </rfmt>
  <rcc rId="2776" sId="10" odxf="1" dxf="1">
    <oc r="R69">
      <f>SUM(C69:Q69)</f>
    </oc>
    <nc r="R69">
      <v>85.558999999999997</v>
    </nc>
    <odxf/>
    <ndxf/>
  </rcc>
  <rfmt sheetId="10" sqref="S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7" sId="10" odxf="1" dxf="1">
    <nc r="U69">
      <f>SUM(C69:T69)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8" sId="10" odxf="1" dxf="1">
    <oc r="B70" t="inlineStr">
      <is>
        <t>Maksym Vysochin</t>
      </is>
    </oc>
    <nc r="B70" t="inlineStr">
      <is>
        <t>Oleg Seliverstov</t>
      </is>
    </nc>
    <odxf>
      <alignment horizontal="left" vertical="top" readingOrder="0"/>
    </odxf>
    <ndxf>
      <alignment horizontal="general" vertical="bottom" readingOrder="0"/>
    </ndxf>
  </rcc>
  <rfmt sheetId="10" sqref="C70" start="0" length="0">
    <dxf/>
  </rfmt>
  <rfmt sheetId="10" sqref="D70" start="0" length="0">
    <dxf/>
  </rfmt>
  <rfmt sheetId="10" sqref="E70" start="0" length="0">
    <dxf/>
  </rfmt>
  <rfmt sheetId="10" sqref="F70" start="0" length="0">
    <dxf/>
  </rfmt>
  <rfmt sheetId="10" sqref="G70" start="0" length="0">
    <dxf/>
  </rfmt>
  <rcc rId="2779" sId="10" odxf="1" dxf="1">
    <oc r="H70">
      <v>173.47499999999999</v>
    </oc>
    <nc r="H70"/>
    <odxf>
      <numFmt numFmtId="164" formatCode="0.0"/>
    </odxf>
    <ndxf>
      <numFmt numFmtId="0" formatCode="General"/>
    </ndxf>
  </rcc>
  <rfmt sheetId="10" sqref="I70" start="0" length="0">
    <dxf/>
  </rfmt>
  <rfmt sheetId="10" sqref="J70" start="0" length="0">
    <dxf/>
  </rfmt>
  <rfmt sheetId="10" sqref="K70" start="0" length="0">
    <dxf/>
  </rfmt>
  <rfmt sheetId="10" sqref="L70" start="0" length="0">
    <dxf/>
  </rfmt>
  <rfmt sheetId="10" sqref="M70" start="0" length="0">
    <dxf/>
  </rfmt>
  <rfmt sheetId="10" sqref="N70" start="0" length="0">
    <dxf/>
  </rfmt>
  <rfmt sheetId="10" sqref="O70" start="0" length="0">
    <dxf/>
  </rfmt>
  <rfmt sheetId="10" sqref="P70" start="0" length="0">
    <dxf/>
  </rfmt>
  <rfmt sheetId="10" sqref="Q70" start="0" length="0">
    <dxf/>
  </rfmt>
  <rcc rId="2780" sId="10" odxf="1" dxf="1">
    <oc r="R70">
      <f>SUM(C70:Q70)</f>
    </oc>
    <nc r="R70"/>
    <odxf/>
    <ndxf/>
  </rcc>
  <rfmt sheetId="10" sqref="S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0" start="0" length="0">
    <dxf/>
  </rfmt>
  <rcc rId="2781" sId="10" odxf="1" dxf="1">
    <nc r="U70">
      <f>SUM(C70:T70)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2" sId="10" odxf="1" dxf="1">
    <oc r="B71" t="inlineStr">
      <is>
        <t>Mikhail Vdovareize</t>
      </is>
    </oc>
    <nc r="B71" t="inlineStr">
      <is>
        <t>Oleksandr Perskii</t>
      </is>
    </nc>
    <odxf>
      <alignment horizontal="left" vertical="top" readingOrder="0"/>
    </odxf>
    <ndxf>
      <alignment horizontal="general" vertical="bottom" readingOrder="0"/>
    </ndxf>
  </rcc>
  <rcc rId="2783" sId="10" odxf="1" dxf="1">
    <nc r="C71">
      <v>125.358</v>
    </nc>
    <odxf/>
    <ndxf/>
  </rcc>
  <rcc rId="2784" sId="10" odxf="1" dxf="1">
    <nc r="D71">
      <v>31.213000000000001</v>
    </nc>
    <odxf/>
    <ndxf/>
  </rcc>
  <rfmt sheetId="10" sqref="E71" start="0" length="0">
    <dxf/>
  </rfmt>
  <rfmt sheetId="10" sqref="F71" start="0" length="0">
    <dxf/>
  </rfmt>
  <rfmt sheetId="10" sqref="G71" start="0" length="0">
    <dxf/>
  </rfmt>
  <rfmt sheetId="10" sqref="H71" start="0" length="0">
    <dxf>
      <numFmt numFmtId="0" formatCode="General"/>
    </dxf>
  </rfmt>
  <rcc rId="2785" sId="10" odxf="1" dxf="1">
    <oc r="I71">
      <v>215.27800000000002</v>
    </oc>
    <nc r="I71"/>
    <odxf/>
    <ndxf/>
  </rcc>
  <rfmt sheetId="10" sqref="J71" start="0" length="0">
    <dxf/>
  </rfmt>
  <rfmt sheetId="10" sqref="K71" start="0" length="0">
    <dxf/>
  </rfmt>
  <rfmt sheetId="10" sqref="L71" start="0" length="0">
    <dxf/>
  </rfmt>
  <rfmt sheetId="10" sqref="M71" start="0" length="0">
    <dxf/>
  </rfmt>
  <rfmt sheetId="10" sqref="N71" start="0" length="0">
    <dxf/>
  </rfmt>
  <rfmt sheetId="10" sqref="O71" start="0" length="0">
    <dxf/>
  </rfmt>
  <rfmt sheetId="10" sqref="P71" start="0" length="0">
    <dxf/>
  </rfmt>
  <rfmt sheetId="10" sqref="Q71" start="0" length="0">
    <dxf/>
  </rfmt>
  <rcc rId="2786" sId="10" odxf="1" dxf="1">
    <oc r="R71">
      <f>SUM(C71:Q71)</f>
    </oc>
    <nc r="R71"/>
    <odxf/>
    <ndxf/>
  </rcc>
  <rfmt sheetId="10" sqref="S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87" sId="10" odxf="1" dxf="1">
    <nc r="T71">
      <v>100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8" sId="10" odxf="1" dxf="1">
    <nc r="U71">
      <f>SUM(C71:T71)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9" sId="10" odxf="1" dxf="1">
    <oc r="B72" t="inlineStr">
      <is>
        <t>Mykhailo Semernin</t>
      </is>
    </oc>
    <nc r="B72" t="inlineStr">
      <is>
        <t>Olena Achkasova</t>
      </is>
    </nc>
    <odxf>
      <alignment horizontal="left" vertical="top" readingOrder="0"/>
    </odxf>
    <ndxf>
      <alignment horizontal="general" vertical="bottom" readingOrder="0"/>
    </ndxf>
  </rcc>
  <rfmt sheetId="10" sqref="C72" start="0" length="0">
    <dxf/>
  </rfmt>
  <rfmt sheetId="10" sqref="D72" start="0" length="0">
    <dxf/>
  </rfmt>
  <rfmt sheetId="10" sqref="E72" start="0" length="0">
    <dxf/>
  </rfmt>
  <rfmt sheetId="10" sqref="F72" start="0" length="0">
    <dxf/>
  </rfmt>
  <rcc rId="2790" sId="10" odxf="1" dxf="1">
    <oc r="G72">
      <v>10.62</v>
    </oc>
    <nc r="G72"/>
    <odxf/>
    <ndxf/>
  </rcc>
  <rfmt sheetId="10" sqref="H72" start="0" length="0">
    <dxf>
      <numFmt numFmtId="0" formatCode="General"/>
    </dxf>
  </rfmt>
  <rfmt sheetId="10" sqref="I72" start="0" length="0">
    <dxf/>
  </rfmt>
  <rfmt sheetId="10" sqref="J72" start="0" length="0">
    <dxf/>
  </rfmt>
  <rfmt sheetId="10" sqref="K72" start="0" length="0">
    <dxf/>
  </rfmt>
  <rfmt sheetId="10" sqref="L72" start="0" length="0">
    <dxf/>
  </rfmt>
  <rfmt sheetId="10" sqref="M72" start="0" length="0">
    <dxf/>
  </rfmt>
  <rcc rId="2791" sId="10" odxf="1" dxf="1">
    <oc r="N72">
      <v>131.79</v>
    </oc>
    <nc r="N72"/>
    <odxf/>
    <ndxf/>
  </rcc>
  <rfmt sheetId="10" sqref="O72" start="0" length="0">
    <dxf/>
  </rfmt>
  <rfmt sheetId="10" sqref="P72" start="0" length="0">
    <dxf/>
  </rfmt>
  <rfmt sheetId="10" sqref="Q72" start="0" length="0">
    <dxf/>
  </rfmt>
  <rcc rId="2792" sId="10" odxf="1" dxf="1">
    <oc r="R72">
      <f>SUM(C72:Q72)</f>
    </oc>
    <nc r="R72"/>
    <odxf/>
    <ndxf/>
  </rcc>
  <rcc rId="2793" sId="10" odxf="1" dxf="1">
    <nc r="S72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2" start="0" length="0">
    <dxf>
      <numFmt numFmtId="164" formatCode="0.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4" sId="10" odxf="1" dxf="1">
    <nc r="U72">
      <f>SUM(C72:T72)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5" sId="10" odxf="1" dxf="1">
    <oc r="B73" t="inlineStr">
      <is>
        <t>Nikolay Moskvin</t>
      </is>
    </oc>
    <nc r="B73" t="inlineStr">
      <is>
        <t>Olga Baibenkova</t>
      </is>
    </nc>
    <odxf>
      <alignment horizontal="left" vertical="top" readingOrder="0"/>
    </odxf>
    <ndxf>
      <alignment horizontal="general" vertical="bottom" readingOrder="0"/>
    </ndxf>
  </rcc>
  <rfmt sheetId="10" sqref="C73" start="0" length="0">
    <dxf/>
  </rfmt>
  <rfmt sheetId="10" sqref="D73" start="0" length="0">
    <dxf/>
  </rfmt>
  <rfmt sheetId="10" sqref="E73" start="0" length="0">
    <dxf/>
  </rfmt>
  <rfmt sheetId="10" sqref="F73" start="0" length="0">
    <dxf/>
  </rfmt>
  <rfmt sheetId="10" sqref="G73" start="0" length="0">
    <dxf/>
  </rfmt>
  <rfmt sheetId="10" sqref="H73" start="0" length="0">
    <dxf>
      <numFmt numFmtId="0" formatCode="General"/>
    </dxf>
  </rfmt>
  <rfmt sheetId="10" sqref="I73" start="0" length="0">
    <dxf/>
  </rfmt>
  <rfmt sheetId="10" sqref="J73" start="0" length="0">
    <dxf/>
  </rfmt>
  <rfmt sheetId="10" sqref="K73" start="0" length="0">
    <dxf/>
  </rfmt>
  <rfmt sheetId="10" sqref="L73" start="0" length="0">
    <dxf/>
  </rfmt>
  <rcc rId="2796" sId="10" odxf="1" dxf="1">
    <oc r="M73">
      <v>190.95999999999998</v>
    </oc>
    <nc r="M73">
      <v>159.08199999999999</v>
    </nc>
    <odxf/>
    <ndxf/>
  </rcc>
  <rfmt sheetId="10" sqref="N73" start="0" length="0">
    <dxf/>
  </rfmt>
  <rfmt sheetId="10" sqref="O73" start="0" length="0">
    <dxf/>
  </rfmt>
  <rfmt sheetId="10" sqref="P73" start="0" length="0">
    <dxf/>
  </rfmt>
  <rfmt sheetId="10" sqref="Q73" start="0" length="0">
    <dxf/>
  </rfmt>
  <rcc rId="2797" sId="10" odxf="1" dxf="1">
    <oc r="R73">
      <f>SUM(C73:Q73)</f>
    </oc>
    <nc r="R73"/>
    <odxf/>
    <ndxf/>
  </rcc>
  <rfmt sheetId="10" sqref="S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8" sId="10" odxf="1" dxf="1">
    <nc r="U73">
      <f>SUM(C73:T73)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9" sId="10" odxf="1" dxf="1">
    <oc r="B74" t="inlineStr">
      <is>
        <t>Oleg Seliverstov</t>
      </is>
    </oc>
    <nc r="B74" t="inlineStr">
      <is>
        <t>Olga Selezniova</t>
      </is>
    </nc>
    <odxf>
      <alignment horizontal="left" vertical="top" readingOrder="0"/>
    </odxf>
    <ndxf>
      <alignment horizontal="general" vertical="bottom" readingOrder="0"/>
    </ndxf>
  </rcc>
  <rfmt sheetId="10" sqref="C74" start="0" length="0">
    <dxf/>
  </rfmt>
  <rfmt sheetId="10" sqref="D74" start="0" length="0">
    <dxf/>
  </rfmt>
  <rfmt sheetId="10" sqref="E74" start="0" length="0">
    <dxf/>
  </rfmt>
  <rfmt sheetId="10" sqref="F74" start="0" length="0">
    <dxf/>
  </rfmt>
  <rfmt sheetId="10" sqref="G74" start="0" length="0">
    <dxf/>
  </rfmt>
  <rfmt sheetId="10" sqref="H74" start="0" length="0">
    <dxf>
      <numFmt numFmtId="0" formatCode="General"/>
    </dxf>
  </rfmt>
  <rfmt sheetId="10" sqref="I74" start="0" length="0">
    <dxf/>
  </rfmt>
  <rcc rId="2800" sId="10" odxf="1" dxf="1">
    <nc r="J74">
      <v>72.990000000000009</v>
    </nc>
    <odxf/>
    <ndxf/>
  </rcc>
  <rfmt sheetId="10" sqref="K74" start="0" length="0">
    <dxf/>
  </rfmt>
  <rfmt sheetId="10" sqref="L74" start="0" length="0">
    <dxf/>
  </rfmt>
  <rfmt sheetId="10" sqref="M74" start="0" length="0">
    <dxf/>
  </rfmt>
  <rfmt sheetId="10" sqref="N74" start="0" length="0">
    <dxf/>
  </rfmt>
  <rfmt sheetId="10" sqref="O74" start="0" length="0">
    <dxf/>
  </rfmt>
  <rfmt sheetId="10" sqref="P74" start="0" length="0">
    <dxf/>
  </rfmt>
  <rcc rId="2801" sId="10" odxf="1" dxf="1">
    <oc r="Q74">
      <v>100</v>
    </oc>
    <nc r="Q74"/>
    <odxf/>
    <ndxf/>
  </rcc>
  <rcc rId="2802" sId="10" odxf="1" dxf="1">
    <oc r="R74">
      <f>SUM(C74:Q74)</f>
    </oc>
    <nc r="R74"/>
    <odxf/>
    <ndxf/>
  </rcc>
  <rfmt sheetId="10" sqref="S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3" sId="10" odxf="1" dxf="1">
    <nc r="U74">
      <f>SUM(C74:T74)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4" sId="10" odxf="1" dxf="1">
    <oc r="B75" t="inlineStr">
      <is>
        <t>Oleksandr Perskii</t>
      </is>
    </oc>
    <nc r="B75" t="inlineStr">
      <is>
        <t>Olga Shkedova</t>
      </is>
    </nc>
    <odxf>
      <alignment horizontal="left" vertical="top" readingOrder="0"/>
    </odxf>
    <ndxf>
      <alignment horizontal="general" vertical="bottom" readingOrder="0"/>
    </ndxf>
  </rcc>
  <rfmt sheetId="10" sqref="C75" start="0" length="0">
    <dxf/>
  </rfmt>
  <rcc rId="2805" sId="10" odxf="1" dxf="1">
    <oc r="D75">
      <v>234.13200000000006</v>
    </oc>
    <nc r="D75"/>
    <odxf/>
    <ndxf/>
  </rcc>
  <rfmt sheetId="10" sqref="E75" start="0" length="0">
    <dxf/>
  </rfmt>
  <rfmt sheetId="10" sqref="F75" start="0" length="0">
    <dxf/>
  </rfmt>
  <rfmt sheetId="10" sqref="G75" start="0" length="0">
    <dxf/>
  </rfmt>
  <rfmt sheetId="10" sqref="H75" start="0" length="0">
    <dxf>
      <numFmt numFmtId="0" formatCode="General"/>
    </dxf>
  </rfmt>
  <rfmt sheetId="10" sqref="I75" start="0" length="0">
    <dxf/>
  </rfmt>
  <rfmt sheetId="10" sqref="J75" start="0" length="0">
    <dxf/>
  </rfmt>
  <rfmt sheetId="10" sqref="K75" start="0" length="0">
    <dxf/>
  </rfmt>
  <rfmt sheetId="10" sqref="L75" start="0" length="0">
    <dxf/>
  </rfmt>
  <rcc rId="2806" sId="10" odxf="1" dxf="1">
    <nc r="M75">
      <v>145.94199999999998</v>
    </nc>
    <odxf/>
    <ndxf/>
  </rcc>
  <rfmt sheetId="10" sqref="N75" start="0" length="0">
    <dxf/>
  </rfmt>
  <rfmt sheetId="10" sqref="O75" start="0" length="0">
    <dxf/>
  </rfmt>
  <rfmt sheetId="10" sqref="P75" start="0" length="0">
    <dxf/>
  </rfmt>
  <rfmt sheetId="10" sqref="Q75" start="0" length="0">
    <dxf/>
  </rfmt>
  <rcc rId="2807" sId="10" odxf="1" dxf="1">
    <oc r="R75">
      <f>SUM(C75:Q75)</f>
    </oc>
    <nc r="R75"/>
    <odxf/>
    <ndxf/>
  </rcc>
  <rcc rId="2808" sId="10" odxf="1" dxf="1">
    <nc r="S75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9" sId="10" odxf="1" dxf="1">
    <nc r="U75">
      <f>SUM(C75:T75)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0" sId="10" odxf="1" dxf="1">
    <oc r="B76" t="inlineStr">
      <is>
        <t>Olena Achkasova</t>
      </is>
    </oc>
    <nc r="B76" t="inlineStr">
      <is>
        <t>Pavel Babeshko</t>
      </is>
    </nc>
    <odxf>
      <alignment horizontal="left" vertical="top" readingOrder="0"/>
    </odxf>
    <ndxf>
      <alignment horizontal="general" vertical="bottom" readingOrder="0"/>
    </ndxf>
  </rcc>
  <rcc rId="2811" sId="10" odxf="1" dxf="1">
    <nc r="C76">
      <v>105.50699999999999</v>
    </nc>
    <odxf/>
    <ndxf/>
  </rcc>
  <rcc rId="2812" sId="10" odxf="1" dxf="1">
    <nc r="D76">
      <v>22.38</v>
    </nc>
    <odxf/>
    <ndxf/>
  </rcc>
  <rfmt sheetId="10" sqref="E76" start="0" length="0">
    <dxf/>
  </rfmt>
  <rfmt sheetId="10" sqref="F76" start="0" length="0">
    <dxf/>
  </rfmt>
  <rfmt sheetId="10" sqref="G76" start="0" length="0">
    <dxf/>
  </rfmt>
  <rfmt sheetId="10" sqref="H76" start="0" length="0">
    <dxf>
      <numFmt numFmtId="0" formatCode="General"/>
    </dxf>
  </rfmt>
  <rfmt sheetId="10" sqref="I76" start="0" length="0">
    <dxf/>
  </rfmt>
  <rfmt sheetId="10" sqref="J76" start="0" length="0">
    <dxf/>
  </rfmt>
  <rfmt sheetId="10" sqref="K76" start="0" length="0">
    <dxf/>
  </rfmt>
  <rcc rId="2813" sId="10" odxf="1" dxf="1">
    <oc r="L76">
      <v>142.12999999999997</v>
    </oc>
    <nc r="L76"/>
    <odxf/>
    <ndxf/>
  </rcc>
  <rcc rId="2814" sId="10" odxf="1" dxf="1">
    <oc r="M76">
      <v>19.309999999999999</v>
    </oc>
    <nc r="M76"/>
    <odxf/>
    <ndxf/>
  </rcc>
  <rfmt sheetId="10" sqref="N76" start="0" length="0">
    <dxf/>
  </rfmt>
  <rfmt sheetId="10" sqref="O76" start="0" length="0">
    <dxf/>
  </rfmt>
  <rfmt sheetId="10" sqref="P76" start="0" length="0">
    <dxf/>
  </rfmt>
  <rcc rId="2815" sId="10" odxf="1" dxf="1">
    <oc r="Q76">
      <v>50</v>
    </oc>
    <nc r="Q76"/>
    <odxf/>
    <ndxf/>
  </rcc>
  <rcc rId="2816" sId="10" odxf="1" dxf="1">
    <oc r="R76">
      <f>SUM(C76:Q76)</f>
    </oc>
    <nc r="R76"/>
    <odxf/>
    <ndxf/>
  </rcc>
  <rfmt sheetId="10" sqref="S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17" sId="10" odxf="1" dxf="1">
    <nc r="U76">
      <f>SUM(C76:T76)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8" sId="10" odxf="1" dxf="1">
    <oc r="B77" t="inlineStr">
      <is>
        <t>Olga Baibenkova</t>
      </is>
    </oc>
    <nc r="B77" t="inlineStr">
      <is>
        <t>Rami Anvar</t>
      </is>
    </nc>
    <odxf>
      <alignment horizontal="left" vertical="top" readingOrder="0"/>
    </odxf>
    <ndxf>
      <alignment horizontal="general" vertical="bottom" readingOrder="0"/>
    </ndxf>
  </rcc>
  <rfmt sheetId="10" sqref="C77" start="0" length="0">
    <dxf/>
  </rfmt>
  <rfmt sheetId="10" sqref="D77" start="0" length="0">
    <dxf/>
  </rfmt>
  <rfmt sheetId="10" sqref="E77" start="0" length="0">
    <dxf/>
  </rfmt>
  <rfmt sheetId="10" sqref="F77" start="0" length="0">
    <dxf/>
  </rfmt>
  <rfmt sheetId="10" sqref="G77" start="0" length="0">
    <dxf/>
  </rfmt>
  <rfmt sheetId="10" sqref="H77" start="0" length="0">
    <dxf>
      <numFmt numFmtId="0" formatCode="General"/>
    </dxf>
  </rfmt>
  <rfmt sheetId="10" sqref="I77" start="0" length="0">
    <dxf/>
  </rfmt>
  <rfmt sheetId="10" sqref="J77" start="0" length="0">
    <dxf/>
  </rfmt>
  <rfmt sheetId="10" sqref="K77" start="0" length="0">
    <dxf/>
  </rfmt>
  <rfmt sheetId="10" sqref="L77" start="0" length="0">
    <dxf/>
  </rfmt>
  <rcc rId="2819" sId="10" odxf="1" dxf="1">
    <oc r="M77">
      <v>140.51000000000002</v>
    </oc>
    <nc r="M77"/>
    <odxf/>
    <ndxf/>
  </rcc>
  <rfmt sheetId="10" sqref="N77" start="0" length="0">
    <dxf/>
  </rfmt>
  <rfmt sheetId="10" sqref="O77" start="0" length="0">
    <dxf/>
  </rfmt>
  <rfmt sheetId="10" sqref="P77" start="0" length="0">
    <dxf/>
  </rfmt>
  <rcc rId="2820" sId="10" odxf="1" dxf="1">
    <nc r="Q77">
      <v>41</v>
    </nc>
    <odxf/>
    <ndxf/>
  </rcc>
  <rcc rId="2821" sId="10" odxf="1" dxf="1">
    <oc r="R77">
      <f>SUM(C77:Q77)</f>
    </oc>
    <nc r="R77"/>
    <odxf/>
    <ndxf/>
  </rcc>
  <rfmt sheetId="10" sqref="S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2" sId="10" odxf="1" dxf="1">
    <nc r="U77">
      <f>SUM(C77:T77)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3" sId="10" odxf="1" dxf="1">
    <oc r="B78" t="inlineStr">
      <is>
        <t>Olga Selezniova</t>
      </is>
    </oc>
    <nc r="B78" t="inlineStr">
      <is>
        <t>Roman Sokolenko</t>
      </is>
    </nc>
    <odxf>
      <alignment horizontal="left" vertical="top" readingOrder="0"/>
    </odxf>
    <ndxf>
      <alignment horizontal="general" vertical="bottom" readingOrder="0"/>
    </ndxf>
  </rcc>
  <rcc rId="2824" sId="10" odxf="1" dxf="1">
    <nc r="C78">
      <v>115.714</v>
    </nc>
    <odxf/>
    <ndxf/>
  </rcc>
  <rcc rId="2825" sId="10" odxf="1" dxf="1">
    <nc r="D78">
      <v>24.015999999999998</v>
    </nc>
    <odxf/>
    <ndxf/>
  </rcc>
  <rfmt sheetId="10" sqref="E78" start="0" length="0">
    <dxf/>
  </rfmt>
  <rfmt sheetId="10" sqref="F78" start="0" length="0">
    <dxf/>
  </rfmt>
  <rfmt sheetId="10" sqref="G78" start="0" length="0">
    <dxf/>
  </rfmt>
  <rfmt sheetId="10" sqref="H78" start="0" length="0">
    <dxf>
      <numFmt numFmtId="0" formatCode="General"/>
    </dxf>
  </rfmt>
  <rfmt sheetId="10" sqref="I78" start="0" length="0">
    <dxf/>
  </rfmt>
  <rfmt sheetId="10" sqref="J78" start="0" length="0">
    <dxf/>
  </rfmt>
  <rfmt sheetId="10" sqref="K78" start="0" length="0">
    <dxf/>
  </rfmt>
  <rcc rId="2826" sId="10" odxf="1" dxf="1">
    <oc r="L78">
      <v>238.28000000000003</v>
    </oc>
    <nc r="L78"/>
    <odxf/>
    <ndxf/>
  </rcc>
  <rfmt sheetId="10" sqref="M78" start="0" length="0">
    <dxf/>
  </rfmt>
  <rfmt sheetId="10" sqref="N78" start="0" length="0">
    <dxf/>
  </rfmt>
  <rfmt sheetId="10" sqref="O78" start="0" length="0">
    <dxf/>
  </rfmt>
  <rfmt sheetId="10" sqref="P78" start="0" length="0">
    <dxf/>
  </rfmt>
  <rfmt sheetId="10" sqref="Q78" start="0" length="0">
    <dxf/>
  </rfmt>
  <rcc rId="2827" sId="10" odxf="1" dxf="1">
    <oc r="R78">
      <f>SUM(C78:Q78)</f>
    </oc>
    <nc r="R78"/>
    <odxf/>
    <ndxf/>
  </rcc>
  <rfmt sheetId="10" sqref="S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8" sId="10" odxf="1" dxf="1">
    <nc r="U78">
      <f>SUM(C78:T78)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9" sId="10" odxf="1" dxf="1">
    <oc r="B79" t="inlineStr">
      <is>
        <t>Olga Shkedova</t>
      </is>
    </oc>
    <nc r="B79" t="inlineStr">
      <is>
        <t>Roman Usov</t>
      </is>
    </nc>
    <odxf>
      <alignment horizontal="left" vertical="top" readingOrder="0"/>
    </odxf>
    <ndxf>
      <alignment horizontal="general" vertical="bottom" readingOrder="0"/>
    </ndxf>
  </rcc>
  <rfmt sheetId="10" sqref="C79" start="0" length="0">
    <dxf/>
  </rfmt>
  <rfmt sheetId="10" sqref="D79" start="0" length="0">
    <dxf/>
  </rfmt>
  <rfmt sheetId="10" sqref="E79" start="0" length="0">
    <dxf/>
  </rfmt>
  <rfmt sheetId="10" sqref="F79" start="0" length="0">
    <dxf/>
  </rfmt>
  <rfmt sheetId="10" sqref="G79" start="0" length="0">
    <dxf/>
  </rfmt>
  <rfmt sheetId="10" sqref="H79" start="0" length="0">
    <dxf>
      <numFmt numFmtId="0" formatCode="General"/>
    </dxf>
  </rfmt>
  <rfmt sheetId="10" sqref="I79" start="0" length="0">
    <dxf/>
  </rfmt>
  <rcc rId="2830" sId="10" odxf="1" dxf="1">
    <nc r="J79">
      <v>7.25</v>
    </nc>
    <odxf/>
    <ndxf/>
  </rcc>
  <rfmt sheetId="10" sqref="K79" start="0" length="0">
    <dxf/>
  </rfmt>
  <rfmt sheetId="10" sqref="L79" start="0" length="0">
    <dxf/>
  </rfmt>
  <rcc rId="2831" sId="10" odxf="1" dxf="1">
    <oc r="M79">
      <v>171.85999999999999</v>
    </oc>
    <nc r="M79"/>
    <odxf/>
    <ndxf/>
  </rcc>
  <rfmt sheetId="10" sqref="N79" start="0" length="0">
    <dxf/>
  </rfmt>
  <rfmt sheetId="10" sqref="O79" start="0" length="0">
    <dxf/>
  </rfmt>
  <rfmt sheetId="10" sqref="P79" start="0" length="0">
    <dxf/>
  </rfmt>
  <rcc rId="2832" sId="10" odxf="1" dxf="1">
    <oc r="Q79">
      <v>40</v>
    </oc>
    <nc r="Q79"/>
    <odxf/>
    <ndxf/>
  </rcc>
  <rcc rId="2833" sId="10" odxf="1" dxf="1">
    <oc r="R79">
      <f>SUM(C79:Q79)</f>
    </oc>
    <nc r="R79"/>
    <odxf/>
    <ndxf/>
  </rcc>
  <rfmt sheetId="10" sqref="S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4" sId="10" odxf="1" dxf="1">
    <nc r="U79">
      <f>SUM(C79:T79)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5" sId="10" odxf="1" dxf="1">
    <oc r="B80" t="inlineStr">
      <is>
        <t>Pavel Babeshko</t>
      </is>
    </oc>
    <nc r="B80" t="inlineStr">
      <is>
        <t>Rostislav Miroshnichenko</t>
      </is>
    </nc>
    <odxf>
      <alignment horizontal="left" vertical="top" readingOrder="0"/>
    </odxf>
    <ndxf>
      <alignment horizontal="general" vertical="bottom" readingOrder="0"/>
    </ndxf>
  </rcc>
  <rfmt sheetId="10" sqref="C80" start="0" length="0">
    <dxf/>
  </rfmt>
  <rcc rId="2836" sId="10" odxf="1" dxf="1">
    <oc r="D80">
      <v>190.79300000000009</v>
    </oc>
    <nc r="D80"/>
    <odxf/>
    <ndxf/>
  </rcc>
  <rfmt sheetId="10" sqref="E80" start="0" length="0">
    <dxf/>
  </rfmt>
  <rfmt sheetId="10" sqref="F80" start="0" length="0">
    <dxf/>
  </rfmt>
  <rfmt sheetId="10" sqref="G80" start="0" length="0">
    <dxf/>
  </rfmt>
  <rfmt sheetId="10" sqref="H80" start="0" length="0">
    <dxf>
      <numFmt numFmtId="0" formatCode="General"/>
    </dxf>
  </rfmt>
  <rfmt sheetId="10" sqref="I80" start="0" length="0">
    <dxf/>
  </rfmt>
  <rfmt sheetId="10" sqref="J80" start="0" length="0">
    <dxf/>
  </rfmt>
  <rcc rId="2837" sId="10" odxf="1" dxf="1">
    <nc r="K80">
      <v>101.65599999999999</v>
    </nc>
    <odxf/>
    <ndxf/>
  </rcc>
  <rfmt sheetId="10" sqref="L80" start="0" length="0">
    <dxf/>
  </rfmt>
  <rfmt sheetId="10" sqref="M80" start="0" length="0">
    <dxf/>
  </rfmt>
  <rfmt sheetId="10" sqref="N80" start="0" length="0">
    <dxf/>
  </rfmt>
  <rfmt sheetId="10" sqref="O80" start="0" length="0">
    <dxf/>
  </rfmt>
  <rfmt sheetId="10" sqref="P80" start="0" length="0">
    <dxf/>
  </rfmt>
  <rfmt sheetId="10" sqref="Q80" start="0" length="0">
    <dxf/>
  </rfmt>
  <rcc rId="2838" sId="10" odxf="1" dxf="1">
    <oc r="R80">
      <f>SUM(C80:Q80)</f>
    </oc>
    <nc r="R80"/>
    <odxf/>
    <ndxf/>
  </rcc>
  <rfmt sheetId="10" sqref="S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9" sId="10" odxf="1" dxf="1">
    <nc r="U80">
      <f>SUM(C80:T80)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0" sId="10" odxf="1" dxf="1">
    <oc r="B81" t="inlineStr">
      <is>
        <t>Rami Anvar</t>
      </is>
    </oc>
    <nc r="B81" t="inlineStr">
      <is>
        <t>Sergey Djachkov</t>
      </is>
    </nc>
    <odxf>
      <alignment horizontal="left" vertical="top" readingOrder="0"/>
    </odxf>
    <ndxf>
      <alignment horizontal="general" vertical="bottom" readingOrder="0"/>
    </ndxf>
  </rcc>
  <rfmt sheetId="10" sqref="C81" start="0" length="0">
    <dxf/>
  </rfmt>
  <rfmt sheetId="10" sqref="D81" start="0" length="0">
    <dxf/>
  </rfmt>
  <rfmt sheetId="10" sqref="E81" start="0" length="0">
    <dxf/>
  </rfmt>
  <rfmt sheetId="10" sqref="F81" start="0" length="0">
    <dxf/>
  </rfmt>
  <rcc rId="2841" sId="10" odxf="1" dxf="1">
    <nc r="G81">
      <v>136.58000000000001</v>
    </nc>
    <odxf/>
    <ndxf/>
  </rcc>
  <rfmt sheetId="10" sqref="H81" start="0" length="0">
    <dxf>
      <numFmt numFmtId="0" formatCode="General"/>
    </dxf>
  </rfmt>
  <rfmt sheetId="10" sqref="I81" start="0" length="0">
    <dxf/>
  </rfmt>
  <rfmt sheetId="10" sqref="J81" start="0" length="0">
    <dxf/>
  </rfmt>
  <rfmt sheetId="10" sqref="K81" start="0" length="0">
    <dxf/>
  </rfmt>
  <rfmt sheetId="10" sqref="L81" start="0" length="0">
    <dxf/>
  </rfmt>
  <rfmt sheetId="10" sqref="M81" start="0" length="0">
    <dxf/>
  </rfmt>
  <rfmt sheetId="10" sqref="N81" start="0" length="0">
    <dxf/>
  </rfmt>
  <rfmt sheetId="10" sqref="O81" start="0" length="0">
    <dxf/>
  </rfmt>
  <rcc rId="2842" sId="10" odxf="1" dxf="1">
    <oc r="P81">
      <v>10</v>
    </oc>
    <nc r="P81"/>
    <odxf/>
    <ndxf/>
  </rcc>
  <rcc rId="2843" sId="10" odxf="1" dxf="1">
    <oc r="Q81">
      <v>150</v>
    </oc>
    <nc r="Q81"/>
    <odxf/>
    <ndxf/>
  </rcc>
  <rcc rId="2844" sId="10" odxf="1" dxf="1">
    <oc r="R81">
      <f>SUM(C81:Q81)</f>
    </oc>
    <nc r="R81"/>
    <odxf/>
    <ndxf/>
  </rcc>
  <rfmt sheetId="10" sqref="S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45" sId="10" odxf="1" dxf="1">
    <nc r="U81">
      <f>SUM(C81:T81)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6" sId="10" odxf="1" dxf="1">
    <oc r="B82" t="inlineStr">
      <is>
        <t>Roman Sokolenko</t>
      </is>
    </oc>
    <nc r="B82" t="inlineStr">
      <is>
        <t>Sergey Gorodilov</t>
      </is>
    </nc>
    <odxf>
      <alignment horizontal="left" vertical="top" readingOrder="0"/>
    </odxf>
    <ndxf>
      <alignment horizontal="general" vertical="bottom" readingOrder="0"/>
    </ndxf>
  </rcc>
  <rfmt sheetId="10" sqref="C82" start="0" length="0">
    <dxf/>
  </rfmt>
  <rfmt sheetId="10" sqref="D82" start="0" length="0">
    <dxf/>
  </rfmt>
  <rcc rId="2847" sId="10" odxf="1" dxf="1">
    <oc r="E82">
      <v>135.81799999999998</v>
    </oc>
    <nc r="E82"/>
    <odxf/>
    <ndxf/>
  </rcc>
  <rfmt sheetId="10" sqref="F82" start="0" length="0">
    <dxf/>
  </rfmt>
  <rfmt sheetId="10" sqref="G82" start="0" length="0">
    <dxf/>
  </rfmt>
  <rfmt sheetId="10" sqref="H82" start="0" length="0">
    <dxf>
      <numFmt numFmtId="0" formatCode="General"/>
    </dxf>
  </rfmt>
  <rfmt sheetId="10" sqref="I82" start="0" length="0">
    <dxf/>
  </rfmt>
  <rfmt sheetId="10" sqref="J82" start="0" length="0">
    <dxf/>
  </rfmt>
  <rfmt sheetId="10" sqref="K82" start="0" length="0">
    <dxf/>
  </rfmt>
  <rfmt sheetId="10" sqref="L82" start="0" length="0">
    <dxf/>
  </rfmt>
  <rfmt sheetId="10" sqref="M82" start="0" length="0">
    <dxf/>
  </rfmt>
  <rfmt sheetId="10" sqref="N82" start="0" length="0">
    <dxf/>
  </rfmt>
  <rfmt sheetId="10" sqref="O82" start="0" length="0">
    <dxf/>
  </rfmt>
  <rcc rId="2848" sId="10" odxf="1" dxf="1">
    <nc r="P82">
      <v>29.216000000000001</v>
    </nc>
    <odxf/>
    <ndxf/>
  </rcc>
  <rfmt sheetId="10" sqref="Q82" start="0" length="0">
    <dxf/>
  </rfmt>
  <rcc rId="2849" sId="10" odxf="1" dxf="1">
    <oc r="R82">
      <f>SUM(C82:Q82)</f>
    </oc>
    <nc r="R82"/>
    <odxf/>
    <ndxf/>
  </rcc>
  <rcc rId="2850" sId="10" odxf="1" dxf="1">
    <nc r="S82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1" sId="10" odxf="1" dxf="1">
    <nc r="U82">
      <f>SUM(C82:T82)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2" sId="10" odxf="1" dxf="1">
    <oc r="B83" t="inlineStr">
      <is>
        <t>Roman Usov</t>
      </is>
    </oc>
    <nc r="B83" t="inlineStr">
      <is>
        <t>Sergey Markov</t>
      </is>
    </nc>
    <odxf>
      <alignment horizontal="left" vertical="top" readingOrder="0"/>
    </odxf>
    <ndxf>
      <alignment horizontal="general" vertical="bottom" readingOrder="0"/>
    </ndxf>
  </rcc>
  <rfmt sheetId="10" sqref="C83" start="0" length="0">
    <dxf/>
  </rfmt>
  <rfmt sheetId="10" sqref="D83" start="0" length="0">
    <dxf/>
  </rfmt>
  <rfmt sheetId="10" sqref="E83" start="0" length="0">
    <dxf/>
  </rfmt>
  <rfmt sheetId="10" sqref="F83" start="0" length="0">
    <dxf/>
  </rfmt>
  <rcc rId="2853" sId="10" odxf="1" dxf="1">
    <oc r="G83">
      <v>130.86000000000001</v>
    </oc>
    <nc r="G83"/>
    <odxf/>
    <ndxf/>
  </rcc>
  <rfmt sheetId="10" sqref="H83" start="0" length="0">
    <dxf>
      <numFmt numFmtId="0" formatCode="General"/>
    </dxf>
  </rfmt>
  <rfmt sheetId="10" sqref="I83" start="0" length="0">
    <dxf/>
  </rfmt>
  <rfmt sheetId="10" sqref="J83" start="0" length="0">
    <dxf/>
  </rfmt>
  <rfmt sheetId="10" sqref="K83" start="0" length="0">
    <dxf/>
  </rfmt>
  <rfmt sheetId="10" sqref="L83" start="0" length="0">
    <dxf/>
  </rfmt>
  <rfmt sheetId="10" sqref="M83" start="0" length="0">
    <dxf/>
  </rfmt>
  <rfmt sheetId="10" sqref="N83" start="0" length="0">
    <dxf/>
  </rfmt>
  <rfmt sheetId="10" sqref="O83" start="0" length="0">
    <dxf/>
  </rfmt>
  <rfmt sheetId="10" sqref="P83" start="0" length="0">
    <dxf/>
  </rfmt>
  <rcc rId="2854" sId="10" odxf="1" dxf="1">
    <nc r="Q83">
      <v>128.10400000000001</v>
    </nc>
    <odxf/>
    <ndxf/>
  </rcc>
  <rcc rId="2855" sId="10" odxf="1" dxf="1">
    <oc r="R83">
      <f>SUM(C83:Q83)</f>
    </oc>
    <nc r="R83"/>
    <odxf/>
    <ndxf/>
  </rcc>
  <rcc rId="2856" sId="10" odxf="1" dxf="1">
    <nc r="S8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7" sId="10" odxf="1" dxf="1">
    <nc r="U83">
      <f>SUM(C83:T83)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8" sId="10" odxf="1" dxf="1">
    <oc r="B84" t="inlineStr">
      <is>
        <t>Rostislav Miroshnichenko</t>
      </is>
    </oc>
    <nc r="B84" t="inlineStr">
      <is>
        <t>Svitlana Tretiakova</t>
      </is>
    </nc>
    <odxf>
      <alignment horizontal="left" vertical="top" readingOrder="0"/>
    </odxf>
    <ndxf>
      <alignment horizontal="general" vertical="bottom" readingOrder="0"/>
    </ndxf>
  </rcc>
  <rfmt sheetId="10" sqref="C84" start="0" length="0">
    <dxf/>
  </rfmt>
  <rfmt sheetId="10" sqref="D84" start="0" length="0">
    <dxf/>
  </rfmt>
  <rfmt sheetId="10" sqref="E84" start="0" length="0">
    <dxf/>
  </rfmt>
  <rfmt sheetId="10" sqref="F84" start="0" length="0">
    <dxf/>
  </rfmt>
  <rfmt sheetId="10" sqref="G84" start="0" length="0">
    <dxf/>
  </rfmt>
  <rfmt sheetId="10" sqref="H84" start="0" length="0">
    <dxf>
      <numFmt numFmtId="0" formatCode="General"/>
    </dxf>
  </rfmt>
  <rfmt sheetId="10" sqref="I84" start="0" length="0">
    <dxf/>
  </rfmt>
  <rcc rId="2859" sId="10" odxf="1" dxf="1">
    <nc r="J84">
      <v>22</v>
    </nc>
    <odxf/>
    <ndxf/>
  </rcc>
  <rcc rId="2860" sId="10" odxf="1" dxf="1">
    <nc r="K84">
      <v>172</v>
    </nc>
    <odxf/>
    <ndxf/>
  </rcc>
  <rcc rId="2861" sId="10" odxf="1" dxf="1">
    <nc r="L84">
      <v>110</v>
    </nc>
    <odxf/>
    <ndxf/>
  </rcc>
  <rcc rId="2862" sId="10" odxf="1" dxf="1">
    <oc r="M84">
      <v>110.41</v>
    </oc>
    <nc r="M84"/>
    <odxf/>
    <ndxf/>
  </rcc>
  <rfmt sheetId="10" sqref="N84" start="0" length="0">
    <dxf/>
  </rfmt>
  <rfmt sheetId="10" sqref="O84" start="0" length="0">
    <dxf/>
  </rfmt>
  <rfmt sheetId="10" sqref="P84" start="0" length="0">
    <dxf/>
  </rfmt>
  <rfmt sheetId="10" sqref="Q84" start="0" length="0">
    <dxf/>
  </rfmt>
  <rcc rId="2863" sId="10" odxf="1" dxf="1">
    <oc r="R84">
      <f>SUM(C84:Q84)</f>
    </oc>
    <nc r="R84"/>
    <odxf/>
    <ndxf/>
  </rcc>
  <rfmt sheetId="10" sqref="S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4" sId="10" odxf="1" dxf="1">
    <nc r="U84">
      <f>SUM(C84:T84)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5" sId="10" odxf="1" dxf="1">
    <oc r="B85" t="inlineStr">
      <is>
        <t>Sergey Djachkov</t>
      </is>
    </oc>
    <nc r="B85" t="inlineStr">
      <is>
        <t>Tatiana Inozemtseva</t>
      </is>
    </nc>
    <odxf>
      <alignment horizontal="left" vertical="top" readingOrder="0"/>
    </odxf>
    <ndxf>
      <alignment horizontal="general" vertical="bottom" readingOrder="0"/>
    </ndxf>
  </rcc>
  <rfmt sheetId="10" sqref="C85" start="0" length="0">
    <dxf/>
  </rfmt>
  <rfmt sheetId="10" sqref="D85" start="0" length="0">
    <dxf/>
  </rfmt>
  <rfmt sheetId="10" sqref="E85" start="0" length="0">
    <dxf/>
  </rfmt>
  <rcc rId="2866" sId="10" odxf="1" dxf="1">
    <oc r="F85">
      <v>167.82999999999996</v>
    </oc>
    <nc r="F85"/>
    <odxf/>
    <ndxf/>
  </rcc>
  <rfmt sheetId="10" sqref="G85" start="0" length="0">
    <dxf/>
  </rfmt>
  <rfmt sheetId="10" sqref="H85" start="0" length="0">
    <dxf>
      <numFmt numFmtId="0" formatCode="General"/>
    </dxf>
  </rfmt>
  <rfmt sheetId="10" sqref="I85" start="0" length="0">
    <dxf/>
  </rfmt>
  <rfmt sheetId="10" sqref="J85" start="0" length="0">
    <dxf/>
  </rfmt>
  <rfmt sheetId="10" sqref="K85" start="0" length="0">
    <dxf/>
  </rfmt>
  <rfmt sheetId="10" sqref="L85" start="0" length="0">
    <dxf/>
  </rfmt>
  <rfmt sheetId="10" sqref="M85" start="0" length="0">
    <dxf/>
  </rfmt>
  <rfmt sheetId="10" sqref="N85" start="0" length="0">
    <dxf/>
  </rfmt>
  <rfmt sheetId="10" sqref="O85" start="0" length="0">
    <dxf/>
  </rfmt>
  <rfmt sheetId="10" sqref="P85" start="0" length="0">
    <dxf/>
  </rfmt>
  <rfmt sheetId="10" sqref="Q85" start="0" length="0">
    <dxf/>
  </rfmt>
  <rcc rId="2867" sId="10" odxf="1" dxf="1">
    <oc r="R85">
      <f>SUM(C85:Q85)</f>
    </oc>
    <nc r="R85">
      <v>122.125</v>
    </nc>
    <odxf/>
    <ndxf/>
  </rcc>
  <rcc rId="2868" sId="10" odxf="1" dxf="1">
    <nc r="S85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9" sId="10" odxf="1" dxf="1">
    <nc r="U85">
      <f>SUM(C85:T85)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0" sId="10" odxf="1" dxf="1">
    <oc r="B86" t="inlineStr">
      <is>
        <t>Sergey Gorodilov</t>
      </is>
    </oc>
    <nc r="B86" t="inlineStr">
      <is>
        <t>Tatiana Milova</t>
      </is>
    </nc>
    <odxf>
      <alignment horizontal="left" vertical="top" readingOrder="0"/>
    </odxf>
    <ndxf>
      <alignment horizontal="general" vertical="bottom" readingOrder="0"/>
    </ndxf>
  </rcc>
  <rfmt sheetId="10" sqref="C86" start="0" length="0">
    <dxf/>
  </rfmt>
  <rfmt sheetId="10" sqref="D86" start="0" length="0">
    <dxf/>
  </rfmt>
  <rfmt sheetId="10" sqref="E86" start="0" length="0">
    <dxf/>
  </rfmt>
  <rfmt sheetId="10" sqref="F86" start="0" length="0">
    <dxf/>
  </rfmt>
  <rfmt sheetId="10" sqref="G86" start="0" length="0">
    <dxf/>
  </rfmt>
  <rfmt sheetId="10" sqref="H86" start="0" length="0">
    <dxf>
      <numFmt numFmtId="0" formatCode="General"/>
    </dxf>
  </rfmt>
  <rcc rId="2871" sId="10" odxf="1" dxf="1">
    <oc r="I86">
      <v>123.50300000000001</v>
    </oc>
    <nc r="I86"/>
    <odxf/>
    <ndxf/>
  </rcc>
  <rfmt sheetId="10" sqref="J86" start="0" length="0">
    <dxf/>
  </rfmt>
  <rfmt sheetId="10" sqref="K86" start="0" length="0">
    <dxf/>
  </rfmt>
  <rfmt sheetId="10" sqref="L86" start="0" length="0">
    <dxf/>
  </rfmt>
  <rfmt sheetId="10" sqref="M86" start="0" length="0">
    <dxf/>
  </rfmt>
  <rfmt sheetId="10" sqref="N86" start="0" length="0">
    <dxf/>
  </rfmt>
  <rfmt sheetId="10" sqref="O86" start="0" length="0">
    <dxf/>
  </rfmt>
  <rcc rId="2872" sId="10" odxf="1" dxf="1">
    <nc r="P86">
      <v>88.334999999999994</v>
    </nc>
    <odxf/>
    <ndxf/>
  </rcc>
  <rfmt sheetId="10" sqref="Q86" start="0" length="0">
    <dxf/>
  </rfmt>
  <rcc rId="2873" sId="10" odxf="1" dxf="1">
    <oc r="R86">
      <f>SUM(C86:Q86)</f>
    </oc>
    <nc r="R86"/>
    <odxf/>
    <ndxf/>
  </rcc>
  <rfmt sheetId="10" sqref="S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4" sId="10" odxf="1" dxf="1">
    <nc r="U86">
      <f>SUM(C86:T86)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5" sId="10" odxf="1" dxf="1">
    <oc r="B87" t="inlineStr">
      <is>
        <t>Sergey Markov</t>
      </is>
    </oc>
    <nc r="B87" t="inlineStr">
      <is>
        <t>Tatyana Elina</t>
      </is>
    </nc>
    <odxf>
      <alignment horizontal="left" vertical="top" readingOrder="0"/>
    </odxf>
    <ndxf>
      <alignment horizontal="general" vertical="bottom" readingOrder="0"/>
    </ndxf>
  </rcc>
  <rfmt sheetId="10" sqref="C87" start="0" length="0">
    <dxf/>
  </rfmt>
  <rfmt sheetId="10" sqref="D87" start="0" length="0">
    <dxf/>
  </rfmt>
  <rfmt sheetId="10" sqref="E87" start="0" length="0">
    <dxf/>
  </rfmt>
  <rfmt sheetId="10" sqref="F87" start="0" length="0">
    <dxf/>
  </rfmt>
  <rfmt sheetId="10" sqref="G87" start="0" length="0">
    <dxf/>
  </rfmt>
  <rfmt sheetId="10" sqref="H87" start="0" length="0">
    <dxf>
      <numFmt numFmtId="0" formatCode="General"/>
    </dxf>
  </rfmt>
  <rfmt sheetId="10" sqref="I87" start="0" length="0">
    <dxf/>
  </rfmt>
  <rfmt sheetId="10" sqref="J87" start="0" length="0">
    <dxf/>
  </rfmt>
  <rfmt sheetId="10" sqref="K87" start="0" length="0">
    <dxf/>
  </rfmt>
  <rcc rId="2876" sId="10" odxf="1" dxf="1">
    <oc r="L87">
      <v>70.66</v>
    </oc>
    <nc r="L87"/>
    <odxf/>
    <ndxf/>
  </rcc>
  <rfmt sheetId="10" sqref="M87" start="0" length="0">
    <dxf/>
  </rfmt>
  <rfmt sheetId="10" sqref="N87" start="0" length="0">
    <dxf/>
  </rfmt>
  <rcc rId="2877" sId="10" odxf="1" dxf="1">
    <oc r="O87">
      <v>97.99</v>
    </oc>
    <nc r="O87"/>
    <odxf/>
    <ndxf/>
  </rcc>
  <rfmt sheetId="10" sqref="P87" start="0" length="0">
    <dxf/>
  </rfmt>
  <rfmt sheetId="10" sqref="Q87" start="0" length="0">
    <dxf/>
  </rfmt>
  <rcc rId="2878" sId="10" odxf="1" dxf="1">
    <oc r="R87">
      <f>SUM(C87:Q87)</f>
    </oc>
    <nc r="R87">
      <v>126.29200000000002</v>
    </nc>
    <odxf/>
    <ndxf/>
  </rcc>
  <rfmt sheetId="10" sqref="S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9" sId="10" odxf="1" dxf="1">
    <nc r="U87">
      <f>SUM(C87:T87)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0" sId="10" odxf="1" dxf="1">
    <oc r="B88" t="inlineStr">
      <is>
        <t>Svitlana Tretiakova</t>
      </is>
    </oc>
    <nc r="B88" t="inlineStr">
      <is>
        <t>Tatyana Tsarenko</t>
      </is>
    </nc>
    <odxf>
      <alignment horizontal="left" vertical="top" readingOrder="0"/>
    </odxf>
    <ndxf>
      <alignment horizontal="general" vertical="bottom" readingOrder="0"/>
    </ndxf>
  </rcc>
  <rfmt sheetId="10" sqref="C88" start="0" length="0">
    <dxf/>
  </rfmt>
  <rfmt sheetId="10" sqref="D88" start="0" length="0">
    <dxf/>
  </rfmt>
  <rfmt sheetId="10" sqref="E88" start="0" length="0">
    <dxf/>
  </rfmt>
  <rfmt sheetId="10" sqref="F88" start="0" length="0">
    <dxf/>
  </rfmt>
  <rfmt sheetId="10" sqref="G88" start="0" length="0">
    <dxf/>
  </rfmt>
  <rfmt sheetId="10" sqref="H88" start="0" length="0">
    <dxf>
      <numFmt numFmtId="0" formatCode="General"/>
    </dxf>
  </rfmt>
  <rfmt sheetId="10" sqref="I88" start="0" length="0">
    <dxf/>
  </rfmt>
  <rfmt sheetId="10" sqref="J88" start="0" length="0">
    <dxf/>
  </rfmt>
  <rfmt sheetId="10" sqref="K88" start="0" length="0">
    <dxf/>
  </rfmt>
  <rcc rId="2881" sId="10" odxf="1" dxf="1">
    <oc r="L88">
      <v>104</v>
    </oc>
    <nc r="L88"/>
    <odxf/>
    <ndxf/>
  </rcc>
  <rcc rId="2882" sId="10" odxf="1" dxf="1">
    <oc r="M88">
      <v>426</v>
    </oc>
    <nc r="M88">
      <v>243.06400000000002</v>
    </nc>
    <odxf/>
    <ndxf/>
  </rcc>
  <rfmt sheetId="10" sqref="N88" start="0" length="0">
    <dxf/>
  </rfmt>
  <rfmt sheetId="10" sqref="O88" start="0" length="0">
    <dxf/>
  </rfmt>
  <rfmt sheetId="10" sqref="P88" start="0" length="0">
    <dxf/>
  </rfmt>
  <rfmt sheetId="10" sqref="Q88" start="0" length="0">
    <dxf/>
  </rfmt>
  <rcc rId="2883" sId="10" odxf="1" dxf="1">
    <oc r="R88">
      <f>SUM(C88:Q88)</f>
    </oc>
    <nc r="R88"/>
    <odxf/>
    <ndxf/>
  </rcc>
  <rfmt sheetId="10" sqref="S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4" sId="10" odxf="1" dxf="1">
    <nc r="U88">
      <f>SUM(C88:T88)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5" sId="10" odxf="1" dxf="1">
    <oc r="B89" t="inlineStr">
      <is>
        <t>Tatiana Inozemtseva</t>
      </is>
    </oc>
    <nc r="B89" t="inlineStr">
      <is>
        <t>Timofey Misostov</t>
      </is>
    </nc>
    <odxf>
      <alignment horizontal="left" vertical="top" readingOrder="0"/>
    </odxf>
    <ndxf>
      <alignment horizontal="general" vertical="bottom" readingOrder="0"/>
    </ndxf>
  </rcc>
  <rfmt sheetId="10" sqref="C89" start="0" length="0">
    <dxf/>
  </rfmt>
  <rfmt sheetId="10" sqref="D89" start="0" length="0">
    <dxf/>
  </rfmt>
  <rfmt sheetId="10" sqref="E89" start="0" length="0">
    <dxf/>
  </rfmt>
  <rfmt sheetId="10" sqref="F89" start="0" length="0">
    <dxf/>
  </rfmt>
  <rfmt sheetId="10" sqref="G89" start="0" length="0">
    <dxf/>
  </rfmt>
  <rfmt sheetId="10" sqref="H89" start="0" length="0">
    <dxf>
      <numFmt numFmtId="0" formatCode="General"/>
    </dxf>
  </rfmt>
  <rcc rId="2886" sId="10" odxf="1" dxf="1">
    <oc r="I89">
      <v>174.16399999999999</v>
    </oc>
    <nc r="I89"/>
    <odxf/>
    <ndxf/>
  </rcc>
  <rfmt sheetId="10" sqref="J89" start="0" length="0">
    <dxf/>
  </rfmt>
  <rfmt sheetId="10" sqref="K89" start="0" length="0">
    <dxf/>
  </rfmt>
  <rfmt sheetId="10" sqref="L89" start="0" length="0">
    <dxf/>
  </rfmt>
  <rfmt sheetId="10" sqref="M89" start="0" length="0">
    <dxf/>
  </rfmt>
  <rfmt sheetId="10" sqref="N89" start="0" length="0">
    <dxf/>
  </rfmt>
  <rcc rId="2887" sId="10" odxf="1" dxf="1">
    <nc r="O89">
      <v>126.27400000000002</v>
    </nc>
    <odxf/>
    <ndxf/>
  </rcc>
  <rfmt sheetId="10" sqref="P89" start="0" length="0">
    <dxf/>
  </rfmt>
  <rcc rId="2888" sId="10" odxf="1" dxf="1">
    <oc r="Q89">
      <v>40</v>
    </oc>
    <nc r="Q89"/>
    <odxf/>
    <ndxf/>
  </rcc>
  <rcc rId="2889" sId="10" odxf="1" dxf="1">
    <oc r="R89">
      <f>SUM(C89:Q89)</f>
    </oc>
    <nc r="R89"/>
    <odxf/>
    <ndxf/>
  </rcc>
  <rfmt sheetId="10" sqref="S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0" sId="10" odxf="1" dxf="1">
    <nc r="U89">
      <f>SUM(C89:T89)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1" sId="10" odxf="1" dxf="1">
    <oc r="B90" t="inlineStr">
      <is>
        <t>Tatiana Milova</t>
      </is>
    </oc>
    <nc r="B90" t="inlineStr">
      <is>
        <t>Vadim Cherevichkin</t>
      </is>
    </nc>
    <odxf>
      <alignment horizontal="left" vertical="top" readingOrder="0"/>
    </odxf>
    <ndxf>
      <alignment horizontal="general" vertical="bottom" readingOrder="0"/>
    </ndxf>
  </rcc>
  <rfmt sheetId="10" sqref="C90" start="0" length="0">
    <dxf/>
  </rfmt>
  <rfmt sheetId="10" sqref="D90" start="0" length="0">
    <dxf/>
  </rfmt>
  <rfmt sheetId="10" sqref="E90" start="0" length="0">
    <dxf/>
  </rfmt>
  <rfmt sheetId="10" sqref="F90" start="0" length="0">
    <dxf/>
  </rfmt>
  <rfmt sheetId="10" sqref="G90" start="0" length="0">
    <dxf/>
  </rfmt>
  <rfmt sheetId="10" sqref="H90" start="0" length="0">
    <dxf>
      <numFmt numFmtId="0" formatCode="General"/>
    </dxf>
  </rfmt>
  <rcc rId="2892" sId="10" odxf="1" dxf="1">
    <oc r="I90">
      <v>20.419</v>
    </oc>
    <nc r="I90"/>
    <odxf/>
    <ndxf/>
  </rcc>
  <rfmt sheetId="10" sqref="J90" start="0" length="0">
    <dxf/>
  </rfmt>
  <rfmt sheetId="10" sqref="K90" start="0" length="0">
    <dxf/>
  </rfmt>
  <rcc rId="2893" sId="10" odxf="1" dxf="1">
    <nc r="L90">
      <v>81.95</v>
    </nc>
    <odxf/>
    <ndxf/>
  </rcc>
  <rfmt sheetId="10" sqref="M90" start="0" length="0">
    <dxf/>
  </rfmt>
  <rfmt sheetId="10" sqref="N90" start="0" length="0">
    <dxf/>
  </rfmt>
  <rcc rId="2894" sId="10" odxf="1" dxf="1">
    <oc r="O90">
      <v>197.39099999999999</v>
    </oc>
    <nc r="O90"/>
    <odxf/>
    <ndxf/>
  </rcc>
  <rfmt sheetId="10" sqref="P90" start="0" length="0">
    <dxf/>
  </rfmt>
  <rfmt sheetId="10" sqref="Q90" start="0" length="0">
    <dxf/>
  </rfmt>
  <rcc rId="2895" sId="10" odxf="1" dxf="1">
    <oc r="R90">
      <f>SUM(C90:Q90)</f>
    </oc>
    <nc r="R90"/>
    <odxf/>
    <ndxf/>
  </rcc>
  <rfmt sheetId="10" sqref="S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6" sId="10" odxf="1" dxf="1">
    <nc r="U90">
      <f>SUM(C90:T90)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7" sId="10" odxf="1" dxf="1">
    <oc r="B91" t="inlineStr">
      <is>
        <t>Tatyana Elina</t>
      </is>
    </oc>
    <nc r="B91" t="inlineStr">
      <is>
        <t>Vadym Gerasimov</t>
      </is>
    </nc>
    <odxf>
      <alignment horizontal="left" vertical="top" readingOrder="0"/>
    </odxf>
    <ndxf>
      <alignment horizontal="general" vertical="bottom" readingOrder="0"/>
    </ndxf>
  </rcc>
  <rfmt sheetId="10" sqref="C91" start="0" length="0">
    <dxf/>
  </rfmt>
  <rfmt sheetId="10" sqref="D91" start="0" length="0">
    <dxf/>
  </rfmt>
  <rfmt sheetId="10" sqref="E91" start="0" length="0">
    <dxf/>
  </rfmt>
  <rfmt sheetId="10" sqref="F91" start="0" length="0">
    <dxf/>
  </rfmt>
  <rfmt sheetId="10" sqref="G91" start="0" length="0">
    <dxf/>
  </rfmt>
  <rfmt sheetId="10" sqref="H91" start="0" length="0">
    <dxf>
      <numFmt numFmtId="0" formatCode="General"/>
    </dxf>
  </rfmt>
  <rcc rId="2898" sId="10" odxf="1" dxf="1">
    <oc r="I91">
      <v>250.14600000000002</v>
    </oc>
    <nc r="I91"/>
    <odxf/>
    <ndxf/>
  </rcc>
  <rfmt sheetId="10" sqref="J91" start="0" length="0">
    <dxf/>
  </rfmt>
  <rfmt sheetId="10" sqref="K91" start="0" length="0">
    <dxf/>
  </rfmt>
  <rfmt sheetId="10" sqref="L91" start="0" length="0">
    <dxf/>
  </rfmt>
  <rfmt sheetId="10" sqref="M91" start="0" length="0">
    <dxf/>
  </rfmt>
  <rfmt sheetId="10" sqref="N91" start="0" length="0">
    <dxf/>
  </rfmt>
  <rfmt sheetId="10" sqref="O91" start="0" length="0">
    <dxf/>
  </rfmt>
  <rcc rId="2899" sId="10" odxf="1" dxf="1">
    <nc r="P91">
      <v>43.579000000000001</v>
    </nc>
    <odxf/>
    <ndxf/>
  </rcc>
  <rfmt sheetId="10" sqref="Q91" start="0" length="0">
    <dxf/>
  </rfmt>
  <rcc rId="2900" sId="10" odxf="1" dxf="1">
    <oc r="R91">
      <f>SUM(C91:Q91)</f>
    </oc>
    <nc r="R91"/>
    <odxf/>
    <ndxf/>
  </rcc>
  <rfmt sheetId="10" sqref="S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1" sId="10" odxf="1" dxf="1">
    <nc r="U91">
      <f>SUM(C91:T91)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2" sId="10" odxf="1" dxf="1">
    <oc r="B92" t="inlineStr">
      <is>
        <t>Tatyana Tsarenko</t>
      </is>
    </oc>
    <nc r="B92" t="inlineStr">
      <is>
        <t>Vadym Shoshin</t>
      </is>
    </nc>
    <odxf>
      <alignment horizontal="left" vertical="top" readingOrder="0"/>
    </odxf>
    <ndxf>
      <alignment horizontal="general" vertical="bottom" readingOrder="0"/>
    </ndxf>
  </rcc>
  <rfmt sheetId="10" sqref="C92" start="0" length="0">
    <dxf/>
  </rfmt>
  <rfmt sheetId="10" sqref="D92" start="0" length="0">
    <dxf/>
  </rfmt>
  <rfmt sheetId="10" sqref="E92" start="0" length="0">
    <dxf/>
  </rfmt>
  <rfmt sheetId="10" sqref="F92" start="0" length="0">
    <dxf/>
  </rfmt>
  <rfmt sheetId="10" sqref="G92" start="0" length="0">
    <dxf/>
  </rfmt>
  <rfmt sheetId="10" sqref="H92" start="0" length="0">
    <dxf>
      <numFmt numFmtId="0" formatCode="General"/>
    </dxf>
  </rfmt>
  <rcc rId="2903" sId="10" odxf="1" dxf="1">
    <oc r="I92">
      <v>21.250999999999998</v>
    </oc>
    <nc r="I92"/>
    <odxf/>
    <ndxf/>
  </rcc>
  <rfmt sheetId="10" sqref="J92" start="0" length="0">
    <dxf/>
  </rfmt>
  <rfmt sheetId="10" sqref="K92" start="0" length="0">
    <dxf/>
  </rfmt>
  <rcc rId="2904" sId="10" odxf="1" dxf="1">
    <nc r="L92">
      <v>28.41</v>
    </nc>
    <odxf/>
    <ndxf/>
  </rcc>
  <rcc rId="2905" sId="10" odxf="1" dxf="1">
    <nc r="M92">
      <v>129.876</v>
    </nc>
    <odxf/>
    <ndxf/>
  </rcc>
  <rfmt sheetId="10" sqref="N92" start="0" length="0">
    <dxf/>
  </rfmt>
  <rcc rId="2906" sId="10" odxf="1" dxf="1">
    <oc r="O92">
      <v>173.97799999999995</v>
    </oc>
    <nc r="O92"/>
    <odxf/>
    <ndxf/>
  </rcc>
  <rfmt sheetId="10" sqref="P92" start="0" length="0">
    <dxf/>
  </rfmt>
  <rfmt sheetId="10" sqref="Q92" start="0" length="0">
    <dxf/>
  </rfmt>
  <rcc rId="2907" sId="10" odxf="1" dxf="1">
    <oc r="R92">
      <f>SUM(C92:Q92)</f>
    </oc>
    <nc r="R92"/>
    <odxf/>
    <ndxf/>
  </rcc>
  <rfmt sheetId="10" sqref="S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8" sId="10" odxf="1" dxf="1">
    <nc r="U92">
      <f>SUM(C92:T92)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9" sId="10" odxf="1" dxf="1">
    <oc r="B93" t="inlineStr">
      <is>
        <t>Timofey Misostov</t>
      </is>
    </oc>
    <nc r="B93" t="inlineStr">
      <is>
        <t>Valeriia Kotelnykova</t>
      </is>
    </nc>
    <odxf>
      <alignment horizontal="left" vertical="top" readingOrder="0"/>
    </odxf>
    <ndxf>
      <alignment horizontal="general" vertical="bottom" readingOrder="0"/>
    </ndxf>
  </rcc>
  <rfmt sheetId="10" sqref="C93" start="0" length="0">
    <dxf/>
  </rfmt>
  <rfmt sheetId="10" sqref="D93" start="0" length="0">
    <dxf/>
  </rfmt>
  <rfmt sheetId="10" sqref="E93" start="0" length="0">
    <dxf/>
  </rfmt>
  <rfmt sheetId="10" sqref="F93" start="0" length="0">
    <dxf/>
  </rfmt>
  <rfmt sheetId="10" sqref="G93" start="0" length="0">
    <dxf/>
  </rfmt>
  <rfmt sheetId="10" sqref="H93" start="0" length="0">
    <dxf>
      <numFmt numFmtId="0" formatCode="General"/>
    </dxf>
  </rfmt>
  <rfmt sheetId="10" sqref="I93" start="0" length="0">
    <dxf/>
  </rfmt>
  <rfmt sheetId="10" sqref="J93" start="0" length="0">
    <dxf/>
  </rfmt>
  <rcc rId="2910" sId="10" odxf="1" dxf="1">
    <nc r="K93">
      <v>164.43599999999998</v>
    </nc>
    <odxf/>
    <ndxf/>
  </rcc>
  <rfmt sheetId="10" sqref="L93" start="0" length="0">
    <dxf/>
  </rfmt>
  <rfmt sheetId="10" sqref="M93" start="0" length="0">
    <dxf/>
  </rfmt>
  <rcc rId="2911" sId="10" odxf="1" dxf="1">
    <oc r="N93">
      <v>83.842999999999989</v>
    </oc>
    <nc r="N93"/>
    <odxf/>
    <ndxf/>
  </rcc>
  <rfmt sheetId="10" sqref="O93" start="0" length="0">
    <dxf/>
  </rfmt>
  <rfmt sheetId="10" sqref="P93" start="0" length="0">
    <dxf/>
  </rfmt>
  <rfmt sheetId="10" sqref="Q93" start="0" length="0">
    <dxf/>
  </rfmt>
  <rcc rId="2912" sId="10" odxf="1" dxf="1">
    <oc r="R93">
      <f>SUM(C93:Q93)</f>
    </oc>
    <nc r="R93"/>
    <odxf/>
    <ndxf/>
  </rcc>
  <rfmt sheetId="10" sqref="S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3" sId="10" odxf="1" dxf="1">
    <nc r="U93">
      <f>SUM(C93:T93)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4" sId="10" odxf="1" dxf="1">
    <oc r="B94" t="inlineStr">
      <is>
        <t>Vadym Shoshin</t>
      </is>
    </oc>
    <nc r="B94" t="inlineStr">
      <is>
        <t>Valeriia Sinkova</t>
      </is>
    </nc>
    <odxf>
      <alignment horizontal="left" vertical="top" readingOrder="0"/>
    </odxf>
    <ndxf>
      <alignment horizontal="general" vertical="bottom" readingOrder="0"/>
    </ndxf>
  </rcc>
  <rcc rId="2915" sId="10" odxf="1" dxf="1">
    <nc r="C94">
      <v>121.69</v>
    </nc>
    <odxf/>
    <ndxf/>
  </rcc>
  <rcc rId="2916" sId="10" odxf="1" dxf="1">
    <nc r="D94">
      <v>23.03</v>
    </nc>
    <odxf/>
    <ndxf/>
  </rcc>
  <rfmt sheetId="10" sqref="E94" start="0" length="0">
    <dxf/>
  </rfmt>
  <rfmt sheetId="10" sqref="F94" start="0" length="0">
    <dxf/>
  </rfmt>
  <rfmt sheetId="10" sqref="G94" start="0" length="0">
    <dxf/>
  </rfmt>
  <rfmt sheetId="10" sqref="H94" start="0" length="0">
    <dxf>
      <numFmt numFmtId="0" formatCode="General"/>
    </dxf>
  </rfmt>
  <rfmt sheetId="10" sqref="I94" start="0" length="0">
    <dxf/>
  </rfmt>
  <rfmt sheetId="10" sqref="J94" start="0" length="0">
    <dxf/>
  </rfmt>
  <rcc rId="2917" sId="10" odxf="1" dxf="1">
    <nc r="K94">
      <v>20.3</v>
    </nc>
    <odxf/>
    <ndxf/>
  </rcc>
  <rcc rId="2918" sId="10" odxf="1" dxf="1">
    <oc r="L94">
      <v>169.73000000000002</v>
    </oc>
    <nc r="L94"/>
    <odxf/>
    <ndxf/>
  </rcc>
  <rcc rId="2919" sId="10" odxf="1" dxf="1">
    <oc r="M94">
      <v>24</v>
    </oc>
    <nc r="M94"/>
    <odxf/>
    <ndxf/>
  </rcc>
  <rfmt sheetId="10" sqref="N94" start="0" length="0">
    <dxf/>
  </rfmt>
  <rfmt sheetId="10" sqref="O94" start="0" length="0">
    <dxf/>
  </rfmt>
  <rfmt sheetId="10" sqref="P94" start="0" length="0">
    <dxf/>
  </rfmt>
  <rfmt sheetId="10" sqref="Q94" start="0" length="0">
    <dxf/>
  </rfmt>
  <rcc rId="2920" sId="10" odxf="1" dxf="1">
    <oc r="R94">
      <f>SUM(C94:Q94)</f>
    </oc>
    <nc r="R94"/>
    <odxf/>
    <ndxf/>
  </rcc>
  <rfmt sheetId="10" sqref="S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1" sId="10" odxf="1" dxf="1">
    <nc r="U94">
      <f>SUM(C94:T94)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2" sId="10" odxf="1" dxf="1">
    <oc r="B95" t="inlineStr">
      <is>
        <t>Valeriia Kotelnykova</t>
      </is>
    </oc>
    <nc r="B95" t="inlineStr">
      <is>
        <t>Valeriy Belich</t>
      </is>
    </nc>
    <odxf>
      <alignment horizontal="left" vertical="top" readingOrder="0"/>
    </odxf>
    <ndxf>
      <alignment horizontal="general" vertical="bottom" readingOrder="0"/>
    </ndxf>
  </rcc>
  <rfmt sheetId="10" sqref="C95" start="0" length="0">
    <dxf/>
  </rfmt>
  <rfmt sheetId="10" sqref="D95" start="0" length="0">
    <dxf/>
  </rfmt>
  <rfmt sheetId="10" sqref="E95" start="0" length="0">
    <dxf/>
  </rfmt>
  <rfmt sheetId="10" sqref="F95" start="0" length="0">
    <dxf/>
  </rfmt>
  <rfmt sheetId="10" sqref="G95" start="0" length="0">
    <dxf/>
  </rfmt>
  <rfmt sheetId="10" sqref="H95" start="0" length="0">
    <dxf>
      <numFmt numFmtId="0" formatCode="General"/>
    </dxf>
  </rfmt>
  <rfmt sheetId="10" sqref="I95" start="0" length="0">
    <dxf/>
  </rfmt>
  <rfmt sheetId="10" sqref="J95" start="0" length="0">
    <dxf/>
  </rfmt>
  <rfmt sheetId="10" sqref="K95" start="0" length="0">
    <dxf/>
  </rfmt>
  <rcc rId="2923" sId="10" odxf="1" dxf="1">
    <nc r="L95">
      <v>90.75</v>
    </nc>
    <odxf/>
    <ndxf/>
  </rcc>
  <rcc rId="2924" sId="10" odxf="1" dxf="1">
    <oc r="M95">
      <v>269.49</v>
    </oc>
    <nc r="M95"/>
    <odxf/>
    <ndxf/>
  </rcc>
  <rfmt sheetId="10" sqref="N95" start="0" length="0">
    <dxf/>
  </rfmt>
  <rfmt sheetId="10" sqref="O95" start="0" length="0">
    <dxf/>
  </rfmt>
  <rfmt sheetId="10" sqref="P95" start="0" length="0">
    <dxf/>
  </rfmt>
  <rfmt sheetId="10" sqref="Q95" start="0" length="0">
    <dxf/>
  </rfmt>
  <rcc rId="2925" sId="10" odxf="1" dxf="1">
    <oc r="R95">
      <f>SUM(C95:Q95)</f>
    </oc>
    <nc r="R95"/>
    <odxf/>
    <ndxf/>
  </rcc>
  <rfmt sheetId="10" sqref="S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6" sId="10" odxf="1" dxf="1">
    <nc r="U95">
      <f>SUM(C95:T95)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7" sId="10" odxf="1" dxf="1">
    <oc r="B96" t="inlineStr">
      <is>
        <t>Valeriia Sinkova</t>
      </is>
    </oc>
    <nc r="B96" t="inlineStr">
      <is>
        <t>Valeriy Malinovskiy</t>
      </is>
    </nc>
    <odxf>
      <alignment horizontal="left" vertical="top" readingOrder="0"/>
    </odxf>
    <ndxf>
      <alignment horizontal="general" vertical="bottom" readingOrder="0"/>
    </ndxf>
  </rcc>
  <rfmt sheetId="10" sqref="C96" start="0" length="0">
    <dxf/>
  </rfmt>
  <rfmt sheetId="10" sqref="D96" start="0" length="0">
    <dxf/>
  </rfmt>
  <rfmt sheetId="10" sqref="E96" start="0" length="0">
    <dxf/>
  </rfmt>
  <rfmt sheetId="10" sqref="F96" start="0" length="0">
    <dxf/>
  </rfmt>
  <rfmt sheetId="10" sqref="G96" start="0" length="0">
    <dxf/>
  </rfmt>
  <rfmt sheetId="10" sqref="H96" start="0" length="0">
    <dxf>
      <numFmt numFmtId="0" formatCode="General"/>
    </dxf>
  </rfmt>
  <rfmt sheetId="10" sqref="I96" start="0" length="0">
    <dxf/>
  </rfmt>
  <rfmt sheetId="10" sqref="J96" start="0" length="0">
    <dxf/>
  </rfmt>
  <rcc rId="2928" sId="10" odxf="1" dxf="1">
    <nc r="K96">
      <v>100.244</v>
    </nc>
    <odxf/>
    <ndxf/>
  </rcc>
  <rcc rId="2929" sId="10" odxf="1" dxf="1">
    <nc r="L96">
      <v>14.190000000000001</v>
    </nc>
    <odxf/>
    <ndxf/>
  </rcc>
  <rfmt sheetId="10" sqref="M96" start="0" length="0">
    <dxf/>
  </rfmt>
  <rfmt sheetId="10" sqref="N96" start="0" length="0">
    <dxf/>
  </rfmt>
  <rfmt sheetId="10" sqref="O96" start="0" length="0">
    <dxf/>
  </rfmt>
  <rcc rId="2930" sId="10" odxf="1" dxf="1">
    <oc r="P96">
      <v>249.65899999999999</v>
    </oc>
    <nc r="P96"/>
    <odxf/>
    <ndxf/>
  </rcc>
  <rcc rId="2931" sId="10" odxf="1" dxf="1">
    <oc r="Q96">
      <v>27.6</v>
    </oc>
    <nc r="Q96"/>
    <odxf/>
    <ndxf/>
  </rcc>
  <rcc rId="2932" sId="10" odxf="1" dxf="1">
    <oc r="R96">
      <f>SUM(C96:Q96)</f>
    </oc>
    <nc r="R96"/>
    <odxf/>
    <ndxf/>
  </rcc>
  <rfmt sheetId="10" sqref="S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3" sId="10" odxf="1" dxf="1">
    <nc r="U96">
      <f>SUM(C96:T96)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4" sId="10" odxf="1" dxf="1">
    <oc r="B97" t="inlineStr">
      <is>
        <t>Valeriy Belich</t>
      </is>
    </oc>
    <nc r="B97" t="inlineStr">
      <is>
        <t>Vera Balaguta</t>
      </is>
    </nc>
    <odxf>
      <alignment horizontal="left" vertical="top" readingOrder="0"/>
    </odxf>
    <ndxf>
      <alignment horizontal="general" vertical="bottom" readingOrder="0"/>
    </ndxf>
  </rcc>
  <rfmt sheetId="10" sqref="C97" start="0" length="0">
    <dxf/>
  </rfmt>
  <rfmt sheetId="10" sqref="D97" start="0" length="0">
    <dxf/>
  </rfmt>
  <rfmt sheetId="10" sqref="E97" start="0" length="0">
    <dxf/>
  </rfmt>
  <rfmt sheetId="10" sqref="F97" start="0" length="0">
    <dxf/>
  </rfmt>
  <rfmt sheetId="10" sqref="G97" start="0" length="0">
    <dxf/>
  </rfmt>
  <rfmt sheetId="10" sqref="H97" start="0" length="0">
    <dxf>
      <numFmt numFmtId="0" formatCode="General"/>
    </dxf>
  </rfmt>
  <rfmt sheetId="10" sqref="I97" start="0" length="0">
    <dxf/>
  </rfmt>
  <rfmt sheetId="10" sqref="J97" start="0" length="0">
    <dxf/>
  </rfmt>
  <rfmt sheetId="10" sqref="K97" start="0" length="0">
    <dxf/>
  </rfmt>
  <rfmt sheetId="10" sqref="L97" start="0" length="0">
    <dxf/>
  </rfmt>
  <rcc rId="2935" sId="10" odxf="1" dxf="1">
    <oc r="M97">
      <v>141.71999999999997</v>
    </oc>
    <nc r="M97"/>
    <odxf/>
    <ndxf/>
  </rcc>
  <rfmt sheetId="10" sqref="N97" start="0" length="0">
    <dxf/>
  </rfmt>
  <rfmt sheetId="10" sqref="O97" start="0" length="0">
    <dxf/>
  </rfmt>
  <rfmt sheetId="10" sqref="P97" start="0" length="0">
    <dxf/>
  </rfmt>
  <rcc rId="2936" sId="10" odxf="1" dxf="1">
    <nc r="Q97">
      <v>76.099999999999994</v>
    </nc>
    <odxf/>
    <ndxf/>
  </rcc>
  <rcc rId="2937" sId="10" odxf="1" dxf="1">
    <oc r="R97">
      <f>SUM(C97:Q97)</f>
    </oc>
    <nc r="R97"/>
    <odxf/>
    <ndxf/>
  </rcc>
  <rfmt sheetId="10" sqref="S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8" sId="10" odxf="1" dxf="1">
    <nc r="U97">
      <f>SUM(C97:T97)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9" sId="10" odxf="1" dxf="1">
    <oc r="B98" t="inlineStr">
      <is>
        <t>Valeriy Malinovskiy</t>
      </is>
    </oc>
    <nc r="B98" t="inlineStr">
      <is>
        <t>Vitaliy Chulkov</t>
      </is>
    </nc>
    <odxf>
      <alignment horizontal="left" vertical="top" readingOrder="0"/>
    </odxf>
    <ndxf>
      <alignment horizontal="general" vertical="bottom" readingOrder="0"/>
    </ndxf>
  </rcc>
  <rfmt sheetId="10" sqref="C98" start="0" length="0">
    <dxf/>
  </rfmt>
  <rfmt sheetId="10" sqref="D98" start="0" length="0">
    <dxf/>
  </rfmt>
  <rfmt sheetId="10" sqref="E98" start="0" length="0">
    <dxf/>
  </rfmt>
  <rfmt sheetId="10" sqref="F98" start="0" length="0">
    <dxf/>
  </rfmt>
  <rfmt sheetId="10" sqref="G98" start="0" length="0">
    <dxf/>
  </rfmt>
  <rfmt sheetId="10" sqref="H98" start="0" length="0">
    <dxf>
      <numFmt numFmtId="0" formatCode="General"/>
    </dxf>
  </rfmt>
  <rfmt sheetId="10" sqref="I98" start="0" length="0">
    <dxf/>
  </rfmt>
  <rfmt sheetId="10" sqref="J98" start="0" length="0">
    <dxf/>
  </rfmt>
  <rfmt sheetId="10" sqref="K98" start="0" length="0">
    <dxf/>
  </rfmt>
  <rcc rId="2940" sId="10" odxf="1" dxf="1">
    <nc r="L98">
      <v>20.13</v>
    </nc>
    <odxf/>
    <ndxf/>
  </rcc>
  <rcc rId="2941" sId="10" odxf="1" dxf="1">
    <oc r="M98">
      <v>210.60999999999999</v>
    </oc>
    <nc r="M98"/>
    <odxf/>
    <ndxf/>
  </rcc>
  <rfmt sheetId="10" sqref="N98" start="0" length="0">
    <dxf/>
  </rfmt>
  <rfmt sheetId="10" sqref="O98" start="0" length="0">
    <dxf/>
  </rfmt>
  <rfmt sheetId="10" sqref="P98" start="0" length="0">
    <dxf/>
  </rfmt>
  <rfmt sheetId="10" sqref="Q98" start="0" length="0">
    <dxf/>
  </rfmt>
  <rcc rId="2942" sId="10" odxf="1" dxf="1">
    <oc r="R98">
      <f>SUM(C98:Q98)</f>
    </oc>
    <nc r="R98"/>
    <odxf/>
    <ndxf/>
  </rcc>
  <rfmt sheetId="10" sqref="S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3" sId="10" odxf="1" dxf="1">
    <nc r="U98">
      <f>SUM(C98:T98)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4" sId="10" odxf="1" dxf="1">
    <oc r="B99" t="inlineStr">
      <is>
        <t>Vera Balaguta</t>
      </is>
    </oc>
    <nc r="B99" t="inlineStr">
      <is>
        <t>Yana Koval</t>
      </is>
    </nc>
    <odxf>
      <alignment horizontal="left" vertical="top" readingOrder="0"/>
    </odxf>
    <ndxf>
      <alignment horizontal="general" vertical="bottom" readingOrder="0"/>
    </ndxf>
  </rcc>
  <rfmt sheetId="10" sqref="C99" start="0" length="0">
    <dxf/>
  </rfmt>
  <rfmt sheetId="10" sqref="D99" start="0" length="0">
    <dxf/>
  </rfmt>
  <rfmt sheetId="10" sqref="E99" start="0" length="0">
    <dxf/>
  </rfmt>
  <rfmt sheetId="10" sqref="F99" start="0" length="0">
    <dxf/>
  </rfmt>
  <rfmt sheetId="10" sqref="G99" start="0" length="0">
    <dxf/>
  </rfmt>
  <rfmt sheetId="10" sqref="H99" start="0" length="0">
    <dxf>
      <numFmt numFmtId="0" formatCode="General"/>
    </dxf>
  </rfmt>
  <rfmt sheetId="10" sqref="I99" start="0" length="0">
    <dxf/>
  </rfmt>
  <rcc rId="2945" sId="10" odxf="1" dxf="1">
    <oc r="J99">
      <v>15</v>
    </oc>
    <nc r="J99"/>
    <odxf/>
    <ndxf/>
  </rcc>
  <rcc rId="2946" sId="10" odxf="1" dxf="1">
    <oc r="K99">
      <v>144.5</v>
    </oc>
    <nc r="K99"/>
    <odxf/>
    <ndxf/>
  </rcc>
  <rcc rId="2947" sId="10" odxf="1" dxf="1">
    <nc r="L99">
      <v>49.019999999999996</v>
    </nc>
    <odxf/>
    <ndxf/>
  </rcc>
  <rfmt sheetId="10" sqref="M99" start="0" length="0">
    <dxf/>
  </rfmt>
  <rfmt sheetId="10" sqref="N99" start="0" length="0">
    <dxf/>
  </rfmt>
  <rfmt sheetId="10" sqref="O99" start="0" length="0">
    <dxf/>
  </rfmt>
  <rcc rId="2948" sId="10" odxf="1" dxf="1">
    <nc r="P99">
      <v>76.223000000000013</v>
    </nc>
    <odxf/>
    <ndxf/>
  </rcc>
  <rcc rId="2949" sId="10" odxf="1" dxf="1">
    <oc r="Q99">
      <v>20</v>
    </oc>
    <nc r="Q99"/>
    <odxf/>
    <ndxf/>
  </rcc>
  <rcc rId="2950" sId="10" odxf="1" dxf="1">
    <oc r="R99">
      <f>SUM(C99:Q99)</f>
    </oc>
    <nc r="R99"/>
    <odxf/>
    <ndxf/>
  </rcc>
  <rfmt sheetId="10" sqref="S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1" sId="10" odxf="1" dxf="1">
    <nc r="U99">
      <f>SUM(C99:T99)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2" sId="10" odxf="1" dxf="1">
    <oc r="B100" t="inlineStr">
      <is>
        <t>Yana Koval</t>
      </is>
    </oc>
    <nc r="B100" t="inlineStr">
      <is>
        <t>Yulia Hladkova</t>
      </is>
    </nc>
    <odxf>
      <alignment horizontal="left" vertical="top" readingOrder="0"/>
    </odxf>
    <ndxf>
      <alignment horizontal="general" vertical="bottom" readingOrder="0"/>
    </ndxf>
  </rcc>
  <rfmt sheetId="10" sqref="C100" start="0" length="0">
    <dxf/>
  </rfmt>
  <rfmt sheetId="10" sqref="D100" start="0" length="0">
    <dxf/>
  </rfmt>
  <rfmt sheetId="10" sqref="E100" start="0" length="0">
    <dxf/>
  </rfmt>
  <rfmt sheetId="10" sqref="F100" start="0" length="0">
    <dxf/>
  </rfmt>
  <rfmt sheetId="10" sqref="G100" start="0" length="0">
    <dxf/>
  </rfmt>
  <rfmt sheetId="10" sqref="H100" start="0" length="0">
    <dxf>
      <numFmt numFmtId="0" formatCode="General"/>
    </dxf>
  </rfmt>
  <rfmt sheetId="10" sqref="I100" start="0" length="0">
    <dxf/>
  </rfmt>
  <rfmt sheetId="10" sqref="J100" start="0" length="0">
    <dxf/>
  </rfmt>
  <rcc rId="2953" sId="10" odxf="1" dxf="1">
    <nc r="K100">
      <v>24.462</v>
    </nc>
    <odxf/>
    <ndxf/>
  </rcc>
  <rfmt sheetId="10" sqref="L100" start="0" length="0">
    <dxf/>
  </rfmt>
  <rfmt sheetId="10" sqref="M100" start="0" length="0">
    <dxf/>
  </rfmt>
  <rfmt sheetId="10" sqref="N100" start="0" length="0">
    <dxf/>
  </rfmt>
  <rcc rId="2954" sId="10" odxf="1" dxf="1">
    <oc r="O100">
      <v>92.297999999999988</v>
    </oc>
    <nc r="O100"/>
    <odxf/>
    <ndxf/>
  </rcc>
  <rfmt sheetId="10" sqref="P100" start="0" length="0">
    <dxf/>
  </rfmt>
  <rfmt sheetId="10" sqref="Q100" start="0" length="0">
    <dxf/>
  </rfmt>
  <rcc rId="2955" sId="10" odxf="1" dxf="1">
    <oc r="R100">
      <f>SUM(C100:Q100)</f>
    </oc>
    <nc r="R100"/>
    <odxf/>
    <ndxf/>
  </rcc>
  <rfmt sheetId="10" sqref="S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6" sId="10" odxf="1" dxf="1">
    <nc r="U100">
      <f>SUM(C100:T100)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1" start="0" length="0">
    <dxf>
      <alignment horizontal="general" vertical="bottom" readingOrder="0"/>
    </dxf>
  </rfmt>
  <rfmt sheetId="10" sqref="C101" start="0" length="0">
    <dxf/>
  </rfmt>
  <rfmt sheetId="10" sqref="D101" start="0" length="0">
    <dxf/>
  </rfmt>
  <rfmt sheetId="10" sqref="E101" start="0" length="0">
    <dxf/>
  </rfmt>
  <rfmt sheetId="10" sqref="F101" start="0" length="0">
    <dxf/>
  </rfmt>
  <rfmt sheetId="10" sqref="G101" start="0" length="0">
    <dxf/>
  </rfmt>
  <rfmt sheetId="10" sqref="H101" start="0" length="0">
    <dxf>
      <numFmt numFmtId="0" formatCode="General"/>
    </dxf>
  </rfmt>
  <rcc rId="2957" sId="10" odxf="1" dxf="1">
    <nc r="I101">
      <v>3.76</v>
    </nc>
    <odxf/>
    <ndxf/>
  </rcc>
  <rcc rId="2958" sId="10" odxf="1" dxf="1">
    <oc r="J101">
      <f>52.72+15</f>
    </oc>
    <nc r="J101"/>
    <odxf/>
    <ndxf/>
  </rcc>
  <rfmt sheetId="10" sqref="K101" start="0" length="0">
    <dxf/>
  </rfmt>
  <rfmt sheetId="10" sqref="L101" start="0" length="0">
    <dxf/>
  </rfmt>
  <rfmt sheetId="10" sqref="M101" start="0" length="0">
    <dxf/>
  </rfmt>
  <rfmt sheetId="10" sqref="N101" start="0" length="0">
    <dxf/>
  </rfmt>
  <rfmt sheetId="10" sqref="O101" start="0" length="0">
    <dxf/>
  </rfmt>
  <rfmt sheetId="10" sqref="P101" start="0" length="0">
    <dxf/>
  </rfmt>
  <rcc rId="2959" sId="10" odxf="1" dxf="1">
    <oc r="Q101">
      <v>40</v>
    </oc>
    <nc r="Q101"/>
    <odxf/>
    <ndxf/>
  </rcc>
  <rcc rId="2960" sId="10" odxf="1" dxf="1">
    <oc r="R101">
      <f>SUM(C101:Q101)</f>
    </oc>
    <nc r="R101"/>
    <odxf/>
    <ndxf/>
  </rcc>
  <rcc rId="2961" sId="10" odxf="1" dxf="1">
    <nc r="S101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2" sId="10" odxf="1" dxf="1">
    <nc r="U101">
      <f>SUM(C101:T101)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2" start="0" length="0">
    <dxf>
      <alignment horizontal="general" vertical="bottom" readingOrder="0"/>
    </dxf>
  </rfmt>
  <rfmt sheetId="10" sqref="C102" start="0" length="0">
    <dxf/>
  </rfmt>
  <rfmt sheetId="10" sqref="D102" start="0" length="0">
    <dxf/>
  </rfmt>
  <rfmt sheetId="10" sqref="E102" start="0" length="0">
    <dxf/>
  </rfmt>
  <rfmt sheetId="10" sqref="F102" start="0" length="0">
    <dxf/>
  </rfmt>
  <rfmt sheetId="10" sqref="G102" start="0" length="0">
    <dxf/>
  </rfmt>
  <rfmt sheetId="10" sqref="H102" start="0" length="0">
    <dxf>
      <numFmt numFmtId="0" formatCode="General"/>
    </dxf>
  </rfmt>
  <rfmt sheetId="10" sqref="I102" start="0" length="0">
    <dxf/>
  </rfmt>
  <rfmt sheetId="10" sqref="J102" start="0" length="0">
    <dxf/>
  </rfmt>
  <rcc rId="2963" sId="10" odxf="1" dxf="1">
    <nc r="K102">
      <v>1.8029999999999999</v>
    </nc>
    <odxf/>
    <ndxf/>
  </rcc>
  <rcc rId="2964" sId="10" odxf="1" dxf="1">
    <nc r="L102">
      <v>15.63</v>
    </nc>
    <odxf/>
    <ndxf/>
  </rcc>
  <rcc rId="2965" sId="10" odxf="1" dxf="1">
    <oc r="M102">
      <v>71.039999999999992</v>
    </oc>
    <nc r="M102"/>
    <odxf/>
    <ndxf/>
  </rcc>
  <rcc rId="2966" sId="10" odxf="1" dxf="1">
    <nc r="N102">
      <v>31.580000000000002</v>
    </nc>
    <odxf/>
    <ndxf/>
  </rcc>
  <rfmt sheetId="10" sqref="O102" start="0" length="0">
    <dxf/>
  </rfmt>
  <rfmt sheetId="10" sqref="P102" start="0" length="0">
    <dxf/>
  </rfmt>
  <rfmt sheetId="10" sqref="Q102" start="0" length="0">
    <dxf/>
  </rfmt>
  <rcc rId="2967" sId="10" odxf="1" dxf="1">
    <oc r="R102">
      <f>SUM(C102:Q102)</f>
    </oc>
    <nc r="R102"/>
    <odxf/>
    <ndxf/>
  </rcc>
  <rfmt sheetId="10" sqref="S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8" sId="10" odxf="1" dxf="1">
    <nc r="U102">
      <f>SUM(C102:T102)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3" start="0" length="0">
    <dxf>
      <alignment horizontal="general" vertical="bottom" readingOrder="0"/>
    </dxf>
  </rfmt>
  <rfmt sheetId="10" sqref="C103" start="0" length="0">
    <dxf/>
  </rfmt>
  <rfmt sheetId="10" sqref="D103" start="0" length="0">
    <dxf/>
  </rfmt>
  <rfmt sheetId="10" sqref="E103" start="0" length="0">
    <dxf/>
  </rfmt>
  <rfmt sheetId="10" sqref="F103" start="0" length="0">
    <dxf/>
  </rfmt>
  <rfmt sheetId="10" sqref="G103" start="0" length="0">
    <dxf/>
  </rfmt>
  <rfmt sheetId="10" sqref="H103" start="0" length="0">
    <dxf>
      <numFmt numFmtId="0" formatCode="General"/>
    </dxf>
  </rfmt>
  <rfmt sheetId="10" sqref="I103" start="0" length="0">
    <dxf/>
  </rfmt>
  <rfmt sheetId="10" sqref="J103" start="0" length="0">
    <dxf/>
  </rfmt>
  <rfmt sheetId="10" sqref="K103" start="0" length="0">
    <dxf/>
  </rfmt>
  <rcc rId="2969" sId="10" odxf="1" dxf="1">
    <nc r="L103">
      <v>58.900000000000006</v>
    </nc>
    <odxf/>
    <ndxf/>
  </rcc>
  <rcc rId="2970" sId="10" odxf="1" dxf="1">
    <oc r="M103">
      <v>153.54999999999998</v>
    </oc>
    <nc r="M103"/>
    <odxf/>
    <ndxf/>
  </rcc>
  <rfmt sheetId="10" sqref="N103" start="0" length="0">
    <dxf/>
  </rfmt>
  <rfmt sheetId="10" sqref="O103" start="0" length="0">
    <dxf/>
  </rfmt>
  <rfmt sheetId="10" sqref="P103" start="0" length="0">
    <dxf/>
  </rfmt>
  <rfmt sheetId="10" sqref="Q103" start="0" length="0">
    <dxf/>
  </rfmt>
  <rcc rId="2971" sId="10" odxf="1" dxf="1">
    <oc r="R103">
      <f>SUM(C103:Q103)</f>
    </oc>
    <nc r="R103"/>
    <odxf/>
    <ndxf/>
  </rcc>
  <rfmt sheetId="10" sqref="S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2" sId="10" odxf="1" dxf="1">
    <nc r="U103">
      <f>SUM(C103:T103)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10" cell="Q3" guid="{00000000-0000-0000-0000-000000000000}" action="delete" author="Oleg Seliverstov"/>
  <rcmt sheetId="10" cell="Q27" guid="{00000000-0000-0000-0000-000000000000}" action="delete" author="Ievgeniia Luchnykova"/>
  <rcmt sheetId="10" cell="Q68" guid="{00000000-0000-0000-0000-000000000000}" action="delete" author="Oleg Seliverstov"/>
  <rcmt sheetId="10" cell="Q76" guid="{00000000-0000-0000-0000-000000000000}" action="delete" author="Iurii Shubin"/>
  <rcmt sheetId="10" cell="Q81" guid="{00000000-0000-0000-0000-000000000000}" action="delete" author="Iurii Shubin"/>
  <rcc rId="2973" sId="10">
    <oc r="B104" t="inlineStr">
      <is>
        <t>Grand Total</t>
      </is>
    </oc>
    <nc r="B104"/>
  </rcc>
  <rcc rId="2974" sId="10">
    <oc r="C104">
      <f>SUM(C2:C103)</f>
    </oc>
    <nc r="C104"/>
  </rcc>
  <rcc rId="2975" sId="10">
    <oc r="D104">
      <f>SUM(D2:D103)</f>
    </oc>
    <nc r="D104"/>
  </rcc>
  <rcc rId="2976" sId="10">
    <oc r="E104">
      <f>SUM(E2:E103)</f>
    </oc>
    <nc r="E104"/>
  </rcc>
  <rcc rId="2977" sId="10">
    <oc r="F104">
      <f>SUM(F2:F103)</f>
    </oc>
    <nc r="F104"/>
  </rcc>
  <rcc rId="2978" sId="10">
    <oc r="G104">
      <f>SUM(G2:G103)</f>
    </oc>
    <nc r="G104"/>
  </rcc>
  <rcc rId="2979" sId="10">
    <oc r="H104">
      <f>SUM(H2:H103)</f>
    </oc>
    <nc r="H104"/>
  </rcc>
  <rcc rId="2980" sId="10">
    <oc r="I104">
      <f>SUM(I2:I103)</f>
    </oc>
    <nc r="I104"/>
  </rcc>
  <rcc rId="2981" sId="10">
    <oc r="J104">
      <f>SUM(J2:J103)</f>
    </oc>
    <nc r="J104"/>
  </rcc>
  <rcc rId="2982" sId="10">
    <oc r="K104">
      <f>SUM(K2:K103)</f>
    </oc>
    <nc r="K104"/>
  </rcc>
  <rcc rId="2983" sId="10">
    <oc r="L104">
      <f>SUM(L2:L103)</f>
    </oc>
    <nc r="L104"/>
  </rcc>
  <rcc rId="2984" sId="10">
    <oc r="M104">
      <f>SUM(M2:M103)</f>
    </oc>
    <nc r="M104"/>
  </rcc>
  <rcc rId="2985" sId="10">
    <oc r="N104">
      <f>SUM(N2:N103)</f>
    </oc>
    <nc r="N104"/>
  </rcc>
  <rcc rId="2986" sId="10">
    <oc r="O104">
      <f>SUM(O2:O103)</f>
    </oc>
    <nc r="O104"/>
  </rcc>
  <rcc rId="2987" sId="10">
    <oc r="P104">
      <f>SUM(P2:P103)</f>
    </oc>
    <nc r="P104"/>
  </rcc>
  <rcc rId="2988" sId="10">
    <oc r="Q104">
      <f>SUM(Q2:Q103)</f>
    </oc>
    <nc r="Q104"/>
  </rcc>
  <rcc rId="2989" sId="10">
    <oc r="R104">
      <f>SUM(R2:R103)</f>
    </oc>
    <nc r="R104"/>
  </rcc>
  <rcc rId="2990" sId="10">
    <oc r="B105" t="inlineStr">
      <is>
        <t>Invoiced hrs JULY</t>
      </is>
    </oc>
    <nc r="B105"/>
  </rcc>
  <rcc rId="2991" sId="10">
    <oc r="C105">
      <v>0</v>
    </oc>
    <nc r="C105"/>
  </rcc>
  <rcc rId="2992" sId="10">
    <oc r="D105">
      <v>2783</v>
    </oc>
    <nc r="D105"/>
  </rcc>
  <rcc rId="2993" sId="10">
    <oc r="E105">
      <v>1084.4000000000001</v>
    </oc>
    <nc r="E105"/>
  </rcc>
  <rcc rId="2994" sId="10">
    <oc r="F105">
      <v>374.5</v>
    </oc>
    <nc r="F105"/>
  </rcc>
  <rcc rId="2995" sId="10">
    <oc r="G105">
      <v>546</v>
    </oc>
    <nc r="G105"/>
  </rcc>
  <rcc rId="2996" sId="10">
    <oc r="H105">
      <v>930</v>
    </oc>
    <nc r="H105"/>
  </rcc>
  <rcc rId="2997" sId="10">
    <oc r="I105">
      <v>1519</v>
    </oc>
    <nc r="I105"/>
  </rcc>
  <rcc rId="2998" sId="10">
    <oc r="J105">
      <v>200</v>
    </oc>
    <nc r="J105"/>
  </rcc>
  <rcc rId="2999" sId="10">
    <oc r="K105">
      <v>300</v>
    </oc>
    <nc r="K105"/>
  </rcc>
  <rcc rId="3000" sId="10">
    <oc r="L105">
      <v>1545</v>
    </oc>
    <nc r="L105"/>
  </rcc>
  <rcc rId="3001" sId="10">
    <oc r="M105">
      <v>3744</v>
    </oc>
    <nc r="M105"/>
  </rcc>
  <rcc rId="3002" sId="10">
    <oc r="N105">
      <v>2176</v>
    </oc>
    <nc r="N105"/>
  </rcc>
  <rcc rId="3003" sId="10">
    <oc r="O105">
      <v>1290</v>
    </oc>
    <nc r="O105"/>
  </rcc>
  <rcc rId="3004" sId="10">
    <oc r="P105">
      <v>2316</v>
    </oc>
    <nc r="P105"/>
  </rcc>
  <rcc rId="3005" sId="10">
    <oc r="R105">
      <f>SUM(C105:Q105)</f>
    </oc>
    <nc r="R105"/>
  </rcc>
  <rcc rId="3006" sId="10">
    <oc r="B106" t="inlineStr">
      <is>
        <t>Saved hrs JULY</t>
      </is>
    </oc>
    <nc r="B106"/>
  </rcc>
  <rcc rId="3007" sId="10">
    <oc r="C106">
      <f>C105-C104</f>
    </oc>
    <nc r="C106"/>
  </rcc>
  <rcc rId="3008" sId="10">
    <oc r="D106">
      <f>D105-D104</f>
    </oc>
    <nc r="D106"/>
  </rcc>
  <rcc rId="3009" sId="10">
    <oc r="E106">
      <f>E105-E104</f>
    </oc>
    <nc r="E106"/>
  </rcc>
  <rcc rId="3010" sId="10">
    <oc r="F106">
      <f>F105-F104</f>
    </oc>
    <nc r="F106"/>
  </rcc>
  <rcc rId="3011" sId="10">
    <oc r="G106">
      <f>G105-G104</f>
    </oc>
    <nc r="G106"/>
  </rcc>
  <rcc rId="3012" sId="10">
    <oc r="H106">
      <f>H105-H104</f>
    </oc>
    <nc r="H106"/>
  </rcc>
  <rcc rId="3013" sId="10">
    <oc r="I106">
      <f>I105-I104</f>
    </oc>
    <nc r="I106"/>
  </rcc>
  <rcc rId="3014" sId="10">
    <oc r="J106">
      <f>J105-J104</f>
    </oc>
    <nc r="J106"/>
  </rcc>
  <rcc rId="3015" sId="10">
    <oc r="K106">
      <f>K105-K104</f>
    </oc>
    <nc r="K106"/>
  </rcc>
  <rcc rId="3016" sId="10">
    <oc r="L106">
      <f>L105-L104</f>
    </oc>
    <nc r="L106"/>
  </rcc>
  <rcc rId="3017" sId="10">
    <oc r="M106">
      <f>M105-M104</f>
    </oc>
    <nc r="M106"/>
  </rcc>
  <rcc rId="3018" sId="10">
    <oc r="N106">
      <f>N105-N104</f>
    </oc>
    <nc r="N106"/>
  </rcc>
  <rcc rId="3019" sId="10">
    <oc r="O106">
      <f>O105-O104</f>
    </oc>
    <nc r="O106"/>
  </rcc>
  <rcc rId="3020" sId="10">
    <oc r="P106">
      <f>P105-P104</f>
    </oc>
    <nc r="P106"/>
  </rcc>
  <rcc rId="3021" sId="10">
    <oc r="R106">
      <f>SUM(C106:Q106)</f>
    </oc>
    <nc r="R106"/>
  </rcc>
  <rcc rId="3022" sId="10">
    <oc r="U3">
      <f>SUM(C3:T3)</f>
    </oc>
    <nc r="U3">
      <f>SUM(C3:T3)</f>
    </nc>
  </rcc>
  <rcc rId="3023" sId="10">
    <oc r="U4">
      <f>SUM(C4:T4)</f>
    </oc>
    <nc r="U4">
      <f>SUM(C4:T4)</f>
    </nc>
  </rcc>
  <rcc rId="3024" sId="10">
    <oc r="U5">
      <f>SUM(C5:T5)</f>
    </oc>
    <nc r="U5">
      <f>SUM(C5:T5)</f>
    </nc>
  </rcc>
  <rcc rId="3025" sId="10">
    <oc r="U6">
      <f>SUM(C6:T6)</f>
    </oc>
    <nc r="U6">
      <f>SUM(C6:T6)</f>
    </nc>
  </rcc>
  <rcc rId="3026" sId="10">
    <oc r="U7">
      <f>SUM(C7:T7)</f>
    </oc>
    <nc r="U7">
      <f>SUM(C7:T7)</f>
    </nc>
  </rcc>
  <rcc rId="3027" sId="10">
    <oc r="U8">
      <f>SUM(C8:T8)</f>
    </oc>
    <nc r="U8">
      <f>SUM(C8:T8)</f>
    </nc>
  </rcc>
  <rcc rId="3028" sId="10">
    <oc r="U9">
      <f>SUM(C9:T9)</f>
    </oc>
    <nc r="U9">
      <f>SUM(C9:T9)</f>
    </nc>
  </rcc>
  <rcc rId="3029" sId="10">
    <oc r="U10">
      <f>SUM(C10:T10)</f>
    </oc>
    <nc r="U10">
      <f>SUM(C10:T10)</f>
    </nc>
  </rcc>
  <rcc rId="3030" sId="10">
    <oc r="U11">
      <f>SUM(C11:T11)</f>
    </oc>
    <nc r="U11">
      <f>SUM(C11:T11)</f>
    </nc>
  </rcc>
  <rcc rId="3031" sId="10">
    <oc r="U12">
      <f>SUM(C12:T12)</f>
    </oc>
    <nc r="U12">
      <f>SUM(C12:T12)</f>
    </nc>
  </rcc>
  <rcc rId="3032" sId="10">
    <oc r="U13">
      <f>SUM(C13:T13)</f>
    </oc>
    <nc r="U13">
      <f>SUM(C13:T13)</f>
    </nc>
  </rcc>
  <rcc rId="3033" sId="10">
    <oc r="U14">
      <f>SUM(C14:T14)</f>
    </oc>
    <nc r="U14">
      <f>SUM(C14:T14)</f>
    </nc>
  </rcc>
  <rcc rId="3034" sId="10">
    <oc r="U15">
      <f>SUM(C15:T15)</f>
    </oc>
    <nc r="U15">
      <f>SUM(C15:T15)</f>
    </nc>
  </rcc>
  <rcc rId="3035" sId="10">
    <oc r="U16">
      <f>SUM(C16:T16)</f>
    </oc>
    <nc r="U16">
      <f>SUM(C16:T16)</f>
    </nc>
  </rcc>
  <rcc rId="3036" sId="10">
    <oc r="U17">
      <f>SUM(C17:T17)</f>
    </oc>
    <nc r="U17">
      <f>SUM(C17:T17)</f>
    </nc>
  </rcc>
  <rcc rId="3037" sId="10">
    <oc r="U18">
      <f>SUM(C18:T18)</f>
    </oc>
    <nc r="U18">
      <f>SUM(C18:T18)</f>
    </nc>
  </rcc>
  <rcc rId="3038" sId="10">
    <oc r="U19">
      <f>SUM(C19:T19)</f>
    </oc>
    <nc r="U19">
      <f>SUM(C19:T19)</f>
    </nc>
  </rcc>
  <rcc rId="3039" sId="10">
    <oc r="U20">
      <f>SUM(C20:T20)</f>
    </oc>
    <nc r="U20">
      <f>SUM(C20:T20)</f>
    </nc>
  </rcc>
  <rcc rId="3040" sId="10">
    <oc r="U21">
      <f>SUM(C21:T21)</f>
    </oc>
    <nc r="U21">
      <f>SUM(C21:T21)</f>
    </nc>
  </rcc>
  <rcc rId="3041" sId="10">
    <oc r="U22">
      <f>SUM(C22:T22)</f>
    </oc>
    <nc r="U22">
      <f>SUM(C22:T22)</f>
    </nc>
  </rcc>
  <rcc rId="3042" sId="10">
    <oc r="U23">
      <f>SUM(C23:T23)</f>
    </oc>
    <nc r="U23">
      <f>SUM(C23:T23)</f>
    </nc>
  </rcc>
  <rcc rId="3043" sId="10">
    <oc r="U24">
      <f>SUM(C24:T24)</f>
    </oc>
    <nc r="U24">
      <f>SUM(C24:T24)</f>
    </nc>
  </rcc>
  <rcc rId="3044" sId="10">
    <oc r="U25">
      <f>SUM(C25:T25)</f>
    </oc>
    <nc r="U25">
      <f>SUM(C25:T25)</f>
    </nc>
  </rcc>
  <rcc rId="3045" sId="10">
    <oc r="U26">
      <f>SUM(C26:T26)</f>
    </oc>
    <nc r="U26">
      <f>SUM(C26:T26)</f>
    </nc>
  </rcc>
  <rcc rId="3046" sId="10">
    <oc r="U27">
      <f>SUM(C27:T27)</f>
    </oc>
    <nc r="U27">
      <f>SUM(C27:T27)</f>
    </nc>
  </rcc>
  <rcc rId="3047" sId="10">
    <oc r="U28">
      <f>SUM(C28:T28)</f>
    </oc>
    <nc r="U28">
      <f>SUM(C28:T28)</f>
    </nc>
  </rcc>
  <rcc rId="3048" sId="10">
    <oc r="U29">
      <f>SUM(C29:T29)</f>
    </oc>
    <nc r="U29">
      <f>SUM(C29:T29)</f>
    </nc>
  </rcc>
  <rcc rId="3049" sId="10">
    <oc r="U30">
      <f>SUM(C30:T30)</f>
    </oc>
    <nc r="U30">
      <f>SUM(C30:T30)</f>
    </nc>
  </rcc>
  <rcc rId="3050" sId="10">
    <oc r="U31">
      <f>SUM(C31:T31)</f>
    </oc>
    <nc r="U31">
      <f>SUM(C31:T31)</f>
    </nc>
  </rcc>
  <rcc rId="3051" sId="10">
    <oc r="U32">
      <f>SUM(C32:T32)</f>
    </oc>
    <nc r="U32">
      <f>SUM(C32:T32)</f>
    </nc>
  </rcc>
  <rcc rId="3052" sId="10">
    <oc r="U33">
      <f>SUM(C33:T33)</f>
    </oc>
    <nc r="U33">
      <f>SUM(C33:T33)</f>
    </nc>
  </rcc>
  <rcc rId="3053" sId="10">
    <oc r="U34">
      <f>SUM(C34:T34)</f>
    </oc>
    <nc r="U34">
      <f>SUM(C34:T34)</f>
    </nc>
  </rcc>
  <rcc rId="3054" sId="10">
    <oc r="U35">
      <f>SUM(C35:T35)</f>
    </oc>
    <nc r="U35">
      <f>SUM(C35:T35)</f>
    </nc>
  </rcc>
  <rcc rId="3055" sId="10">
    <oc r="U36">
      <f>SUM(C36:T36)</f>
    </oc>
    <nc r="U36">
      <f>SUM(C36:T36)</f>
    </nc>
  </rcc>
  <rcc rId="3056" sId="10">
    <oc r="U37">
      <f>SUM(C37:T37)</f>
    </oc>
    <nc r="U37">
      <f>SUM(C37:T37)</f>
    </nc>
  </rcc>
  <rcc rId="3057" sId="10">
    <oc r="U38">
      <f>SUM(C38:T38)</f>
    </oc>
    <nc r="U38">
      <f>SUM(C38:T38)</f>
    </nc>
  </rcc>
  <rcc rId="3058" sId="10">
    <oc r="U39">
      <f>SUM(C39:T39)</f>
    </oc>
    <nc r="U39">
      <f>SUM(C39:T39)</f>
    </nc>
  </rcc>
  <rcc rId="3059" sId="10">
    <oc r="U40">
      <f>SUM(C40:T40)</f>
    </oc>
    <nc r="U40">
      <f>SUM(C40:T40)</f>
    </nc>
  </rcc>
  <rcc rId="3060" sId="10">
    <oc r="U41">
      <f>SUM(C41:T41)</f>
    </oc>
    <nc r="U41">
      <f>SUM(C41:T41)</f>
    </nc>
  </rcc>
  <rcc rId="3061" sId="10">
    <oc r="U42">
      <f>SUM(C42:T42)</f>
    </oc>
    <nc r="U42">
      <f>SUM(C42:T42)</f>
    </nc>
  </rcc>
  <rcc rId="3062" sId="10">
    <oc r="U43">
      <f>SUM(C43:T43)</f>
    </oc>
    <nc r="U43">
      <f>SUM(C43:T43)</f>
    </nc>
  </rcc>
  <rcc rId="3063" sId="10">
    <oc r="U44">
      <f>SUM(C44:T44)</f>
    </oc>
    <nc r="U44">
      <f>SUM(C44:T44)</f>
    </nc>
  </rcc>
  <rcc rId="3064" sId="10">
    <oc r="U45">
      <f>SUM(C45:T45)</f>
    </oc>
    <nc r="U45">
      <f>SUM(C45:T45)</f>
    </nc>
  </rcc>
  <rcc rId="3065" sId="10">
    <oc r="U46">
      <f>SUM(C46:T46)</f>
    </oc>
    <nc r="U46">
      <f>SUM(C46:T46)</f>
    </nc>
  </rcc>
  <rcc rId="3066" sId="10">
    <oc r="U47">
      <f>SUM(C47:T47)</f>
    </oc>
    <nc r="U47">
      <f>SUM(C47:T47)</f>
    </nc>
  </rcc>
  <rcc rId="3067" sId="10">
    <oc r="U48">
      <f>SUM(C48:T48)</f>
    </oc>
    <nc r="U48">
      <f>SUM(C48:T48)</f>
    </nc>
  </rcc>
  <rcc rId="3068" sId="10">
    <oc r="U49">
      <f>SUM(C49:T49)</f>
    </oc>
    <nc r="U49">
      <f>SUM(C49:T49)</f>
    </nc>
  </rcc>
  <rcc rId="3069" sId="10">
    <oc r="U50">
      <f>SUM(C50:T50)</f>
    </oc>
    <nc r="U50">
      <f>SUM(C50:T50)</f>
    </nc>
  </rcc>
  <rcc rId="3070" sId="10">
    <oc r="U51">
      <f>SUM(C51:T51)</f>
    </oc>
    <nc r="U51">
      <f>SUM(C51:T51)</f>
    </nc>
  </rcc>
  <rcc rId="3071" sId="10">
    <oc r="U52">
      <f>SUM(C52:T52)</f>
    </oc>
    <nc r="U52">
      <f>SUM(C52:T52)</f>
    </nc>
  </rcc>
  <rcc rId="3072" sId="10">
    <oc r="U53">
      <f>SUM(C53:T53)</f>
    </oc>
    <nc r="U53">
      <f>SUM(C53:T53)</f>
    </nc>
  </rcc>
  <rcc rId="3073" sId="10">
    <oc r="U54">
      <f>SUM(C54:T54)</f>
    </oc>
    <nc r="U54">
      <f>SUM(C54:T54)</f>
    </nc>
  </rcc>
  <rcc rId="3074" sId="10">
    <oc r="U55">
      <f>SUM(C55:T55)</f>
    </oc>
    <nc r="U55">
      <f>SUM(C55:T55)</f>
    </nc>
  </rcc>
  <rcc rId="3075" sId="10">
    <oc r="U56">
      <f>SUM(C56:T56)</f>
    </oc>
    <nc r="U56">
      <f>SUM(C56:T56)</f>
    </nc>
  </rcc>
  <rcc rId="3076" sId="10">
    <oc r="U57">
      <f>SUM(C57:T57)</f>
    </oc>
    <nc r="U57">
      <f>SUM(C57:T57)</f>
    </nc>
  </rcc>
  <rcc rId="3077" sId="10">
    <oc r="U58">
      <f>SUM(C58:T58)</f>
    </oc>
    <nc r="U58">
      <f>SUM(C58:T58)</f>
    </nc>
  </rcc>
  <rcc rId="3078" sId="10">
    <oc r="U59">
      <f>SUM(C59:T59)</f>
    </oc>
    <nc r="U59">
      <f>SUM(C59:T59)</f>
    </nc>
  </rcc>
  <rcc rId="3079" sId="10">
    <oc r="U60">
      <f>SUM(C60:T60)</f>
    </oc>
    <nc r="U60">
      <f>SUM(C60:T60)</f>
    </nc>
  </rcc>
  <rcc rId="3080" sId="10">
    <oc r="U61">
      <f>SUM(C61:T61)</f>
    </oc>
    <nc r="U61">
      <f>SUM(C61:T61)</f>
    </nc>
  </rcc>
  <rcc rId="3081" sId="10">
    <oc r="U62">
      <f>SUM(C62:T62)</f>
    </oc>
    <nc r="U62">
      <f>SUM(C62:T62)</f>
    </nc>
  </rcc>
  <rcc rId="3082" sId="10">
    <oc r="U63">
      <f>SUM(C63:T63)</f>
    </oc>
    <nc r="U63">
      <f>SUM(C63:T63)</f>
    </nc>
  </rcc>
  <rcc rId="3083" sId="10">
    <oc r="U64">
      <f>SUM(C64:T64)</f>
    </oc>
    <nc r="U64">
      <f>SUM(C64:T64)</f>
    </nc>
  </rcc>
  <rcc rId="3084" sId="10">
    <oc r="U65">
      <f>SUM(C65:T65)</f>
    </oc>
    <nc r="U65">
      <f>SUM(C65:T65)</f>
    </nc>
  </rcc>
  <rcc rId="3085" sId="10">
    <oc r="U66">
      <f>SUM(C66:T66)</f>
    </oc>
    <nc r="U66">
      <f>SUM(C66:T66)</f>
    </nc>
  </rcc>
  <rcc rId="3086" sId="10">
    <oc r="U67">
      <f>SUM(C67:T67)</f>
    </oc>
    <nc r="U67">
      <f>SUM(C67:T67)</f>
    </nc>
  </rcc>
  <rcc rId="3087" sId="10">
    <oc r="U68">
      <f>SUM(C68:T68)</f>
    </oc>
    <nc r="U68">
      <f>SUM(C68:T68)</f>
    </nc>
  </rcc>
  <rcc rId="3088" sId="10">
    <oc r="U69">
      <f>SUM(C69:T69)</f>
    </oc>
    <nc r="U69">
      <f>SUM(C69:T69)</f>
    </nc>
  </rcc>
  <rcc rId="3089" sId="10">
    <oc r="U70">
      <f>SUM(C70:T70)</f>
    </oc>
    <nc r="U70">
      <f>SUM(C70:T70)</f>
    </nc>
  </rcc>
  <rcc rId="3090" sId="10">
    <oc r="U71">
      <f>SUM(C71:T71)</f>
    </oc>
    <nc r="U71">
      <f>SUM(C71:T71)</f>
    </nc>
  </rcc>
  <rcc rId="3091" sId="10" odxf="1" dxf="1">
    <oc r="U72">
      <f>SUM(C72:T72)</f>
    </oc>
    <nc r="U72">
      <f>SUM(C72:T72)</f>
    </nc>
    <ndxf/>
  </rcc>
  <rcc rId="3092" sId="10">
    <oc r="U73">
      <f>SUM(C73:T73)</f>
    </oc>
    <nc r="U73">
      <f>SUM(C73:T73)</f>
    </nc>
  </rcc>
  <rcc rId="3093" sId="10">
    <oc r="U74">
      <f>SUM(C74:T74)</f>
    </oc>
    <nc r="U74">
      <f>SUM(C74:T74)</f>
    </nc>
  </rcc>
  <rcc rId="3094" sId="10">
    <oc r="U75">
      <f>SUM(C75:T75)</f>
    </oc>
    <nc r="U75">
      <f>SUM(C75:T75)</f>
    </nc>
  </rcc>
  <rcc rId="3095" sId="10">
    <oc r="U76">
      <f>SUM(C76:T76)</f>
    </oc>
    <nc r="U76">
      <f>SUM(C76:T76)</f>
    </nc>
  </rcc>
  <rcc rId="3096" sId="10">
    <oc r="U77">
      <f>SUM(C77:T77)</f>
    </oc>
    <nc r="U77">
      <f>SUM(C77:T77)</f>
    </nc>
  </rcc>
  <rcc rId="3097" sId="10">
    <oc r="U78">
      <f>SUM(C78:T78)</f>
    </oc>
    <nc r="U78">
      <f>SUM(C78:T78)</f>
    </nc>
  </rcc>
  <rcc rId="3098" sId="10">
    <oc r="U79">
      <f>SUM(C79:T79)</f>
    </oc>
    <nc r="U79">
      <f>SUM(C79:T79)</f>
    </nc>
  </rcc>
  <rcc rId="3099" sId="10">
    <oc r="U80">
      <f>SUM(C80:T80)</f>
    </oc>
    <nc r="U80">
      <f>SUM(C80:T80)</f>
    </nc>
  </rcc>
  <rcc rId="3100" sId="10">
    <oc r="U81">
      <f>SUM(C81:T81)</f>
    </oc>
    <nc r="U81">
      <f>SUM(C81:T81)</f>
    </nc>
  </rcc>
  <rcc rId="3101" sId="10">
    <oc r="U82">
      <f>SUM(C82:T82)</f>
    </oc>
    <nc r="U82">
      <f>SUM(C82:T82)</f>
    </nc>
  </rcc>
  <rcc rId="3102" sId="10">
    <oc r="U83">
      <f>SUM(C83:T83)</f>
    </oc>
    <nc r="U83">
      <f>SUM(C83:T83)</f>
    </nc>
  </rcc>
  <rcc rId="3103" sId="10">
    <oc r="U84">
      <f>SUM(C84:T84)</f>
    </oc>
    <nc r="U84">
      <f>SUM(C84:T84)</f>
    </nc>
  </rcc>
  <rcc rId="3104" sId="10">
    <oc r="U85">
      <f>SUM(C85:T85)</f>
    </oc>
    <nc r="U85">
      <f>SUM(C85:T85)</f>
    </nc>
  </rcc>
  <rcc rId="3105" sId="10">
    <oc r="U86">
      <f>SUM(C86:T86)</f>
    </oc>
    <nc r="U86">
      <f>SUM(C86:T86)</f>
    </nc>
  </rcc>
  <rcc rId="3106" sId="10">
    <oc r="U87">
      <f>SUM(C87:T87)</f>
    </oc>
    <nc r="U87">
      <f>SUM(C87:T87)</f>
    </nc>
  </rcc>
  <rcc rId="3107" sId="10">
    <oc r="U88">
      <f>SUM(C88:T88)</f>
    </oc>
    <nc r="U88">
      <f>SUM(C88:T88)</f>
    </nc>
  </rcc>
  <rcc rId="3108" sId="10">
    <oc r="U89">
      <f>SUM(C89:T89)</f>
    </oc>
    <nc r="U89">
      <f>SUM(C89:T89)</f>
    </nc>
  </rcc>
  <rcc rId="3109" sId="10">
    <oc r="U90">
      <f>SUM(C90:T90)</f>
    </oc>
    <nc r="U90">
      <f>SUM(C90:T90)</f>
    </nc>
  </rcc>
  <rcc rId="3110" sId="10">
    <oc r="U91">
      <f>SUM(C91:T91)</f>
    </oc>
    <nc r="U91">
      <f>SUM(C91:T91)</f>
    </nc>
  </rcc>
  <rcc rId="3111" sId="10">
    <oc r="U92">
      <f>SUM(C92:T92)</f>
    </oc>
    <nc r="U92">
      <f>SUM(C92:T92)</f>
    </nc>
  </rcc>
  <rcc rId="3112" sId="10">
    <oc r="U93">
      <f>SUM(C93:T93)</f>
    </oc>
    <nc r="U93">
      <f>SUM(C93:T93)</f>
    </nc>
  </rcc>
  <rcc rId="3113" sId="10">
    <oc r="U94">
      <f>SUM(C94:T94)</f>
    </oc>
    <nc r="U94">
      <f>SUM(C94:T94)</f>
    </nc>
  </rcc>
  <rcc rId="3114" sId="10">
    <oc r="U95">
      <f>SUM(C95:T95)</f>
    </oc>
    <nc r="U95">
      <f>SUM(C95:T95)</f>
    </nc>
  </rcc>
  <rcc rId="3115" sId="10">
    <oc r="U96">
      <f>SUM(C96:T96)</f>
    </oc>
    <nc r="U96">
      <f>SUM(C96:T96)</f>
    </nc>
  </rcc>
  <rcc rId="3116" sId="10">
    <oc r="U97">
      <f>SUM(C97:T97)</f>
    </oc>
    <nc r="U97">
      <f>SUM(C97:T97)</f>
    </nc>
  </rcc>
  <rcc rId="3117" sId="10">
    <oc r="U98">
      <f>SUM(C98:T98)</f>
    </oc>
    <nc r="U98">
      <f>SUM(C98:T98)</f>
    </nc>
  </rcc>
  <rcc rId="3118" sId="10">
    <oc r="U99">
      <f>SUM(C99:T99)</f>
    </oc>
    <nc r="U99">
      <f>SUM(C99:T99)</f>
    </nc>
  </rcc>
  <rcc rId="3119" sId="10">
    <oc r="U100">
      <f>SUM(C100:T100)</f>
    </oc>
    <nc r="U100">
      <f>SUM(C100:T100)</f>
    </nc>
  </rcc>
  <rcc rId="3120" sId="10">
    <oc r="U101">
      <f>SUM(C101:T101)</f>
    </oc>
    <nc r="U101">
      <f>SUM(C101:T101)</f>
    </nc>
  </rcc>
  <rcc rId="3121" sId="10">
    <oc r="U102">
      <f>SUM(C102:T102)</f>
    </oc>
    <nc r="U102">
      <f>SUM(C102:T102)</f>
    </nc>
  </rcc>
  <rcc rId="3122" sId="10">
    <oc r="U103">
      <f>SUM(C103:T103)</f>
    </oc>
    <nc r="U103">
      <f>SUM(C103:T103)</f>
    </nc>
  </rcc>
  <rcc rId="3123" sId="10" numFmtId="4">
    <oc r="U2">
      <f>SUM(C2:T2)</f>
    </oc>
    <nc r="U2">
      <v>130.50700000000001</v>
    </nc>
  </rcc>
  <rcc rId="3124" sId="10" numFmtId="4">
    <oc r="U3">
      <f>SUM(C3:T3)</f>
    </oc>
    <nc r="U3">
      <v>63.848000000000006</v>
    </nc>
  </rcc>
  <rcc rId="3125" sId="10" numFmtId="4">
    <oc r="U4">
      <f>SUM(C4:T4)</f>
    </oc>
    <nc r="U4">
      <v>108.65200000000002</v>
    </nc>
  </rcc>
  <rcc rId="3126" sId="10" numFmtId="4">
    <oc r="U5">
      <f>SUM(C5:T5)</f>
    </oc>
    <nc r="U5">
      <v>98.234000000000009</v>
    </nc>
  </rcc>
  <rcc rId="3127" sId="10" numFmtId="4">
    <oc r="U6">
      <f>SUM(C6:T6)</f>
    </oc>
    <nc r="U6">
      <v>160.029</v>
    </nc>
  </rcc>
  <rcc rId="3128" sId="10" numFmtId="4">
    <oc r="U7">
      <f>SUM(C7:T7)</f>
    </oc>
    <nc r="U7">
      <v>148.98000000000002</v>
    </nc>
  </rcc>
  <rcc rId="3129" sId="10" numFmtId="4">
    <oc r="U8">
      <f>SUM(C8:T8)</f>
    </oc>
    <nc r="U8">
      <v>63.69</v>
    </nc>
  </rcc>
  <rcc rId="3130" sId="10" numFmtId="4">
    <oc r="U9">
      <f>SUM(C9:T9)</f>
    </oc>
    <nc r="U9">
      <v>153.62300000000002</v>
    </nc>
  </rcc>
  <rcc rId="3131" sId="10" numFmtId="4">
    <oc r="U10">
      <f>SUM(C10:T10)</f>
    </oc>
    <nc r="U10">
      <v>166.36099999999999</v>
    </nc>
  </rcc>
  <rcc rId="3132" sId="10" numFmtId="4">
    <oc r="U11">
      <f>SUM(C11:T11)</f>
    </oc>
    <nc r="U11">
      <v>153.726</v>
    </nc>
  </rcc>
  <rcc rId="3133" sId="10" numFmtId="4">
    <oc r="U12">
      <f>SUM(C12:T12)</f>
    </oc>
    <nc r="U12">
      <v>183.33100000000002</v>
    </nc>
  </rcc>
  <rcc rId="3134" sId="10" numFmtId="4">
    <oc r="U13">
      <f>SUM(C13:T13)</f>
    </oc>
    <nc r="U13">
      <v>143.148</v>
    </nc>
  </rcc>
  <rcc rId="3135" sId="10" numFmtId="4">
    <oc r="U14">
      <f>SUM(C14:T14)</f>
    </oc>
    <nc r="U14">
      <v>176.739</v>
    </nc>
  </rcc>
  <rcc rId="3136" sId="10" numFmtId="4">
    <oc r="U15">
      <f>SUM(C15:T15)</f>
    </oc>
    <nc r="U15">
      <v>29.099000000000004</v>
    </nc>
  </rcc>
  <rcc rId="3137" sId="10" numFmtId="4">
    <oc r="U16">
      <f>SUM(C16:T16)</f>
    </oc>
    <nc r="U16">
      <v>81.073000000000008</v>
    </nc>
  </rcc>
  <rcc rId="3138" sId="10" numFmtId="4">
    <oc r="U17">
      <f>SUM(C17:T17)</f>
    </oc>
    <nc r="U17">
      <v>120</v>
    </nc>
  </rcc>
  <rcc rId="3139" sId="10" numFmtId="4">
    <oc r="U18">
      <f>SUM(C18:T18)</f>
    </oc>
    <nc r="U18">
      <v>129.67699999999999</v>
    </nc>
  </rcc>
  <rcc rId="3140" sId="10" numFmtId="4">
    <oc r="U19">
      <f>SUM(C19:T19)</f>
    </oc>
    <nc r="U19">
      <v>139.471</v>
    </nc>
  </rcc>
  <rcc rId="3141" sId="10" numFmtId="4">
    <oc r="U20">
      <f>SUM(C20:T20)</f>
    </oc>
    <nc r="U20">
      <v>226.23399999999995</v>
    </nc>
  </rcc>
  <rcc rId="3142" sId="10" numFmtId="4">
    <oc r="U21">
      <f>SUM(C21:T21)</f>
    </oc>
    <nc r="U21">
      <v>115.47399999999998</v>
    </nc>
  </rcc>
  <rcc rId="3143" sId="10" numFmtId="4">
    <oc r="U22">
      <f>SUM(C22:T22)</f>
    </oc>
    <nc r="U22">
      <v>124.867</v>
    </nc>
  </rcc>
  <rcc rId="3144" sId="10" numFmtId="4">
    <oc r="U23">
      <f>SUM(C23:T23)</f>
    </oc>
    <nc r="U23">
      <v>208.79099999999997</v>
    </nc>
  </rcc>
  <rcc rId="3145" sId="10" numFmtId="4">
    <oc r="U24">
      <f>SUM(C24:T24)</f>
    </oc>
    <nc r="U24">
      <v>21.881999999999998</v>
    </nc>
  </rcc>
  <rcc rId="3146" sId="10" numFmtId="4">
    <oc r="U25">
      <f>SUM(C25:T25)</f>
    </oc>
    <nc r="U25">
      <v>122.21200000000002</v>
    </nc>
  </rcc>
  <rcc rId="3147" sId="10" numFmtId="4">
    <oc r="U26">
      <f>SUM(C26:T26)</f>
    </oc>
    <nc r="U26">
      <v>59.414000000000001</v>
    </nc>
  </rcc>
  <rcc rId="3148" sId="10" numFmtId="4">
    <oc r="U27">
      <f>SUM(C27:T27)</f>
    </oc>
    <nc r="U27">
      <v>257.2</v>
    </nc>
  </rcc>
  <rcc rId="3149" sId="10" numFmtId="4">
    <oc r="U28">
      <f>SUM(C28:T28)</f>
    </oc>
    <nc r="U28">
      <v>140.01300000000001</v>
    </nc>
  </rcc>
  <rcc rId="3150" sId="10" numFmtId="4">
    <oc r="U29">
      <f>SUM(C29:T29)</f>
    </oc>
    <nc r="U29">
      <v>202.27700000000002</v>
    </nc>
  </rcc>
  <rcc rId="3151" sId="10" numFmtId="4">
    <oc r="U30">
      <f>SUM(C30:T30)</f>
    </oc>
    <nc r="U30">
      <v>153.69299999999998</v>
    </nc>
  </rcc>
  <rcc rId="3152" sId="10" numFmtId="4">
    <oc r="U31">
      <f>SUM(C31:T31)</f>
    </oc>
    <nc r="U31">
      <v>159.11599999999999</v>
    </nc>
  </rcc>
  <rcc rId="3153" sId="10" numFmtId="4">
    <oc r="U32">
      <f>SUM(C32:T32)</f>
    </oc>
    <nc r="U32">
      <v>173.95400000000001</v>
    </nc>
  </rcc>
  <rcc rId="3154" sId="10" numFmtId="4">
    <oc r="U33">
      <f>SUM(C33:T33)</f>
    </oc>
    <nc r="U33">
      <v>156.745</v>
    </nc>
  </rcc>
  <rcc rId="3155" sId="10" numFmtId="4">
    <oc r="U34">
      <f>SUM(C34:T34)</f>
    </oc>
    <nc r="U34">
      <v>160.60999999999999</v>
    </nc>
  </rcc>
  <rcc rId="3156" sId="10" numFmtId="4">
    <oc r="U35">
      <f>SUM(C35:T35)</f>
    </oc>
    <nc r="U35">
      <v>131.071</v>
    </nc>
  </rcc>
  <rcc rId="3157" sId="10" numFmtId="4">
    <oc r="U36">
      <f>SUM(C36:T36)</f>
    </oc>
    <nc r="U36">
      <v>120</v>
    </nc>
  </rcc>
  <rcc rId="3158" sId="10" numFmtId="4">
    <oc r="U37">
      <f>SUM(C37:T37)</f>
    </oc>
    <nc r="U37">
      <v>158.5</v>
    </nc>
  </rcc>
  <rcc rId="3159" sId="10" numFmtId="4">
    <oc r="U38">
      <f>SUM(C38:T38)</f>
    </oc>
    <nc r="U38">
      <v>136.447</v>
    </nc>
  </rcc>
  <rcc rId="3160" sId="10" numFmtId="4">
    <oc r="U39">
      <f>SUM(C39:T39)</f>
    </oc>
    <nc r="U39">
      <v>123.02500000000001</v>
    </nc>
  </rcc>
  <rcc rId="3161" sId="10" numFmtId="4">
    <oc r="U40">
      <f>SUM(C40:T40)</f>
    </oc>
    <nc r="U40">
      <v>143.19</v>
    </nc>
  </rcc>
  <rcc rId="3162" sId="10" numFmtId="4">
    <oc r="U41">
      <f>SUM(C41:T41)</f>
    </oc>
    <nc r="U41">
      <v>157.57900000000001</v>
    </nc>
  </rcc>
  <rcc rId="3163" sId="10" numFmtId="4">
    <oc r="U42">
      <f>SUM(C42:T42)</f>
    </oc>
    <nc r="U42">
      <v>162.26300000000001</v>
    </nc>
  </rcc>
  <rcc rId="3164" sId="10" numFmtId="4">
    <oc r="U43">
      <f>SUM(C43:T43)</f>
    </oc>
    <nc r="U43">
      <v>103.35</v>
    </nc>
  </rcc>
  <rcc rId="3165" sId="10" numFmtId="4">
    <oc r="U44">
      <f>SUM(C44:T44)</f>
    </oc>
    <nc r="U44">
      <v>130.45999999999998</v>
    </nc>
  </rcc>
  <rcc rId="3166" sId="10" numFmtId="4">
    <oc r="U45">
      <f>SUM(C45:T45)</f>
    </oc>
    <nc r="U45">
      <v>114.61</v>
    </nc>
  </rcc>
  <rcc rId="3167" sId="10" numFmtId="4">
    <oc r="U46">
      <f>SUM(C46:T46)</f>
    </oc>
    <nc r="U46">
      <v>107.08400000000002</v>
    </nc>
  </rcc>
  <rcc rId="3168" sId="10" numFmtId="4">
    <oc r="U47">
      <f>SUM(C47:T47)</f>
    </oc>
    <nc r="U47">
      <v>153.959</v>
    </nc>
  </rcc>
  <rcc rId="3169" sId="10" numFmtId="4">
    <oc r="U48">
      <f>SUM(C48:T48)</f>
    </oc>
    <nc r="U48">
      <v>153.279</v>
    </nc>
  </rcc>
  <rcc rId="3170" sId="10" numFmtId="4">
    <oc r="U49">
      <f>SUM(C49:T49)</f>
    </oc>
    <nc r="U49">
      <v>137.13</v>
    </nc>
  </rcc>
  <rcc rId="3171" sId="10" numFmtId="4">
    <oc r="U50">
      <f>SUM(C50:T50)</f>
    </oc>
    <nc r="U50">
      <v>111.99799999999999</v>
    </nc>
  </rcc>
  <rcc rId="3172" sId="10" numFmtId="4">
    <oc r="U51">
      <f>SUM(C51:T51)</f>
    </oc>
    <nc r="U51">
      <v>216</v>
    </nc>
  </rcc>
  <rcc rId="3173" sId="10" numFmtId="4">
    <oc r="U52">
      <f>SUM(C52:T52)</f>
    </oc>
    <nc r="U52">
      <v>286.59500000000014</v>
    </nc>
  </rcc>
  <rcc rId="3174" sId="10" numFmtId="4">
    <oc r="U53">
      <f>SUM(C53:T53)</f>
    </oc>
    <nc r="U53">
      <v>60.408999999999999</v>
    </nc>
  </rcc>
  <rcc rId="3175" sId="10" numFmtId="4">
    <oc r="U54">
      <f>SUM(C54:T54)</f>
    </oc>
    <nc r="U54">
      <v>230.29500000000002</v>
    </nc>
  </rcc>
  <rcc rId="3176" sId="10" numFmtId="4">
    <oc r="U55">
      <f>SUM(C55:T55)</f>
    </oc>
    <nc r="U55">
      <v>116.892</v>
    </nc>
  </rcc>
  <rcc rId="3177" sId="10" numFmtId="4">
    <oc r="U56">
      <f>SUM(C56:T56)</f>
    </oc>
    <nc r="U56">
      <v>93.443000000000012</v>
    </nc>
  </rcc>
  <rcc rId="3178" sId="10" numFmtId="4">
    <oc r="U57">
      <f>SUM(C57:T57)</f>
    </oc>
    <nc r="U57">
      <v>250</v>
    </nc>
  </rcc>
  <rcc rId="3179" sId="10" numFmtId="4">
    <oc r="U58">
      <f>SUM(C58:T58)</f>
    </oc>
    <nc r="U58">
      <v>90.345000000000013</v>
    </nc>
  </rcc>
  <rcc rId="3180" sId="10" numFmtId="4">
    <oc r="U59">
      <f>SUM(C59:T59)</f>
    </oc>
    <nc r="U59">
      <v>74.430000000000007</v>
    </nc>
  </rcc>
  <rcc rId="3181" sId="10" numFmtId="4">
    <oc r="U60">
      <f>SUM(C60:T60)</f>
    </oc>
    <nc r="U60">
      <v>169.10599999999999</v>
    </nc>
  </rcc>
  <rcc rId="3182" sId="10" numFmtId="4">
    <oc r="U61">
      <f>SUM(C61:T61)</f>
    </oc>
    <nc r="U61">
      <v>122.52199999999999</v>
    </nc>
  </rcc>
  <rcc rId="3183" sId="10" numFmtId="4">
    <oc r="U62">
      <f>SUM(C62:T62)</f>
    </oc>
    <nc r="U62">
      <v>144.96899999999999</v>
    </nc>
  </rcc>
  <rcc rId="3184" sId="10" numFmtId="4">
    <oc r="U63">
      <f>SUM(C63:T63)</f>
    </oc>
    <nc r="U63">
      <v>198.68599999999998</v>
    </nc>
  </rcc>
  <rcc rId="3185" sId="10" numFmtId="4">
    <oc r="U64">
      <f>SUM(C64:T64)</f>
    </oc>
    <nc r="U64">
      <v>103.964</v>
    </nc>
  </rcc>
  <rcc rId="3186" sId="10" numFmtId="4">
    <oc r="U65">
      <f>SUM(C65:T65)</f>
    </oc>
    <nc r="U65">
      <v>146.24299999999999</v>
    </nc>
  </rcc>
  <rcc rId="3187" sId="10" numFmtId="4">
    <oc r="U66">
      <f>SUM(C66:T66)</f>
    </oc>
    <nc r="U66">
      <v>94.31</v>
    </nc>
  </rcc>
  <rcc rId="3188" sId="10" numFmtId="4">
    <oc r="U67">
      <f>SUM(C67:T67)</f>
    </oc>
    <nc r="U67">
      <v>149.53199999999998</v>
    </nc>
  </rcc>
  <rcc rId="3189" sId="10" numFmtId="4">
    <oc r="U68">
      <f>SUM(C68:T68)</f>
    </oc>
    <nc r="U68">
      <v>145.05099999999999</v>
    </nc>
  </rcc>
  <rcc rId="3190" sId="10" numFmtId="4">
    <oc r="U69">
      <f>SUM(C69:T69)</f>
    </oc>
    <nc r="U69">
      <v>85.558999999999997</v>
    </nc>
  </rcc>
  <rcc rId="3191" sId="10" numFmtId="4">
    <oc r="U70">
      <f>SUM(C70:T70)</f>
    </oc>
    <nc r="U70">
      <v>0</v>
    </nc>
  </rcc>
  <rcc rId="3192" sId="10" numFmtId="4">
    <oc r="U71">
      <f>SUM(C71:T71)</f>
    </oc>
    <nc r="U71">
      <v>256.57100000000003</v>
    </nc>
  </rcc>
  <rcc rId="3193" sId="10" numFmtId="4">
    <oc r="U72">
      <f>SUM(C72:T72)</f>
    </oc>
    <nc r="U72">
      <v>50</v>
    </nc>
  </rcc>
  <rcc rId="3194" sId="10" numFmtId="4">
    <oc r="U73">
      <f>SUM(C73:T73)</f>
    </oc>
    <nc r="U73">
      <v>159.08199999999999</v>
    </nc>
  </rcc>
  <rcc rId="3195" sId="10" numFmtId="4">
    <oc r="U74">
      <f>SUM(C74:T74)</f>
    </oc>
    <nc r="U74">
      <v>72.990000000000009</v>
    </nc>
  </rcc>
  <rcc rId="3196" sId="10" numFmtId="4">
    <oc r="U75">
      <f>SUM(C75:T75)</f>
    </oc>
    <nc r="U75">
      <v>153.94199999999998</v>
    </nc>
  </rcc>
  <rcc rId="3197" sId="10" numFmtId="4">
    <oc r="U76">
      <f>SUM(C76:T76)</f>
    </oc>
    <nc r="U76">
      <v>127.88699999999999</v>
    </nc>
  </rcc>
  <rcc rId="3198" sId="10" numFmtId="4">
    <oc r="U77">
      <f>SUM(C77:T77)</f>
    </oc>
    <nc r="U77">
      <v>41</v>
    </nc>
  </rcc>
  <rcc rId="3199" sId="10" numFmtId="4">
    <oc r="U78">
      <f>SUM(C78:T78)</f>
    </oc>
    <nc r="U78">
      <v>139.72999999999999</v>
    </nc>
  </rcc>
  <rcc rId="3200" sId="10" numFmtId="4">
    <oc r="U79">
      <f>SUM(C79:T79)</f>
    </oc>
    <nc r="U79">
      <v>7.25</v>
    </nc>
  </rcc>
  <rcc rId="3201" sId="10" numFmtId="4">
    <oc r="U80">
      <f>SUM(C80:T80)</f>
    </oc>
    <nc r="U80">
      <v>101.65599999999999</v>
    </nc>
  </rcc>
  <rcc rId="3202" sId="10" numFmtId="4">
    <oc r="U81">
      <f>SUM(C81:T81)</f>
    </oc>
    <nc r="U81">
      <v>136.58000000000001</v>
    </nc>
  </rcc>
  <rcc rId="3203" sId="10" numFmtId="4">
    <oc r="U82">
      <f>SUM(C82:T82)</f>
    </oc>
    <nc r="U82">
      <v>54.216000000000001</v>
    </nc>
  </rcc>
  <rcc rId="3204" sId="10" numFmtId="4">
    <oc r="U83">
      <f>SUM(C83:T83)</f>
    </oc>
    <nc r="U83">
      <v>148.10400000000001</v>
    </nc>
  </rcc>
  <rcc rId="3205" sId="10" numFmtId="4">
    <oc r="U84">
      <f>SUM(C84:T84)</f>
    </oc>
    <nc r="U84">
      <v>304</v>
    </nc>
  </rcc>
  <rcc rId="3206" sId="10" numFmtId="4">
    <oc r="U85">
      <f>SUM(C85:T85)</f>
    </oc>
    <nc r="U85">
      <v>142.125</v>
    </nc>
  </rcc>
  <rcc rId="3207" sId="10" numFmtId="4">
    <oc r="U86">
      <f>SUM(C86:T86)</f>
    </oc>
    <nc r="U86">
      <v>88.334999999999994</v>
    </nc>
  </rcc>
  <rcc rId="3208" sId="10" numFmtId="4">
    <oc r="U87">
      <f>SUM(C87:T87)</f>
    </oc>
    <nc r="U87">
      <v>126.29200000000002</v>
    </nc>
  </rcc>
  <rcc rId="3209" sId="10" numFmtId="4">
    <oc r="U88">
      <f>SUM(C88:T88)</f>
    </oc>
    <nc r="U88">
      <v>243.06400000000002</v>
    </nc>
  </rcc>
  <rcc rId="3210" sId="10" numFmtId="4">
    <oc r="U89">
      <f>SUM(C89:T89)</f>
    </oc>
    <nc r="U89">
      <v>126.27400000000002</v>
    </nc>
  </rcc>
  <rcc rId="3211" sId="10" numFmtId="4">
    <oc r="U90">
      <f>SUM(C90:T90)</f>
    </oc>
    <nc r="U90">
      <v>81.95</v>
    </nc>
  </rcc>
  <rcc rId="3212" sId="10" numFmtId="4">
    <oc r="U91">
      <f>SUM(C91:T91)</f>
    </oc>
    <nc r="U91">
      <v>43.579000000000001</v>
    </nc>
  </rcc>
  <rcc rId="3213" sId="10" numFmtId="4">
    <oc r="U92">
      <f>SUM(C92:T92)</f>
    </oc>
    <nc r="U92">
      <v>158.286</v>
    </nc>
  </rcc>
  <rcc rId="3214" sId="10" numFmtId="4">
    <oc r="U93">
      <f>SUM(C93:T93)</f>
    </oc>
    <nc r="U93">
      <v>164.43599999999998</v>
    </nc>
  </rcc>
  <rcc rId="3215" sId="10" numFmtId="4">
    <oc r="U94">
      <f>SUM(C94:T94)</f>
    </oc>
    <nc r="U94">
      <v>165.02</v>
    </nc>
  </rcc>
  <rcc rId="3216" sId="10" numFmtId="4">
    <oc r="U95">
      <f>SUM(C95:T95)</f>
    </oc>
    <nc r="U95">
      <v>90.75</v>
    </nc>
  </rcc>
  <rcc rId="3217" sId="10" numFmtId="4">
    <oc r="U96">
      <f>SUM(C96:T96)</f>
    </oc>
    <nc r="U96">
      <v>114.434</v>
    </nc>
  </rcc>
  <rcc rId="3218" sId="10" numFmtId="4">
    <oc r="U97">
      <f>SUM(C97:T97)</f>
    </oc>
    <nc r="U97">
      <v>76.099999999999994</v>
    </nc>
  </rcc>
  <rcc rId="3219" sId="10" numFmtId="4">
    <oc r="U98">
      <f>SUM(C98:T98)</f>
    </oc>
    <nc r="U98">
      <v>20.13</v>
    </nc>
  </rcc>
  <rcc rId="3220" sId="10" numFmtId="4">
    <oc r="U99">
      <f>SUM(C99:T99)</f>
    </oc>
    <nc r="U99">
      <v>125.24300000000001</v>
    </nc>
  </rcc>
  <rcc rId="3221" sId="10" numFmtId="4">
    <oc r="U100">
      <f>SUM(C100:T100)</f>
    </oc>
    <nc r="U100">
      <v>24.462</v>
    </nc>
  </rcc>
  <rcc rId="3222" sId="10" numFmtId="4">
    <oc r="U101">
      <f>SUM(C101:T101)</f>
    </oc>
    <nc r="U101">
      <v>43.76</v>
    </nc>
  </rcc>
  <rcc rId="3223" sId="10" numFmtId="4">
    <oc r="U102">
      <f>SUM(C102:T102)</f>
    </oc>
    <nc r="U102">
      <v>49.013000000000005</v>
    </nc>
  </rcc>
  <rcc rId="3224" sId="10" numFmtId="4">
    <oc r="U103">
      <f>SUM(C103:T103)</f>
    </oc>
    <nc r="U103">
      <v>58.900000000000006</v>
    </nc>
  </rcc>
  <rcmt sheetId="10" cell="S72" guid="{A77563DF-EAB1-4B83-A91E-B08FFFE97E4A}" author="Ievgenii Matveichuk" newLength="30"/>
  <rcmt sheetId="10" cell="S101" guid="{1F2EFD12-E047-4476-A153-AC7BB1EF0EDF}" author="Ievgenii Matveichuk" newLength="21"/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6" sId="10" ref="A1:A1048576" action="insertCol"/>
  <rcc rId="2137" sId="10">
    <nc r="A1" t="inlineStr">
      <is>
        <t>Email</t>
      </is>
    </nc>
  </rcc>
  <rcc rId="2138" sId="10">
    <nc r="A2" t="inlineStr">
      <is>
        <t>n.chernonog@intetics.com</t>
      </is>
    </nc>
  </rcc>
  <rcc rId="2139" sId="10">
    <nc r="A3" t="inlineStr">
      <is>
        <t>n.chernonog@intetics.com</t>
      </is>
    </nc>
  </rcc>
  <rcc rId="2140" sId="10">
    <nc r="A4" t="inlineStr">
      <is>
        <t>n.chernonog@intetics.com</t>
      </is>
    </nc>
  </rcc>
  <rcc rId="2141" sId="10">
    <nc r="A5" t="inlineStr">
      <is>
        <t>n.chernonog@intetics.com</t>
      </is>
    </nc>
  </rcc>
  <rcc rId="2142" sId="10">
    <nc r="A6" t="inlineStr">
      <is>
        <t>n.chernonog@intetics.com</t>
      </is>
    </nc>
  </rcc>
  <rcc rId="2143" sId="10">
    <nc r="A7" t="inlineStr">
      <is>
        <t>n.chernonog@intetics.com</t>
      </is>
    </nc>
  </rcc>
  <rcc rId="2144" sId="10">
    <nc r="A8" t="inlineStr">
      <is>
        <t>n.chernonog@intetics.com</t>
      </is>
    </nc>
  </rcc>
  <rcc rId="2145" sId="10">
    <nc r="A9" t="inlineStr">
      <is>
        <t>n.chernonog@intetics.com</t>
      </is>
    </nc>
  </rcc>
  <rcc rId="2146" sId="10">
    <nc r="A10" t="inlineStr">
      <is>
        <t>n.chernonog@intetics.com</t>
      </is>
    </nc>
  </rcc>
  <rcc rId="2147" sId="10">
    <nc r="A11" t="inlineStr">
      <is>
        <t>n.chernonog@intetics.com</t>
      </is>
    </nc>
  </rcc>
  <rcc rId="2148" sId="10">
    <nc r="A12" t="inlineStr">
      <is>
        <t>n.chernonog@intetics.com</t>
      </is>
    </nc>
  </rcc>
  <rcc rId="2149" sId="10">
    <nc r="A13" t="inlineStr">
      <is>
        <t>n.chernonog@intetics.com</t>
      </is>
    </nc>
  </rcc>
  <rcc rId="2150" sId="10">
    <nc r="A14" t="inlineStr">
      <is>
        <t>n.chernonog@intetics.com</t>
      </is>
    </nc>
  </rcc>
  <rcc rId="2151" sId="10">
    <nc r="A15" t="inlineStr">
      <is>
        <t>n.chernonog@intetics.com</t>
      </is>
    </nc>
  </rcc>
  <rcc rId="2152" sId="10">
    <nc r="A16" t="inlineStr">
      <is>
        <t>n.chernonog@intetics.com</t>
      </is>
    </nc>
  </rcc>
  <rcc rId="2153" sId="10">
    <nc r="A17" t="inlineStr">
      <is>
        <t>n.chernonog@intetics.com</t>
      </is>
    </nc>
  </rcc>
  <rcc rId="2154" sId="10">
    <nc r="A18" t="inlineStr">
      <is>
        <t>n.chernonog@intetics.com</t>
      </is>
    </nc>
  </rcc>
  <rcc rId="2155" sId="10">
    <nc r="A19" t="inlineStr">
      <is>
        <t>n.chernonog@intetics.com</t>
      </is>
    </nc>
  </rcc>
  <rcc rId="2156" sId="10">
    <nc r="A20" t="inlineStr">
      <is>
        <t>n.chernonog@intetics.com</t>
      </is>
    </nc>
  </rcc>
  <rcc rId="2157" sId="10">
    <nc r="A21" t="inlineStr">
      <is>
        <t>n.chernonog@intetics.com</t>
      </is>
    </nc>
  </rcc>
  <rcc rId="2158" sId="10">
    <nc r="A22" t="inlineStr">
      <is>
        <t>n.chernonog@intetics.com</t>
      </is>
    </nc>
  </rcc>
  <rcc rId="2159" sId="10">
    <nc r="A23" t="inlineStr">
      <is>
        <t>n.chernonog@intetics.com</t>
      </is>
    </nc>
  </rcc>
  <rcc rId="2160" sId="10">
    <nc r="A24" t="inlineStr">
      <is>
        <t>n.chernonog@intetics.com</t>
      </is>
    </nc>
  </rcc>
  <rcc rId="2161" sId="10">
    <nc r="A25" t="inlineStr">
      <is>
        <t>n.chernonog@intetics.com</t>
      </is>
    </nc>
  </rcc>
  <rcc rId="2162" sId="10">
    <nc r="A26" t="inlineStr">
      <is>
        <t>n.chernonog@intetics.com</t>
      </is>
    </nc>
  </rcc>
  <rcc rId="2163" sId="10">
    <nc r="A27" t="inlineStr">
      <is>
        <t>n.chernonog@intetics.com</t>
      </is>
    </nc>
  </rcc>
  <rcc rId="2164" sId="10">
    <nc r="A28" t="inlineStr">
      <is>
        <t>n.chernonog@intetics.com</t>
      </is>
    </nc>
  </rcc>
  <rcc rId="2165" sId="10">
    <nc r="A29" t="inlineStr">
      <is>
        <t>n.chernonog@intetics.com</t>
      </is>
    </nc>
  </rcc>
  <rcc rId="2166" sId="10">
    <nc r="A30" t="inlineStr">
      <is>
        <t>n.chernonog@intetics.com</t>
      </is>
    </nc>
  </rcc>
  <rcc rId="2167" sId="10">
    <nc r="A31" t="inlineStr">
      <is>
        <t>n.chernonog@intetics.com</t>
      </is>
    </nc>
  </rcc>
  <rcc rId="2168" sId="10">
    <nc r="A32" t="inlineStr">
      <is>
        <t>n.chernonog@intetics.com</t>
      </is>
    </nc>
  </rcc>
  <rcc rId="2169" sId="10">
    <nc r="A33" t="inlineStr">
      <is>
        <t>n.chernonog@intetics.com</t>
      </is>
    </nc>
  </rcc>
  <rcc rId="2170" sId="10">
    <nc r="A34" t="inlineStr">
      <is>
        <t>n.chernonog@intetics.com</t>
      </is>
    </nc>
  </rcc>
  <rcc rId="2171" sId="10">
    <nc r="A35" t="inlineStr">
      <is>
        <t>n.chernonog@intetics.com</t>
      </is>
    </nc>
  </rcc>
  <rcc rId="2172" sId="10">
    <nc r="A36" t="inlineStr">
      <is>
        <t>n.chernonog@intetics.com</t>
      </is>
    </nc>
  </rcc>
  <rcc rId="2173" sId="10">
    <nc r="A37" t="inlineStr">
      <is>
        <t>n.chernonog@intetics.com</t>
      </is>
    </nc>
  </rcc>
  <rcc rId="2174" sId="10">
    <nc r="A38" t="inlineStr">
      <is>
        <t>n.chernonog@intetics.com</t>
      </is>
    </nc>
  </rcc>
  <rcc rId="2175" sId="10">
    <nc r="A39" t="inlineStr">
      <is>
        <t>n.chernonog@intetics.com</t>
      </is>
    </nc>
  </rcc>
  <rcc rId="2176" sId="10">
    <nc r="A40" t="inlineStr">
      <is>
        <t>n.chernonog@intetics.com</t>
      </is>
    </nc>
  </rcc>
  <rcc rId="2177" sId="10">
    <nc r="A41" t="inlineStr">
      <is>
        <t>n.chernonog@intetics.com</t>
      </is>
    </nc>
  </rcc>
  <rcc rId="2178" sId="10">
    <nc r="A42" t="inlineStr">
      <is>
        <t>n.chernonog@intetics.com</t>
      </is>
    </nc>
  </rcc>
  <rcc rId="2179" sId="10">
    <nc r="A43" t="inlineStr">
      <is>
        <t>n.chernonog@intetics.com</t>
      </is>
    </nc>
  </rcc>
  <rcc rId="2180" sId="10">
    <nc r="A44" t="inlineStr">
      <is>
        <t>n.chernonog@intetics.com</t>
      </is>
    </nc>
  </rcc>
  <rcc rId="2181" sId="10">
    <nc r="A45" t="inlineStr">
      <is>
        <t>n.chernonog@intetics.com</t>
      </is>
    </nc>
  </rcc>
  <rcc rId="2182" sId="10">
    <nc r="A46" t="inlineStr">
      <is>
        <t>n.chernonog@intetics.com</t>
      </is>
    </nc>
  </rcc>
  <rcc rId="2183" sId="10">
    <nc r="A47" t="inlineStr">
      <is>
        <t>n.chernonog@intetics.com</t>
      </is>
    </nc>
  </rcc>
  <rcc rId="2184" sId="10">
    <nc r="A48" t="inlineStr">
      <is>
        <t>n.chernonog@intetics.com</t>
      </is>
    </nc>
  </rcc>
  <rcc rId="2185" sId="10">
    <nc r="A49" t="inlineStr">
      <is>
        <t>n.chernonog@intetics.com</t>
      </is>
    </nc>
  </rcc>
  <rcc rId="2186" sId="10">
    <nc r="A50" t="inlineStr">
      <is>
        <t>n.chernonog@intetics.com</t>
      </is>
    </nc>
  </rcc>
  <rcc rId="2187" sId="10">
    <nc r="A51" t="inlineStr">
      <is>
        <t>n.chernonog@intetics.com</t>
      </is>
    </nc>
  </rcc>
  <rcc rId="2188" sId="10">
    <nc r="A52" t="inlineStr">
      <is>
        <t>n.chernonog@intetics.com</t>
      </is>
    </nc>
  </rcc>
  <rcc rId="2189" sId="10">
    <nc r="A53" t="inlineStr">
      <is>
        <t>n.chernonog@intetics.com</t>
      </is>
    </nc>
  </rcc>
  <rcc rId="2190" sId="10">
    <nc r="A54" t="inlineStr">
      <is>
        <t>n.chernonog@intetics.com</t>
      </is>
    </nc>
  </rcc>
  <rcc rId="2191" sId="10">
    <nc r="A55" t="inlineStr">
      <is>
        <t>n.chernonog@intetics.com</t>
      </is>
    </nc>
  </rcc>
  <rcc rId="2192" sId="10">
    <nc r="A56" t="inlineStr">
      <is>
        <t>n.chernonog@intetics.com</t>
      </is>
    </nc>
  </rcc>
  <rcc rId="2193" sId="10">
    <nc r="A57" t="inlineStr">
      <is>
        <t>n.chernonog@intetics.com</t>
      </is>
    </nc>
  </rcc>
  <rcc rId="2194" sId="10">
    <nc r="A58" t="inlineStr">
      <is>
        <t>n.chernonog@intetics.com</t>
      </is>
    </nc>
  </rcc>
  <rcc rId="2195" sId="10">
    <nc r="A59" t="inlineStr">
      <is>
        <t>n.chernonog@intetics.com</t>
      </is>
    </nc>
  </rcc>
  <rcc rId="2196" sId="10">
    <nc r="A60" t="inlineStr">
      <is>
        <t>n.chernonog@intetics.com</t>
      </is>
    </nc>
  </rcc>
  <rcc rId="2197" sId="10">
    <nc r="A61" t="inlineStr">
      <is>
        <t>n.chernonog@intetics.com</t>
      </is>
    </nc>
  </rcc>
  <rcc rId="2198" sId="10">
    <nc r="A62" t="inlineStr">
      <is>
        <t>n.chernonog@intetics.com</t>
      </is>
    </nc>
  </rcc>
  <rcc rId="2199" sId="10">
    <nc r="A63" t="inlineStr">
      <is>
        <t>n.chernonog@intetics.com</t>
      </is>
    </nc>
  </rcc>
  <rcc rId="2200" sId="10">
    <nc r="A64" t="inlineStr">
      <is>
        <t>n.chernonog@intetics.com</t>
      </is>
    </nc>
  </rcc>
  <rcc rId="2201" sId="10">
    <nc r="A65" t="inlineStr">
      <is>
        <t>n.chernonog@intetics.com</t>
      </is>
    </nc>
  </rcc>
  <rcc rId="2202" sId="10">
    <nc r="A66" t="inlineStr">
      <is>
        <t>n.chernonog@intetics.com</t>
      </is>
    </nc>
  </rcc>
  <rcc rId="2203" sId="10">
    <nc r="A67" t="inlineStr">
      <is>
        <t>n.chernonog@intetics.com</t>
      </is>
    </nc>
  </rcc>
  <rcc rId="2204" sId="10">
    <nc r="A68" t="inlineStr">
      <is>
        <t>n.chernonog@intetics.com</t>
      </is>
    </nc>
  </rcc>
  <rcc rId="2205" sId="10">
    <nc r="A69" t="inlineStr">
      <is>
        <t>n.chernonog@intetics.com</t>
      </is>
    </nc>
  </rcc>
  <rcc rId="2206" sId="10">
    <nc r="A70" t="inlineStr">
      <is>
        <t>n.chernonog@intetics.com</t>
      </is>
    </nc>
  </rcc>
  <rcc rId="2207" sId="10">
    <nc r="A71" t="inlineStr">
      <is>
        <t>n.chernonog@intetics.com</t>
      </is>
    </nc>
  </rcc>
  <rcc rId="2208" sId="10">
    <nc r="A72" t="inlineStr">
      <is>
        <t>n.chernonog@intetics.com</t>
      </is>
    </nc>
  </rcc>
  <rcc rId="2209" sId="10">
    <nc r="A73" t="inlineStr">
      <is>
        <t>n.chernonog@intetics.com</t>
      </is>
    </nc>
  </rcc>
  <rcc rId="2210" sId="10">
    <nc r="A74" t="inlineStr">
      <is>
        <t>n.chernonog@intetics.com</t>
      </is>
    </nc>
  </rcc>
  <rcc rId="2211" sId="10">
    <nc r="A75" t="inlineStr">
      <is>
        <t>n.chernonog@intetics.com</t>
      </is>
    </nc>
  </rcc>
  <rcc rId="2212" sId="10">
    <nc r="A76" t="inlineStr">
      <is>
        <t>n.chernonog@intetics.com</t>
      </is>
    </nc>
  </rcc>
  <rcc rId="2213" sId="10">
    <nc r="A77" t="inlineStr">
      <is>
        <t>n.chernonog@intetics.com</t>
      </is>
    </nc>
  </rcc>
  <rcc rId="2214" sId="10">
    <nc r="A78" t="inlineStr">
      <is>
        <t>n.chernonog@intetics.com</t>
      </is>
    </nc>
  </rcc>
  <rcc rId="2215" sId="10">
    <nc r="A79" t="inlineStr">
      <is>
        <t>n.chernonog@intetics.com</t>
      </is>
    </nc>
  </rcc>
  <rcc rId="2216" sId="10">
    <nc r="A80" t="inlineStr">
      <is>
        <t>n.chernonog@intetics.com</t>
      </is>
    </nc>
  </rcc>
  <rcc rId="2217" sId="10">
    <nc r="A81" t="inlineStr">
      <is>
        <t>n.chernonog@intetics.com</t>
      </is>
    </nc>
  </rcc>
  <rcc rId="2218" sId="10">
    <nc r="A82" t="inlineStr">
      <is>
        <t>n.chernonog@intetics.com</t>
      </is>
    </nc>
  </rcc>
  <rcc rId="2219" sId="10">
    <nc r="A83" t="inlineStr">
      <is>
        <t>n.chernonog@intetics.com</t>
      </is>
    </nc>
  </rcc>
  <rcc rId="2220" sId="10">
    <nc r="A84" t="inlineStr">
      <is>
        <t>n.chernonog@intetics.com</t>
      </is>
    </nc>
  </rcc>
  <rcc rId="2221" sId="10">
    <nc r="A85" t="inlineStr">
      <is>
        <t>n.chernonog@intetics.com</t>
      </is>
    </nc>
  </rcc>
  <rcc rId="2222" sId="10">
    <nc r="A86" t="inlineStr">
      <is>
        <t>n.chernonog@intetics.com</t>
      </is>
    </nc>
  </rcc>
  <rcc rId="2223" sId="10">
    <nc r="A87" t="inlineStr">
      <is>
        <t>n.chernonog@intetics.com</t>
      </is>
    </nc>
  </rcc>
  <rcc rId="2224" sId="10">
    <nc r="A88" t="inlineStr">
      <is>
        <t>n.chernonog@intetics.com</t>
      </is>
    </nc>
  </rcc>
  <rcc rId="2225" sId="10">
    <nc r="A89" t="inlineStr">
      <is>
        <t>n.chernonog@intetics.com</t>
      </is>
    </nc>
  </rcc>
  <rcc rId="2226" sId="10">
    <nc r="A90" t="inlineStr">
      <is>
        <t>n.chernonog@intetics.com</t>
      </is>
    </nc>
  </rcc>
  <rcc rId="2227" sId="10">
    <nc r="A91" t="inlineStr">
      <is>
        <t>n.chernonog@intetics.com</t>
      </is>
    </nc>
  </rcc>
  <rcc rId="2228" sId="10">
    <nc r="A92" t="inlineStr">
      <is>
        <t>n.chernonog@intetics.com</t>
      </is>
    </nc>
  </rcc>
  <rcc rId="2229" sId="10">
    <nc r="A93" t="inlineStr">
      <is>
        <t>n.chernonog@intetics.com</t>
      </is>
    </nc>
  </rcc>
  <rcc rId="2230" sId="10">
    <nc r="A94" t="inlineStr">
      <is>
        <t>n.chernonog@intetics.com</t>
      </is>
    </nc>
  </rcc>
  <rcc rId="2231" sId="10">
    <nc r="A95" t="inlineStr">
      <is>
        <t>n.chernonog@intetics.com</t>
      </is>
    </nc>
  </rcc>
  <rcc rId="2232" sId="10">
    <nc r="A96" t="inlineStr">
      <is>
        <t>n.chernonog@intetics.com</t>
      </is>
    </nc>
  </rcc>
  <rcc rId="2233" sId="10">
    <nc r="A97" t="inlineStr">
      <is>
        <t>n.chernonog@intetics.com</t>
      </is>
    </nc>
  </rcc>
  <rcc rId="2234" sId="10">
    <nc r="A98" t="inlineStr">
      <is>
        <t>n.chernonog@intetics.com</t>
      </is>
    </nc>
  </rcc>
  <rcc rId="2235" sId="10">
    <nc r="A99" t="inlineStr">
      <is>
        <t>n.chernonog@intetics.com</t>
      </is>
    </nc>
  </rcc>
  <rcc rId="2236" sId="10">
    <nc r="A100" t="inlineStr">
      <is>
        <t>n.chernonog@intetics.com</t>
      </is>
    </nc>
  </rcc>
  <rcc rId="2237" sId="10">
    <nc r="A101" t="inlineStr">
      <is>
        <t>n.chernonog@intetics.com</t>
      </is>
    </nc>
  </rcc>
  <rcc rId="2238" sId="10">
    <nc r="A102" t="inlineStr">
      <is>
        <t>n.chernonog@intetics.com</t>
      </is>
    </nc>
  </rcc>
  <rcc rId="2239" sId="10">
    <nc r="A103" t="inlineStr">
      <is>
        <t>n.chernonog@intetics.com</t>
      </is>
    </nc>
  </rcc>
  <rdn rId="0" localSheetId="1" customView="1" name="Z_DA8006FA_F549_4B7E_8C3D_B376CE1F2F36_.wvu.FilterData" hidden="1" oldHidden="1">
    <formula>November!$A$1:$Z$109</formula>
  </rdn>
  <rdn rId="0" localSheetId="2" customView="1" name="Z_DA8006FA_F549_4B7E_8C3D_B376CE1F2F36_.wvu.FilterData" hidden="1" oldHidden="1">
    <formula>'December '!$A$1:$U$107</formula>
  </rdn>
  <rdn rId="0" localSheetId="3" customView="1" name="Z_DA8006FA_F549_4B7E_8C3D_B376CE1F2F36_.wvu.FilterData" hidden="1" oldHidden="1">
    <formula>Jan_15!$A$1:$AM$105</formula>
  </rdn>
  <rdn rId="0" localSheetId="4" customView="1" name="Z_DA8006FA_F549_4B7E_8C3D_B376CE1F2F36_.wvu.FilterData" hidden="1" oldHidden="1">
    <formula>Feb_15!$A$1:$X$107</formula>
  </rdn>
  <rdn rId="0" localSheetId="5" customView="1" name="Z_DA8006FA_F549_4B7E_8C3D_B376CE1F2F36_.wvu.FilterData" hidden="1" oldHidden="1">
    <formula>Mar_15!$A$1:$U$106</formula>
  </rdn>
  <rdn rId="0" localSheetId="6" customView="1" name="Z_DA8006FA_F549_4B7E_8C3D_B376CE1F2F36_.wvu.FilterData" hidden="1" oldHidden="1">
    <formula>Apr_15!$A$1:$S$107</formula>
  </rdn>
  <rdn rId="0" localSheetId="7" customView="1" name="Z_DA8006FA_F549_4B7E_8C3D_B376CE1F2F36_.wvu.FilterData" hidden="1" oldHidden="1">
    <formula>May_15!$A$1:$R$106</formula>
  </rdn>
  <rdn rId="0" localSheetId="8" customView="1" name="Z_DA8006FA_F549_4B7E_8C3D_B376CE1F2F36_.wvu.FilterData" hidden="1" oldHidden="1">
    <formula>June_15!$A$1:$S$105</formula>
  </rdn>
  <rdn rId="0" localSheetId="9" customView="1" name="Z_DA8006FA_F549_4B7E_8C3D_B376CE1F2F36_.wvu.FilterData" hidden="1" oldHidden="1">
    <formula>July_15!$A$1:$P$103</formula>
  </rdn>
  <rdn rId="0" localSheetId="10" customView="1" name="Z_DA8006FA_F549_4B7E_8C3D_B376CE1F2F36_.wvu.FilterData" hidden="1" oldHidden="1">
    <formula>August_15!$B$1:$R$106</formula>
  </rdn>
  <rcv guid="{DA8006FA-F549-4B7E-8C3D-B376CE1F2F36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0D6497A-CBCC-49E7-A8CD-63BEF0AA8613}" name="Natalia Chernonog" id="-491201252" dateTime="2015-08-18T12:33:23"/>
  <userInfo guid="{11945FC0-074B-4ADC-8210-C0ACC309C985}" name="Natalia Chernonog" id="-491240128" dateTime="2015-12-15T19:53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2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15" sqref="B115"/>
    </sheetView>
  </sheetViews>
  <sheetFormatPr defaultRowHeight="15" x14ac:dyDescent="0.25"/>
  <cols>
    <col min="1" max="1" width="24" style="4" bestFit="1" customWidth="1"/>
    <col min="2" max="2" width="13.28515625" style="4" customWidth="1"/>
    <col min="3" max="7" width="9.140625" style="4"/>
    <col min="11" max="11" width="8.85546875" style="17"/>
    <col min="12" max="15" width="9.140625" style="4"/>
    <col min="16" max="16" width="9.140625" style="17"/>
    <col min="20" max="20" width="9.140625" customWidth="1"/>
    <col min="21" max="21" width="9.7109375" bestFit="1" customWidth="1"/>
    <col min="22" max="23" width="4.140625" customWidth="1"/>
    <col min="24" max="25" width="3.28515625" customWidth="1"/>
    <col min="26" max="26" width="3.140625" bestFit="1" customWidth="1"/>
    <col min="27" max="27" width="3" bestFit="1" customWidth="1"/>
    <col min="28" max="28" width="3.42578125" bestFit="1" customWidth="1"/>
  </cols>
  <sheetData>
    <row r="1" spans="1:28" s="4" customFormat="1" ht="57" thickBot="1" x14ac:dyDescent="0.3">
      <c r="A1" s="20" t="s">
        <v>0</v>
      </c>
      <c r="B1" s="37" t="s">
        <v>102</v>
      </c>
      <c r="C1" s="37" t="s">
        <v>204</v>
      </c>
      <c r="D1" s="37" t="s">
        <v>205</v>
      </c>
      <c r="E1" s="37" t="s">
        <v>206</v>
      </c>
      <c r="F1" s="37" t="s">
        <v>208</v>
      </c>
      <c r="G1" s="37" t="s">
        <v>207</v>
      </c>
      <c r="H1" s="37" t="s">
        <v>209</v>
      </c>
      <c r="I1" s="37" t="s">
        <v>118</v>
      </c>
      <c r="J1" s="37" t="s">
        <v>113</v>
      </c>
      <c r="K1" s="37" t="s">
        <v>215</v>
      </c>
      <c r="L1" s="37" t="s">
        <v>210</v>
      </c>
      <c r="M1" s="37" t="s">
        <v>211</v>
      </c>
      <c r="N1" s="37" t="s">
        <v>212</v>
      </c>
      <c r="O1" s="37" t="s">
        <v>213</v>
      </c>
      <c r="P1" s="37" t="s">
        <v>214</v>
      </c>
      <c r="Q1" s="37" t="s">
        <v>83</v>
      </c>
      <c r="R1" s="21" t="s">
        <v>1</v>
      </c>
    </row>
    <row r="2" spans="1:28" s="4" customFormat="1" x14ac:dyDescent="0.25">
      <c r="A2" s="2" t="s">
        <v>2</v>
      </c>
      <c r="B2" s="2"/>
      <c r="C2" s="2"/>
      <c r="D2" s="2"/>
      <c r="E2" s="2"/>
      <c r="F2" s="7"/>
      <c r="G2" s="2"/>
      <c r="H2" s="2"/>
      <c r="I2" s="2"/>
      <c r="J2" s="2"/>
      <c r="K2" s="2"/>
      <c r="L2" s="2"/>
      <c r="M2" s="2"/>
      <c r="N2" s="2">
        <v>15.15</v>
      </c>
      <c r="O2" s="2">
        <v>147.52000000000001</v>
      </c>
      <c r="P2" s="2"/>
      <c r="Q2" s="2"/>
      <c r="R2" s="2">
        <f>SUM(B2:Q2)</f>
        <v>162.67000000000002</v>
      </c>
      <c r="T2" s="16"/>
      <c r="U2" s="6"/>
      <c r="V2" s="22" t="s">
        <v>3</v>
      </c>
      <c r="W2" s="23"/>
      <c r="X2" s="23"/>
      <c r="Y2" s="23"/>
      <c r="Z2" s="23"/>
      <c r="AA2" s="23"/>
      <c r="AB2" s="24"/>
    </row>
    <row r="3" spans="1:28" s="4" customFormat="1" x14ac:dyDescent="0.25">
      <c r="A3" s="10" t="s">
        <v>4</v>
      </c>
      <c r="B3" s="2"/>
      <c r="C3" s="2">
        <v>57.17</v>
      </c>
      <c r="D3" s="2"/>
      <c r="E3" s="2"/>
      <c r="F3" s="7"/>
      <c r="G3" s="2"/>
      <c r="H3" s="2"/>
      <c r="I3" s="2"/>
      <c r="J3" s="2"/>
      <c r="K3" s="2">
        <v>76</v>
      </c>
      <c r="L3" s="2"/>
      <c r="M3" s="2"/>
      <c r="N3" s="2"/>
      <c r="O3" s="2"/>
      <c r="P3" s="2"/>
      <c r="Q3" s="2"/>
      <c r="R3" s="2">
        <f t="shared" ref="R3:R64" si="0">SUM(B3:Q3)</f>
        <v>133.17000000000002</v>
      </c>
      <c r="T3" s="16"/>
      <c r="U3" s="6"/>
      <c r="V3" s="25"/>
      <c r="W3" s="26"/>
      <c r="X3" s="26"/>
      <c r="Y3" s="26"/>
      <c r="Z3" s="26"/>
      <c r="AA3" s="26"/>
      <c r="AB3" s="27"/>
    </row>
    <row r="4" spans="1:28" s="4" customFormat="1" x14ac:dyDescent="0.25">
      <c r="A4" s="2" t="s">
        <v>9</v>
      </c>
      <c r="B4" s="2"/>
      <c r="C4" s="2"/>
      <c r="D4" s="2"/>
      <c r="E4" s="2"/>
      <c r="F4" s="7"/>
      <c r="G4" s="2"/>
      <c r="H4" s="2"/>
      <c r="I4" s="2">
        <f>168.72+17.5</f>
        <v>186.22</v>
      </c>
      <c r="J4" s="2"/>
      <c r="K4" s="2">
        <v>82</v>
      </c>
      <c r="L4" s="2"/>
      <c r="M4" s="2"/>
      <c r="N4" s="2"/>
      <c r="O4" s="2"/>
      <c r="P4" s="2"/>
      <c r="Q4" s="2"/>
      <c r="R4" s="2">
        <f t="shared" si="0"/>
        <v>268.22000000000003</v>
      </c>
      <c r="T4" s="16"/>
      <c r="U4" s="6"/>
      <c r="V4" s="28" t="s">
        <v>5</v>
      </c>
      <c r="W4" s="13" t="s">
        <v>6</v>
      </c>
      <c r="X4" s="18" t="s">
        <v>119</v>
      </c>
      <c r="Y4" s="18" t="s">
        <v>7</v>
      </c>
      <c r="Z4" s="18" t="s">
        <v>74</v>
      </c>
      <c r="AA4" s="18" t="s">
        <v>103</v>
      </c>
      <c r="AB4" s="1" t="s">
        <v>8</v>
      </c>
    </row>
    <row r="5" spans="1:28" s="4" customFormat="1" ht="15.75" thickBot="1" x14ac:dyDescent="0.3">
      <c r="A5" s="2" t="s">
        <v>10</v>
      </c>
      <c r="B5" s="2"/>
      <c r="C5" s="2"/>
      <c r="D5" s="2"/>
      <c r="E5" s="2">
        <v>77.08</v>
      </c>
      <c r="F5" s="7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f t="shared" si="0"/>
        <v>85.08</v>
      </c>
      <c r="T5" s="16"/>
      <c r="U5" s="6"/>
      <c r="V5" s="29" t="s">
        <v>71</v>
      </c>
      <c r="W5" s="14" t="s">
        <v>71</v>
      </c>
      <c r="X5" s="14" t="s">
        <v>71</v>
      </c>
      <c r="Y5" s="30" t="s">
        <v>71</v>
      </c>
      <c r="Z5" s="30" t="s">
        <v>71</v>
      </c>
      <c r="AA5" s="34" t="s">
        <v>71</v>
      </c>
      <c r="AB5" s="31" t="s">
        <v>71</v>
      </c>
    </row>
    <row r="6" spans="1:28" s="4" customFormat="1" x14ac:dyDescent="0.25">
      <c r="A6" s="2" t="s">
        <v>87</v>
      </c>
      <c r="B6" s="2"/>
      <c r="C6" s="2"/>
      <c r="D6" s="2"/>
      <c r="E6" s="2"/>
      <c r="F6" s="7"/>
      <c r="G6" s="2"/>
      <c r="H6" s="2"/>
      <c r="I6" s="2"/>
      <c r="J6" s="2"/>
      <c r="K6" s="2"/>
      <c r="L6" s="2"/>
      <c r="M6" s="2">
        <v>190</v>
      </c>
      <c r="N6" s="2"/>
      <c r="O6" s="2"/>
      <c r="P6" s="2"/>
      <c r="Q6" s="2"/>
      <c r="R6" s="2">
        <f t="shared" si="0"/>
        <v>190</v>
      </c>
      <c r="T6" s="16"/>
      <c r="U6" s="6"/>
    </row>
    <row r="7" spans="1:28" s="4" customFormat="1" x14ac:dyDescent="0.25">
      <c r="A7" s="2" t="s">
        <v>11</v>
      </c>
      <c r="B7" s="2"/>
      <c r="C7" s="2">
        <v>106</v>
      </c>
      <c r="D7" s="2">
        <v>38.78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f t="shared" si="0"/>
        <v>144.78</v>
      </c>
      <c r="T7" s="16"/>
      <c r="U7" s="6"/>
    </row>
    <row r="8" spans="1:28" s="4" customFormat="1" x14ac:dyDescent="0.25">
      <c r="A8" s="2" t="s">
        <v>99</v>
      </c>
      <c r="B8" s="2"/>
      <c r="C8" s="2"/>
      <c r="D8" s="2"/>
      <c r="E8" s="2"/>
      <c r="F8" s="2"/>
      <c r="G8" s="2">
        <v>219.34</v>
      </c>
      <c r="H8" s="2"/>
      <c r="I8" s="2"/>
      <c r="J8" s="2"/>
      <c r="K8" s="2"/>
      <c r="L8" s="2"/>
      <c r="M8" s="2"/>
      <c r="N8" s="2"/>
      <c r="O8" s="2"/>
      <c r="P8" s="2"/>
      <c r="Q8" s="2"/>
      <c r="R8" s="2">
        <f t="shared" si="0"/>
        <v>219.34</v>
      </c>
      <c r="T8" s="16"/>
      <c r="U8" s="6"/>
    </row>
    <row r="9" spans="1:28" s="4" customFormat="1" x14ac:dyDescent="0.25">
      <c r="A9" s="2" t="s">
        <v>75</v>
      </c>
      <c r="B9" s="2"/>
      <c r="C9" s="2"/>
      <c r="D9" s="2"/>
      <c r="E9" s="2"/>
      <c r="F9" s="7"/>
      <c r="G9" s="2"/>
      <c r="H9" s="2"/>
      <c r="I9" s="2"/>
      <c r="J9" s="2"/>
      <c r="K9" s="2">
        <v>80</v>
      </c>
      <c r="L9" s="2"/>
      <c r="M9" s="2"/>
      <c r="N9" s="2"/>
      <c r="O9" s="2"/>
      <c r="P9" s="2"/>
      <c r="Q9" s="2"/>
      <c r="R9" s="2">
        <f t="shared" si="0"/>
        <v>80</v>
      </c>
      <c r="T9" s="16"/>
      <c r="U9" s="6"/>
    </row>
    <row r="10" spans="1:28" s="4" customFormat="1" x14ac:dyDescent="0.25">
      <c r="A10" s="2" t="s">
        <v>115</v>
      </c>
      <c r="B10" s="2"/>
      <c r="C10" s="2"/>
      <c r="D10" s="2"/>
      <c r="E10" s="2"/>
      <c r="F10" s="7"/>
      <c r="G10" s="2"/>
      <c r="H10" s="2"/>
      <c r="I10" s="2"/>
      <c r="J10" s="2"/>
      <c r="K10" s="2"/>
      <c r="L10" s="2"/>
      <c r="M10" s="2"/>
      <c r="N10" s="2"/>
      <c r="O10" s="2">
        <v>270.83999999999997</v>
      </c>
      <c r="P10" s="2"/>
      <c r="Q10" s="2"/>
      <c r="R10" s="2">
        <f t="shared" si="0"/>
        <v>270.83999999999997</v>
      </c>
      <c r="T10" s="16"/>
      <c r="U10" s="6"/>
    </row>
    <row r="11" spans="1:28" s="4" customFormat="1" x14ac:dyDescent="0.25">
      <c r="A11" s="2" t="s">
        <v>12</v>
      </c>
      <c r="B11" s="2"/>
      <c r="C11" s="2">
        <v>19</v>
      </c>
      <c r="D11" s="2"/>
      <c r="E11" s="2"/>
      <c r="F11" s="5"/>
      <c r="G11" s="2"/>
      <c r="H11" s="2"/>
      <c r="I11" s="12"/>
      <c r="J11" s="2"/>
      <c r="K11" s="2">
        <v>75</v>
      </c>
      <c r="L11" s="2"/>
      <c r="M11" s="2"/>
      <c r="N11" s="2"/>
      <c r="O11" s="2">
        <v>58.16</v>
      </c>
      <c r="P11" s="2">
        <v>54.5</v>
      </c>
      <c r="Q11" s="2"/>
      <c r="R11" s="2">
        <f t="shared" si="0"/>
        <v>206.66</v>
      </c>
      <c r="T11" s="16"/>
      <c r="U11" s="6"/>
    </row>
    <row r="12" spans="1:28" s="4" customFormat="1" x14ac:dyDescent="0.25">
      <c r="A12" s="2" t="s">
        <v>13</v>
      </c>
      <c r="B12" s="2"/>
      <c r="C12" s="2"/>
      <c r="D12" s="2"/>
      <c r="E12" s="2">
        <v>169.34</v>
      </c>
      <c r="F12" s="7"/>
      <c r="G12" s="2"/>
      <c r="H12" s="2"/>
      <c r="I12" s="2"/>
      <c r="J12" s="2"/>
      <c r="K12" s="2">
        <v>38</v>
      </c>
      <c r="L12" s="2"/>
      <c r="M12" s="2"/>
      <c r="N12" s="2"/>
      <c r="O12" s="2"/>
      <c r="P12" s="2"/>
      <c r="Q12" s="2"/>
      <c r="R12" s="2">
        <f t="shared" si="0"/>
        <v>207.34</v>
      </c>
      <c r="T12" s="16"/>
      <c r="U12" s="6"/>
    </row>
    <row r="13" spans="1:28" s="4" customFormat="1" x14ac:dyDescent="0.25">
      <c r="A13" s="2" t="s">
        <v>14</v>
      </c>
      <c r="B13" s="2"/>
      <c r="C13" s="2"/>
      <c r="D13" s="2"/>
      <c r="E13" s="2"/>
      <c r="F13" s="7"/>
      <c r="G13" s="2"/>
      <c r="H13" s="2"/>
      <c r="I13" s="12"/>
      <c r="J13" s="2"/>
      <c r="K13" s="2"/>
      <c r="L13" s="2"/>
      <c r="M13" s="2"/>
      <c r="N13" s="2"/>
      <c r="O13" s="2">
        <v>223.75</v>
      </c>
      <c r="P13" s="2"/>
      <c r="Q13" s="2"/>
      <c r="R13" s="2">
        <f t="shared" si="0"/>
        <v>223.75</v>
      </c>
      <c r="T13" s="16"/>
      <c r="U13" s="6"/>
    </row>
    <row r="14" spans="1:28" s="4" customFormat="1" x14ac:dyDescent="0.25">
      <c r="A14" s="2" t="s">
        <v>15</v>
      </c>
      <c r="B14" s="2"/>
      <c r="C14" s="2"/>
      <c r="D14" s="2"/>
      <c r="E14" s="2"/>
      <c r="F14" s="7"/>
      <c r="G14" s="2"/>
      <c r="H14" s="2"/>
      <c r="I14" s="2">
        <f>246.51+3</f>
        <v>249.51</v>
      </c>
      <c r="J14" s="2"/>
      <c r="K14" s="2"/>
      <c r="L14" s="2"/>
      <c r="M14" s="2"/>
      <c r="N14" s="2"/>
      <c r="O14" s="2"/>
      <c r="P14" s="2"/>
      <c r="Q14" s="2"/>
      <c r="R14" s="2">
        <f t="shared" si="0"/>
        <v>249.51</v>
      </c>
      <c r="T14" s="16"/>
      <c r="U14" s="6"/>
    </row>
    <row r="15" spans="1:28" s="4" customFormat="1" x14ac:dyDescent="0.25">
      <c r="A15" s="16" t="s">
        <v>78</v>
      </c>
      <c r="B15" s="2"/>
      <c r="C15" s="2"/>
      <c r="D15" s="2"/>
      <c r="E15" s="2"/>
      <c r="F15" s="7"/>
      <c r="G15" s="2"/>
      <c r="H15" s="2"/>
      <c r="I15" s="2"/>
      <c r="J15" s="2"/>
      <c r="K15" s="2"/>
      <c r="L15" s="2">
        <v>226</v>
      </c>
      <c r="M15" s="2"/>
      <c r="N15" s="2"/>
      <c r="O15" s="2"/>
      <c r="P15" s="2"/>
      <c r="Q15" s="2"/>
      <c r="R15" s="2">
        <f t="shared" si="0"/>
        <v>226</v>
      </c>
      <c r="T15" s="16"/>
    </row>
    <row r="16" spans="1:28" s="4" customFormat="1" x14ac:dyDescent="0.25">
      <c r="A16" s="2" t="s">
        <v>16</v>
      </c>
      <c r="B16" s="2">
        <v>43</v>
      </c>
      <c r="C16" s="2"/>
      <c r="D16" s="2"/>
      <c r="E16" s="2"/>
      <c r="F16" s="7"/>
      <c r="G16" s="2"/>
      <c r="H16" s="2"/>
      <c r="I16" s="12"/>
      <c r="J16" s="2"/>
      <c r="K16" s="2"/>
      <c r="L16" s="2"/>
      <c r="M16" s="2"/>
      <c r="N16" s="2">
        <v>144.55000000000001</v>
      </c>
      <c r="O16" s="2"/>
      <c r="P16" s="2"/>
      <c r="Q16" s="2"/>
      <c r="R16" s="2">
        <f t="shared" si="0"/>
        <v>187.55</v>
      </c>
      <c r="T16" s="16"/>
    </row>
    <row r="17" spans="1:20" s="4" customFormat="1" x14ac:dyDescent="0.25">
      <c r="A17" s="2" t="s">
        <v>86</v>
      </c>
      <c r="B17" s="2"/>
      <c r="C17" s="2"/>
      <c r="D17" s="2"/>
      <c r="E17" s="2"/>
      <c r="F17" s="7">
        <v>150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f t="shared" si="0"/>
        <v>150</v>
      </c>
      <c r="T17" s="16"/>
    </row>
    <row r="18" spans="1:20" s="4" customFormat="1" x14ac:dyDescent="0.25">
      <c r="A18" s="2" t="s">
        <v>17</v>
      </c>
      <c r="B18" s="2">
        <v>27</v>
      </c>
      <c r="C18" s="2"/>
      <c r="D18" s="2"/>
      <c r="E18" s="2"/>
      <c r="F18" s="7"/>
      <c r="G18" s="2"/>
      <c r="H18" s="2"/>
      <c r="I18" s="12"/>
      <c r="J18" s="2"/>
      <c r="K18" s="2"/>
      <c r="L18" s="2"/>
      <c r="M18" s="2"/>
      <c r="N18" s="2"/>
      <c r="O18" s="2">
        <v>41.57</v>
      </c>
      <c r="P18" s="2"/>
      <c r="Q18" s="2"/>
      <c r="R18" s="2">
        <f t="shared" si="0"/>
        <v>68.569999999999993</v>
      </c>
      <c r="T18" s="16"/>
    </row>
    <row r="19" spans="1:20" s="4" customFormat="1" x14ac:dyDescent="0.25">
      <c r="A19" s="2" t="s">
        <v>18</v>
      </c>
      <c r="B19" s="2"/>
      <c r="C19" s="2"/>
      <c r="D19" s="2"/>
      <c r="E19" s="2"/>
      <c r="F19" s="7"/>
      <c r="G19" s="2"/>
      <c r="H19" s="2"/>
      <c r="I19" s="12">
        <f>262.13+2</f>
        <v>264.13</v>
      </c>
      <c r="J19" s="2"/>
      <c r="K19" s="2"/>
      <c r="L19" s="2"/>
      <c r="M19" s="2"/>
      <c r="N19" s="2"/>
      <c r="O19" s="2"/>
      <c r="P19" s="2"/>
      <c r="Q19" s="2"/>
      <c r="R19" s="2">
        <f t="shared" si="0"/>
        <v>264.13</v>
      </c>
      <c r="T19" s="16"/>
    </row>
    <row r="20" spans="1:20" s="4" customFormat="1" x14ac:dyDescent="0.25">
      <c r="A20" s="2" t="s">
        <v>70</v>
      </c>
      <c r="B20" s="2"/>
      <c r="C20" s="2"/>
      <c r="D20" s="2"/>
      <c r="E20" s="2">
        <v>112.49</v>
      </c>
      <c r="F20" s="2">
        <v>105.23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 t="shared" si="0"/>
        <v>217.72</v>
      </c>
      <c r="T20" s="16"/>
    </row>
    <row r="21" spans="1:20" s="4" customFormat="1" x14ac:dyDescent="0.25">
      <c r="A21" s="2" t="s">
        <v>81</v>
      </c>
      <c r="B21" s="2">
        <v>50</v>
      </c>
      <c r="C21" s="2"/>
      <c r="D21" s="2">
        <v>198.75</v>
      </c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f t="shared" si="0"/>
        <v>248.75</v>
      </c>
      <c r="T21" s="16"/>
    </row>
    <row r="22" spans="1:20" s="4" customFormat="1" x14ac:dyDescent="0.25">
      <c r="A22" s="2" t="s">
        <v>19</v>
      </c>
      <c r="B22" s="2"/>
      <c r="C22" s="2"/>
      <c r="D22" s="2"/>
      <c r="E22" s="2"/>
      <c r="F22" s="7"/>
      <c r="G22" s="2"/>
      <c r="H22" s="2">
        <v>12</v>
      </c>
      <c r="I22" s="2"/>
      <c r="J22" s="2"/>
      <c r="K22" s="2"/>
      <c r="L22" s="2"/>
      <c r="M22" s="9">
        <v>171.85</v>
      </c>
      <c r="N22" s="2"/>
      <c r="O22" s="2">
        <v>37.57</v>
      </c>
      <c r="P22" s="2"/>
      <c r="Q22" s="2"/>
      <c r="R22" s="2">
        <f t="shared" si="0"/>
        <v>221.42</v>
      </c>
      <c r="T22" s="16"/>
    </row>
    <row r="23" spans="1:20" s="4" customFormat="1" x14ac:dyDescent="0.25">
      <c r="A23" s="2" t="s">
        <v>79</v>
      </c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5"/>
      <c r="N23" s="2"/>
      <c r="O23" s="2">
        <v>159</v>
      </c>
      <c r="P23" s="2"/>
      <c r="Q23" s="2"/>
      <c r="R23" s="2">
        <f t="shared" si="0"/>
        <v>159</v>
      </c>
      <c r="T23" s="16"/>
    </row>
    <row r="24" spans="1:20" s="4" customFormat="1" x14ac:dyDescent="0.25">
      <c r="A24" s="2" t="s">
        <v>84</v>
      </c>
      <c r="B24" s="2"/>
      <c r="C24" s="2"/>
      <c r="D24" s="2"/>
      <c r="E24" s="2"/>
      <c r="F24" s="7"/>
      <c r="G24" s="2">
        <v>200.63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 t="shared" si="0"/>
        <v>200.63</v>
      </c>
      <c r="T24" s="16"/>
    </row>
    <row r="25" spans="1:20" s="4" customFormat="1" x14ac:dyDescent="0.25">
      <c r="A25" s="2" t="s">
        <v>20</v>
      </c>
      <c r="B25" s="2"/>
      <c r="C25" s="2"/>
      <c r="D25" s="2"/>
      <c r="E25" s="2"/>
      <c r="F25" s="7"/>
      <c r="G25" s="2"/>
      <c r="H25" s="2">
        <f>262.91+50</f>
        <v>312.91000000000003</v>
      </c>
      <c r="I25" s="2"/>
      <c r="J25" s="2"/>
      <c r="K25" s="2"/>
      <c r="L25" s="2"/>
      <c r="M25" s="2"/>
      <c r="N25" s="2"/>
      <c r="O25" s="2"/>
      <c r="P25" s="2"/>
      <c r="Q25" s="2"/>
      <c r="R25" s="2">
        <f t="shared" si="0"/>
        <v>312.91000000000003</v>
      </c>
      <c r="T25" s="16"/>
    </row>
    <row r="26" spans="1:20" s="4" customFormat="1" x14ac:dyDescent="0.25">
      <c r="A26" s="2" t="s">
        <v>21</v>
      </c>
      <c r="B26" s="2"/>
      <c r="C26" s="2"/>
      <c r="D26" s="2"/>
      <c r="E26" s="2"/>
      <c r="F26" s="7"/>
      <c r="G26" s="2"/>
      <c r="H26" s="2"/>
      <c r="I26" s="2"/>
      <c r="J26" s="2"/>
      <c r="K26" s="2"/>
      <c r="L26" s="2"/>
      <c r="M26" s="2"/>
      <c r="N26" s="2"/>
      <c r="O26" s="2">
        <v>118</v>
      </c>
      <c r="P26" s="2"/>
      <c r="Q26" s="2"/>
      <c r="R26" s="2">
        <f t="shared" si="0"/>
        <v>118</v>
      </c>
      <c r="T26" s="16"/>
    </row>
    <row r="27" spans="1:20" s="4" customFormat="1" x14ac:dyDescent="0.25">
      <c r="A27" s="10" t="s">
        <v>22</v>
      </c>
      <c r="B27" s="2"/>
      <c r="C27" s="2"/>
      <c r="D27" s="2"/>
      <c r="E27" s="2">
        <v>64.33</v>
      </c>
      <c r="F27" s="7">
        <v>10.41</v>
      </c>
      <c r="G27" s="2"/>
      <c r="H27" s="2"/>
      <c r="I27" s="2"/>
      <c r="J27" s="2"/>
      <c r="K27" s="2">
        <v>36</v>
      </c>
      <c r="L27" s="2"/>
      <c r="M27" s="2"/>
      <c r="N27" s="2"/>
      <c r="O27" s="2"/>
      <c r="P27" s="2"/>
      <c r="Q27" s="2"/>
      <c r="R27" s="2">
        <f t="shared" si="0"/>
        <v>110.74</v>
      </c>
      <c r="T27" s="16"/>
    </row>
    <row r="28" spans="1:20" s="4" customFormat="1" x14ac:dyDescent="0.25">
      <c r="A28" s="2" t="s">
        <v>23</v>
      </c>
      <c r="B28" s="2">
        <v>49</v>
      </c>
      <c r="C28" s="2"/>
      <c r="D28" s="2"/>
      <c r="E28" s="2"/>
      <c r="F28" s="7"/>
      <c r="G28" s="2"/>
      <c r="H28" s="2"/>
      <c r="I28" s="12"/>
      <c r="J28" s="2"/>
      <c r="K28" s="2"/>
      <c r="L28" s="2"/>
      <c r="M28" s="2"/>
      <c r="N28" s="2"/>
      <c r="O28" s="2">
        <v>177.45</v>
      </c>
      <c r="P28" s="2">
        <v>10.5</v>
      </c>
      <c r="Q28" s="2"/>
      <c r="R28" s="2">
        <f t="shared" si="0"/>
        <v>236.95</v>
      </c>
      <c r="T28" s="16"/>
    </row>
    <row r="29" spans="1:20" s="4" customFormat="1" x14ac:dyDescent="0.25">
      <c r="A29" s="10" t="s">
        <v>24</v>
      </c>
      <c r="B29" s="2"/>
      <c r="C29" s="2"/>
      <c r="D29" s="2"/>
      <c r="E29" s="2"/>
      <c r="F29" s="2"/>
      <c r="G29" s="2"/>
      <c r="H29" s="2"/>
      <c r="I29" s="2"/>
      <c r="J29" s="2"/>
      <c r="K29" s="2">
        <v>42</v>
      </c>
      <c r="L29" s="2"/>
      <c r="M29" s="2"/>
      <c r="N29" s="2"/>
      <c r="O29" s="2"/>
      <c r="P29" s="2"/>
      <c r="Q29" s="2"/>
      <c r="R29" s="2">
        <f t="shared" si="0"/>
        <v>42</v>
      </c>
      <c r="T29" s="16"/>
    </row>
    <row r="30" spans="1:20" s="4" customFormat="1" x14ac:dyDescent="0.25">
      <c r="A30" s="10" t="s">
        <v>77</v>
      </c>
      <c r="B30" s="2"/>
      <c r="C30" s="2"/>
      <c r="D30" s="2"/>
      <c r="E30" s="2"/>
      <c r="F30" s="7"/>
      <c r="G30" s="2"/>
      <c r="H30" s="2">
        <v>188.62</v>
      </c>
      <c r="I30" s="12"/>
      <c r="J30" s="2"/>
      <c r="K30" s="2">
        <v>70</v>
      </c>
      <c r="L30" s="2"/>
      <c r="M30" s="2"/>
      <c r="N30" s="2"/>
      <c r="O30" s="2"/>
      <c r="P30" s="2"/>
      <c r="Q30" s="2"/>
      <c r="R30" s="2">
        <f t="shared" si="0"/>
        <v>258.62</v>
      </c>
      <c r="T30" s="16"/>
    </row>
    <row r="31" spans="1:20" s="4" customFormat="1" x14ac:dyDescent="0.25">
      <c r="A31" s="10" t="s">
        <v>108</v>
      </c>
      <c r="B31" s="2">
        <v>84</v>
      </c>
      <c r="C31" s="2"/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>
        <v>24.75</v>
      </c>
      <c r="P31" s="2">
        <v>80</v>
      </c>
      <c r="Q31" s="2"/>
      <c r="R31" s="2">
        <f t="shared" si="0"/>
        <v>188.75</v>
      </c>
      <c r="T31" s="16"/>
    </row>
    <row r="32" spans="1:20" s="4" customFormat="1" x14ac:dyDescent="0.25">
      <c r="A32" s="2" t="s">
        <v>25</v>
      </c>
      <c r="B32" s="2"/>
      <c r="C32" s="2"/>
      <c r="D32" s="2"/>
      <c r="E32" s="2"/>
      <c r="F32" s="7"/>
      <c r="G32" s="2"/>
      <c r="H32" s="2">
        <f>242.38+5.5</f>
        <v>247.88</v>
      </c>
      <c r="I32" s="12"/>
      <c r="J32" s="2"/>
      <c r="K32" s="2"/>
      <c r="L32" s="2"/>
      <c r="M32" s="2"/>
      <c r="N32" s="2"/>
      <c r="O32" s="2"/>
      <c r="P32" s="2"/>
      <c r="Q32" s="2"/>
      <c r="R32" s="2">
        <f t="shared" si="0"/>
        <v>247.88</v>
      </c>
      <c r="T32" s="16"/>
    </row>
    <row r="33" spans="1:21" s="4" customFormat="1" x14ac:dyDescent="0.25">
      <c r="A33" s="2" t="s">
        <v>106</v>
      </c>
      <c r="B33" s="2">
        <v>286</v>
      </c>
      <c r="C33" s="2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f t="shared" si="0"/>
        <v>286</v>
      </c>
      <c r="T33" s="16"/>
    </row>
    <row r="34" spans="1:21" s="4" customFormat="1" x14ac:dyDescent="0.25">
      <c r="A34" s="2" t="s">
        <v>26</v>
      </c>
      <c r="B34" s="2"/>
      <c r="C34" s="2"/>
      <c r="D34" s="2"/>
      <c r="E34" s="2">
        <v>205.6</v>
      </c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 t="shared" si="0"/>
        <v>205.6</v>
      </c>
      <c r="T34" s="16"/>
    </row>
    <row r="35" spans="1:21" s="4" customFormat="1" x14ac:dyDescent="0.25">
      <c r="A35" s="2" t="s">
        <v>27</v>
      </c>
      <c r="B35" s="2"/>
      <c r="C35" s="2"/>
      <c r="D35" s="2"/>
      <c r="E35" s="2"/>
      <c r="F35" s="7"/>
      <c r="G35" s="2"/>
      <c r="H35" s="2"/>
      <c r="I35" s="12"/>
      <c r="J35" s="2"/>
      <c r="K35" s="2"/>
      <c r="L35" s="2"/>
      <c r="M35" s="2">
        <v>195.26</v>
      </c>
      <c r="N35" s="2"/>
      <c r="O35" s="2">
        <v>23.27</v>
      </c>
      <c r="P35" s="2"/>
      <c r="Q35" s="2"/>
      <c r="R35" s="2">
        <f t="shared" si="0"/>
        <v>218.53</v>
      </c>
      <c r="T35" s="16"/>
    </row>
    <row r="36" spans="1:21" s="4" customFormat="1" x14ac:dyDescent="0.25">
      <c r="A36" s="2" t="s">
        <v>28</v>
      </c>
      <c r="B36" s="2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 t="shared" si="0"/>
        <v>0</v>
      </c>
      <c r="T36" s="16"/>
    </row>
    <row r="37" spans="1:21" s="4" customFormat="1" x14ac:dyDescent="0.25">
      <c r="A37" s="2" t="s">
        <v>29</v>
      </c>
      <c r="B37" s="2"/>
      <c r="C37" s="2"/>
      <c r="D37" s="2"/>
      <c r="E37" s="2"/>
      <c r="F37" s="7"/>
      <c r="G37" s="2"/>
      <c r="H37" s="2"/>
      <c r="I37" s="12"/>
      <c r="J37" s="2"/>
      <c r="K37" s="2"/>
      <c r="L37" s="2"/>
      <c r="M37" s="2"/>
      <c r="N37" s="2">
        <v>181.11</v>
      </c>
      <c r="O37" s="2">
        <v>41.04</v>
      </c>
      <c r="P37" s="2">
        <v>56.17</v>
      </c>
      <c r="Q37" s="2"/>
      <c r="R37" s="2">
        <f t="shared" si="0"/>
        <v>278.32</v>
      </c>
      <c r="T37" s="16"/>
    </row>
    <row r="38" spans="1:21" s="4" customFormat="1" x14ac:dyDescent="0.25">
      <c r="A38" s="2" t="s">
        <v>30</v>
      </c>
      <c r="B38" s="2"/>
      <c r="C38" s="2"/>
      <c r="D38" s="2"/>
      <c r="E38" s="2"/>
      <c r="F38" s="7">
        <v>50</v>
      </c>
      <c r="G38" s="2"/>
      <c r="H38" s="2"/>
      <c r="I38" s="12"/>
      <c r="J38" s="2"/>
      <c r="K38" s="2"/>
      <c r="L38" s="2"/>
      <c r="M38" s="2"/>
      <c r="N38" s="2"/>
      <c r="O38" s="2"/>
      <c r="P38" s="2"/>
      <c r="Q38" s="2"/>
      <c r="R38" s="2">
        <f t="shared" si="0"/>
        <v>50</v>
      </c>
      <c r="T38" s="16"/>
    </row>
    <row r="39" spans="1:21" s="4" customFormat="1" x14ac:dyDescent="0.25">
      <c r="A39" s="2" t="s">
        <v>31</v>
      </c>
      <c r="B39" s="2"/>
      <c r="C39" s="2"/>
      <c r="D39" s="2"/>
      <c r="E39" s="2"/>
      <c r="F39" s="7">
        <v>269.31</v>
      </c>
      <c r="G39" s="2"/>
      <c r="H39" s="2"/>
      <c r="I39" s="12"/>
      <c r="J39" s="2"/>
      <c r="K39" s="2"/>
      <c r="L39" s="2"/>
      <c r="M39" s="2"/>
      <c r="N39" s="2"/>
      <c r="O39" s="2"/>
      <c r="P39" s="2"/>
      <c r="Q39" s="2"/>
      <c r="R39" s="2">
        <f t="shared" si="0"/>
        <v>269.31</v>
      </c>
      <c r="T39" s="16"/>
    </row>
    <row r="40" spans="1:21" s="4" customFormat="1" x14ac:dyDescent="0.25">
      <c r="A40" s="2" t="s">
        <v>32</v>
      </c>
      <c r="B40" s="2"/>
      <c r="C40" s="2"/>
      <c r="D40" s="2"/>
      <c r="E40" s="2">
        <v>186.55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f t="shared" si="0"/>
        <v>186.55</v>
      </c>
      <c r="T40" s="16"/>
    </row>
    <row r="41" spans="1:21" s="4" customFormat="1" x14ac:dyDescent="0.25">
      <c r="A41" s="2" t="s">
        <v>116</v>
      </c>
      <c r="B41" s="2"/>
      <c r="C41" s="2"/>
      <c r="D41" s="2"/>
      <c r="E41" s="2"/>
      <c r="F41" s="2"/>
      <c r="G41" s="2"/>
      <c r="H41" s="2">
        <v>59.92</v>
      </c>
      <c r="I41" s="2"/>
      <c r="J41" s="2"/>
      <c r="K41" s="2"/>
      <c r="L41" s="2"/>
      <c r="M41" s="2"/>
      <c r="N41" s="2"/>
      <c r="O41" s="2"/>
      <c r="P41" s="2"/>
      <c r="Q41" s="2"/>
      <c r="R41" s="2">
        <f t="shared" si="0"/>
        <v>59.92</v>
      </c>
      <c r="T41" s="16"/>
    </row>
    <row r="42" spans="1:21" s="4" customFormat="1" x14ac:dyDescent="0.25">
      <c r="A42" s="2" t="s">
        <v>90</v>
      </c>
      <c r="B42" s="2"/>
      <c r="C42" s="2"/>
      <c r="D42" s="2"/>
      <c r="E42" s="2"/>
      <c r="F42" s="7"/>
      <c r="G42" s="2"/>
      <c r="H42" s="2"/>
      <c r="I42" s="2"/>
      <c r="J42" s="2"/>
      <c r="K42" s="2">
        <v>23</v>
      </c>
      <c r="L42" s="2">
        <v>164</v>
      </c>
      <c r="M42" s="2"/>
      <c r="N42" s="2"/>
      <c r="O42" s="2"/>
      <c r="P42" s="2"/>
      <c r="Q42" s="2"/>
      <c r="R42" s="2">
        <f t="shared" si="0"/>
        <v>187</v>
      </c>
      <c r="T42" s="16"/>
      <c r="U42" s="6"/>
    </row>
    <row r="43" spans="1:21" s="4" customFormat="1" x14ac:dyDescent="0.25">
      <c r="A43" s="2" t="s">
        <v>72</v>
      </c>
      <c r="B43" s="2">
        <v>10</v>
      </c>
      <c r="C43" s="2"/>
      <c r="D43" s="2">
        <v>175.01</v>
      </c>
      <c r="E43" s="2"/>
      <c r="F43" s="2"/>
      <c r="G43" s="2"/>
      <c r="H43" s="2"/>
      <c r="I43" s="12"/>
      <c r="J43" s="2"/>
      <c r="K43" s="2"/>
      <c r="L43" s="2"/>
      <c r="M43" s="2"/>
      <c r="N43" s="2"/>
      <c r="O43" s="2"/>
      <c r="P43" s="2"/>
      <c r="Q43" s="2"/>
      <c r="R43" s="2">
        <f t="shared" si="0"/>
        <v>185.01</v>
      </c>
      <c r="T43" s="16"/>
      <c r="U43" s="6"/>
    </row>
    <row r="44" spans="1:21" s="4" customFormat="1" x14ac:dyDescent="0.25">
      <c r="A44" s="2" t="s">
        <v>89</v>
      </c>
      <c r="B44" s="2">
        <v>62</v>
      </c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>
        <v>189.6</v>
      </c>
      <c r="P44" s="2"/>
      <c r="Q44" s="2"/>
      <c r="R44" s="2">
        <f t="shared" si="0"/>
        <v>251.6</v>
      </c>
      <c r="T44" s="16"/>
      <c r="U44" s="6"/>
    </row>
    <row r="45" spans="1:21" s="4" customFormat="1" x14ac:dyDescent="0.25">
      <c r="A45" s="10" t="s">
        <v>33</v>
      </c>
      <c r="B45" s="2">
        <f>261+50</f>
        <v>311</v>
      </c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 t="shared" si="0"/>
        <v>311</v>
      </c>
      <c r="T45" s="16"/>
      <c r="U45" s="6"/>
    </row>
    <row r="46" spans="1:21" s="4" customFormat="1" x14ac:dyDescent="0.25">
      <c r="A46" s="2" t="s">
        <v>34</v>
      </c>
      <c r="B46" s="2"/>
      <c r="C46" s="2"/>
      <c r="D46" s="2"/>
      <c r="E46" s="2"/>
      <c r="F46" s="7"/>
      <c r="G46" s="2"/>
      <c r="H46" s="2">
        <v>192</v>
      </c>
      <c r="I46" s="2">
        <v>174</v>
      </c>
      <c r="J46" s="2"/>
      <c r="K46" s="2"/>
      <c r="L46" s="2"/>
      <c r="M46" s="2"/>
      <c r="N46" s="2"/>
      <c r="O46" s="2"/>
      <c r="P46" s="2"/>
      <c r="Q46" s="2"/>
      <c r="R46" s="2">
        <f t="shared" si="0"/>
        <v>366</v>
      </c>
      <c r="T46" s="16"/>
      <c r="U46" s="6"/>
    </row>
    <row r="47" spans="1:21" s="4" customFormat="1" x14ac:dyDescent="0.25">
      <c r="A47" s="2" t="s">
        <v>107</v>
      </c>
      <c r="B47" s="2">
        <v>262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f t="shared" si="0"/>
        <v>262</v>
      </c>
      <c r="T47" s="16"/>
      <c r="U47" s="6"/>
    </row>
    <row r="48" spans="1:21" s="4" customFormat="1" x14ac:dyDescent="0.25">
      <c r="A48" s="2" t="s">
        <v>35</v>
      </c>
      <c r="B48" s="2">
        <v>383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f t="shared" si="0"/>
        <v>383</v>
      </c>
      <c r="T48" s="16"/>
      <c r="U48" s="6"/>
    </row>
    <row r="49" spans="1:21" s="4" customFormat="1" x14ac:dyDescent="0.25">
      <c r="A49" s="2" t="s">
        <v>36</v>
      </c>
      <c r="B49" s="2"/>
      <c r="C49" s="2"/>
      <c r="D49" s="2"/>
      <c r="E49" s="2">
        <v>159.21</v>
      </c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f t="shared" si="0"/>
        <v>159.21</v>
      </c>
      <c r="T49" s="16"/>
      <c r="U49" s="6"/>
    </row>
    <row r="50" spans="1:21" s="4" customFormat="1" x14ac:dyDescent="0.25">
      <c r="A50" s="2" t="s">
        <v>37</v>
      </c>
      <c r="B50" s="2"/>
      <c r="C50" s="2"/>
      <c r="D50" s="2"/>
      <c r="E50" s="2"/>
      <c r="F50" s="7"/>
      <c r="G50" s="2"/>
      <c r="H50" s="2"/>
      <c r="I50" s="2"/>
      <c r="J50" s="2"/>
      <c r="K50" s="2"/>
      <c r="L50" s="2">
        <v>206</v>
      </c>
      <c r="M50" s="2"/>
      <c r="N50" s="2"/>
      <c r="O50" s="2"/>
      <c r="P50" s="2"/>
      <c r="Q50" s="2"/>
      <c r="R50" s="2">
        <f t="shared" si="0"/>
        <v>206</v>
      </c>
      <c r="T50" s="16"/>
      <c r="U50" s="6"/>
    </row>
    <row r="51" spans="1:21" s="4" customFormat="1" x14ac:dyDescent="0.25">
      <c r="A51" s="2" t="s">
        <v>109</v>
      </c>
      <c r="B51" s="2"/>
      <c r="C51" s="2"/>
      <c r="D51" s="2"/>
      <c r="E51" s="2">
        <v>154.69</v>
      </c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f t="shared" si="0"/>
        <v>154.69</v>
      </c>
      <c r="T51" s="16"/>
      <c r="U51" s="6"/>
    </row>
    <row r="52" spans="1:21" s="4" customFormat="1" x14ac:dyDescent="0.25">
      <c r="A52" s="10" t="s">
        <v>38</v>
      </c>
      <c r="B52" s="2"/>
      <c r="C52" s="2"/>
      <c r="D52" s="2">
        <v>211.41</v>
      </c>
      <c r="E52" s="2"/>
      <c r="F52" s="7"/>
      <c r="G52" s="2"/>
      <c r="H52" s="2">
        <v>31.97</v>
      </c>
      <c r="I52" s="12"/>
      <c r="J52" s="2"/>
      <c r="K52" s="2"/>
      <c r="L52" s="2"/>
      <c r="M52" s="2"/>
      <c r="N52" s="2"/>
      <c r="O52" s="2"/>
      <c r="P52" s="2"/>
      <c r="Q52" s="2"/>
      <c r="R52" s="2">
        <f t="shared" si="0"/>
        <v>243.38</v>
      </c>
      <c r="T52" s="16"/>
      <c r="U52" s="6"/>
    </row>
    <row r="53" spans="1:21" s="4" customFormat="1" x14ac:dyDescent="0.25">
      <c r="A53" s="10" t="s">
        <v>39</v>
      </c>
      <c r="B53" s="2"/>
      <c r="C53" s="2"/>
      <c r="D53" s="2"/>
      <c r="E53" s="2"/>
      <c r="F53" s="7"/>
      <c r="G53" s="2"/>
      <c r="H53" s="2"/>
      <c r="I53" s="12"/>
      <c r="J53" s="2"/>
      <c r="K53" s="2"/>
      <c r="L53" s="2"/>
      <c r="M53" s="2"/>
      <c r="N53" s="2"/>
      <c r="O53" s="2">
        <v>118.92</v>
      </c>
      <c r="P53" s="2">
        <v>89.2</v>
      </c>
      <c r="Q53" s="2"/>
      <c r="R53" s="2">
        <f t="shared" si="0"/>
        <v>208.12</v>
      </c>
      <c r="T53" s="16"/>
      <c r="U53" s="6"/>
    </row>
    <row r="54" spans="1:21" s="4" customFormat="1" x14ac:dyDescent="0.25">
      <c r="A54" s="2" t="s">
        <v>40</v>
      </c>
      <c r="B54" s="2"/>
      <c r="C54" s="2">
        <v>131.19999999999999</v>
      </c>
      <c r="D54" s="2">
        <v>99.8</v>
      </c>
      <c r="E54" s="2"/>
      <c r="F54" s="8"/>
      <c r="G54" s="2"/>
      <c r="H54" s="2"/>
      <c r="I54" s="2">
        <v>9</v>
      </c>
      <c r="J54" s="2"/>
      <c r="K54" s="2"/>
      <c r="L54" s="2"/>
      <c r="M54" s="2"/>
      <c r="N54" s="2"/>
      <c r="O54" s="2"/>
      <c r="P54" s="2"/>
      <c r="Q54" s="2"/>
      <c r="R54" s="2">
        <f t="shared" si="0"/>
        <v>240</v>
      </c>
      <c r="T54" s="16"/>
      <c r="U54" s="6"/>
    </row>
    <row r="55" spans="1:21" s="4" customFormat="1" x14ac:dyDescent="0.25">
      <c r="A55" s="2" t="s">
        <v>41</v>
      </c>
      <c r="B55" s="2"/>
      <c r="C55" s="2"/>
      <c r="D55" s="2"/>
      <c r="E55" s="2">
        <v>98.34</v>
      </c>
      <c r="F55" s="7">
        <v>10.66</v>
      </c>
      <c r="G55" s="2"/>
      <c r="H55" s="2"/>
      <c r="I55" s="12"/>
      <c r="J55" s="2"/>
      <c r="K55" s="2"/>
      <c r="L55" s="2"/>
      <c r="M55" s="2"/>
      <c r="N55" s="2"/>
      <c r="O55" s="2"/>
      <c r="P55" s="2"/>
      <c r="Q55" s="2"/>
      <c r="R55" s="2">
        <f t="shared" si="0"/>
        <v>109</v>
      </c>
      <c r="T55" s="16"/>
      <c r="U55" s="6"/>
    </row>
    <row r="56" spans="1:21" s="4" customFormat="1" x14ac:dyDescent="0.25">
      <c r="A56" s="2" t="s">
        <v>42</v>
      </c>
      <c r="B56" s="2"/>
      <c r="C56" s="2">
        <v>25.28</v>
      </c>
      <c r="D56" s="2"/>
      <c r="E56" s="2"/>
      <c r="F56" s="2"/>
      <c r="G56" s="2"/>
      <c r="H56" s="2">
        <v>40.82</v>
      </c>
      <c r="I56" s="2"/>
      <c r="J56" s="2"/>
      <c r="K56" s="2"/>
      <c r="L56" s="2"/>
      <c r="M56" s="2"/>
      <c r="N56" s="2"/>
      <c r="O56" s="2"/>
      <c r="P56" s="2"/>
      <c r="Q56" s="2"/>
      <c r="R56" s="2">
        <f t="shared" si="0"/>
        <v>66.099999999999994</v>
      </c>
      <c r="T56" s="16"/>
      <c r="U56" s="6"/>
    </row>
    <row r="57" spans="1:21" s="4" customFormat="1" x14ac:dyDescent="0.25">
      <c r="A57" s="2" t="s">
        <v>88</v>
      </c>
      <c r="B57" s="2"/>
      <c r="C57" s="2"/>
      <c r="D57" s="2"/>
      <c r="E57" s="2"/>
      <c r="F57" s="2"/>
      <c r="G57" s="2"/>
      <c r="H57" s="2">
        <v>201.7</v>
      </c>
      <c r="I57" s="2"/>
      <c r="J57" s="2"/>
      <c r="K57" s="2"/>
      <c r="L57" s="2"/>
      <c r="M57" s="2"/>
      <c r="N57" s="2"/>
      <c r="O57" s="2"/>
      <c r="P57" s="2"/>
      <c r="Q57" s="2"/>
      <c r="R57" s="2">
        <f t="shared" si="0"/>
        <v>201.7</v>
      </c>
      <c r="T57" s="16"/>
      <c r="U57" s="6"/>
    </row>
    <row r="58" spans="1:21" s="4" customFormat="1" x14ac:dyDescent="0.25">
      <c r="A58" s="2" t="s">
        <v>80</v>
      </c>
      <c r="B58" s="2"/>
      <c r="C58" s="2"/>
      <c r="D58" s="2"/>
      <c r="E58" s="2">
        <v>141.66999999999999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f t="shared" si="0"/>
        <v>141.66999999999999</v>
      </c>
      <c r="T58" s="16"/>
      <c r="U58" s="6"/>
    </row>
    <row r="59" spans="1:21" s="4" customFormat="1" x14ac:dyDescent="0.25">
      <c r="A59" s="2" t="s">
        <v>96</v>
      </c>
      <c r="B59" s="2"/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>
        <v>188.65</v>
      </c>
      <c r="P59" s="2"/>
      <c r="Q59" s="2"/>
      <c r="R59" s="2">
        <f t="shared" si="0"/>
        <v>188.65</v>
      </c>
      <c r="T59" s="16"/>
      <c r="U59" s="6"/>
    </row>
    <row r="60" spans="1:21" s="4" customFormat="1" x14ac:dyDescent="0.25">
      <c r="A60" s="2" t="s">
        <v>43</v>
      </c>
      <c r="B60" s="2"/>
      <c r="C60" s="2"/>
      <c r="D60" s="2"/>
      <c r="E60" s="2"/>
      <c r="F60" s="7"/>
      <c r="G60" s="2"/>
      <c r="H60" s="2">
        <v>191.4</v>
      </c>
      <c r="I60" s="12"/>
      <c r="J60" s="2"/>
      <c r="K60" s="2"/>
      <c r="L60" s="2"/>
      <c r="M60" s="2"/>
      <c r="N60" s="2"/>
      <c r="O60" s="2"/>
      <c r="P60" s="2"/>
      <c r="Q60" s="2"/>
      <c r="R60" s="2">
        <f t="shared" si="0"/>
        <v>191.4</v>
      </c>
      <c r="T60" s="16"/>
      <c r="U60" s="6"/>
    </row>
    <row r="61" spans="1:21" s="4" customFormat="1" x14ac:dyDescent="0.25">
      <c r="A61" s="2" t="s">
        <v>44</v>
      </c>
      <c r="B61" s="2">
        <f>173+25</f>
        <v>198</v>
      </c>
      <c r="C61" s="2">
        <v>17.22</v>
      </c>
      <c r="D61" s="2"/>
      <c r="E61" s="2"/>
      <c r="F61" s="7"/>
      <c r="G61" s="2"/>
      <c r="H61" s="2"/>
      <c r="I61" s="12"/>
      <c r="J61" s="2"/>
      <c r="K61" s="2"/>
      <c r="L61" s="2"/>
      <c r="M61" s="2"/>
      <c r="N61" s="2"/>
      <c r="O61" s="2"/>
      <c r="P61" s="2"/>
      <c r="Q61" s="2"/>
      <c r="R61" s="2">
        <f t="shared" si="0"/>
        <v>215.22</v>
      </c>
      <c r="T61" s="16"/>
      <c r="U61" s="6"/>
    </row>
    <row r="62" spans="1:21" s="4" customFormat="1" x14ac:dyDescent="0.25">
      <c r="A62" s="2" t="s">
        <v>92</v>
      </c>
      <c r="B62" s="2"/>
      <c r="C62" s="2"/>
      <c r="D62" s="2"/>
      <c r="E62" s="2"/>
      <c r="F62" s="2">
        <v>204.04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f t="shared" si="0"/>
        <v>204.04</v>
      </c>
      <c r="T62" s="16"/>
      <c r="U62" s="6"/>
    </row>
    <row r="63" spans="1:21" s="4" customFormat="1" x14ac:dyDescent="0.25">
      <c r="A63" s="2" t="s">
        <v>45</v>
      </c>
      <c r="B63" s="2"/>
      <c r="C63" s="2"/>
      <c r="D63" s="2"/>
      <c r="E63" s="2"/>
      <c r="F63" s="7"/>
      <c r="G63" s="2">
        <v>274.70999999999998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f t="shared" si="0"/>
        <v>274.70999999999998</v>
      </c>
      <c r="T63" s="16"/>
      <c r="U63" s="6"/>
    </row>
    <row r="64" spans="1:21" s="4" customFormat="1" x14ac:dyDescent="0.25">
      <c r="A64" s="2" t="s">
        <v>46</v>
      </c>
      <c r="B64" s="2">
        <v>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77.2</v>
      </c>
      <c r="P64" s="2">
        <v>44.67</v>
      </c>
      <c r="Q64" s="2"/>
      <c r="R64" s="2">
        <f t="shared" si="0"/>
        <v>171.87</v>
      </c>
      <c r="T64" s="16"/>
      <c r="U64" s="6"/>
    </row>
    <row r="65" spans="1:21" s="4" customFormat="1" x14ac:dyDescent="0.25">
      <c r="A65" s="2" t="s">
        <v>82</v>
      </c>
      <c r="B65" s="2"/>
      <c r="C65" s="2"/>
      <c r="D65" s="2"/>
      <c r="E65" s="2"/>
      <c r="F65" s="2"/>
      <c r="G65" s="2"/>
      <c r="H65" s="2"/>
      <c r="I65" s="12"/>
      <c r="J65" s="2"/>
      <c r="K65" s="2"/>
      <c r="L65" s="2"/>
      <c r="M65" s="2"/>
      <c r="N65" s="2">
        <v>225.15</v>
      </c>
      <c r="O65" s="2"/>
      <c r="P65" s="2">
        <v>32.58</v>
      </c>
      <c r="Q65" s="2"/>
      <c r="R65" s="2">
        <f t="shared" ref="R65:R104" si="1">SUM(B65:Q65)</f>
        <v>257.73</v>
      </c>
      <c r="T65" s="16"/>
      <c r="U65" s="6"/>
    </row>
    <row r="66" spans="1:21" s="4" customFormat="1" x14ac:dyDescent="0.25">
      <c r="A66" s="2" t="s">
        <v>95</v>
      </c>
      <c r="B66" s="2"/>
      <c r="C66" s="2"/>
      <c r="D66" s="2"/>
      <c r="E66" s="2"/>
      <c r="F66" s="7"/>
      <c r="G66" s="2"/>
      <c r="H66" s="2"/>
      <c r="I66" s="2">
        <v>215.09</v>
      </c>
      <c r="J66" s="2"/>
      <c r="K66" s="2"/>
      <c r="L66" s="2"/>
      <c r="M66" s="2"/>
      <c r="N66" s="2"/>
      <c r="O66" s="2"/>
      <c r="P66" s="2"/>
      <c r="Q66" s="2"/>
      <c r="R66" s="2">
        <f t="shared" si="1"/>
        <v>215.09</v>
      </c>
      <c r="T66" s="16"/>
      <c r="U66" s="6"/>
    </row>
    <row r="67" spans="1:21" s="4" customFormat="1" x14ac:dyDescent="0.25">
      <c r="A67" s="2" t="s">
        <v>47</v>
      </c>
      <c r="B67" s="2"/>
      <c r="C67" s="2"/>
      <c r="D67" s="2"/>
      <c r="E67" s="2"/>
      <c r="F67" s="7"/>
      <c r="G67" s="2">
        <v>104.27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>
        <f t="shared" si="1"/>
        <v>104.27</v>
      </c>
      <c r="T67" s="16"/>
      <c r="U67" s="6"/>
    </row>
    <row r="68" spans="1:21" s="4" customFormat="1" x14ac:dyDescent="0.25">
      <c r="A68" s="2" t="s">
        <v>104</v>
      </c>
      <c r="B68" s="2"/>
      <c r="C68" s="2"/>
      <c r="D68" s="2"/>
      <c r="E68" s="2"/>
      <c r="F68" s="7"/>
      <c r="G68" s="2"/>
      <c r="H68" s="2"/>
      <c r="I68" s="2"/>
      <c r="J68" s="2"/>
      <c r="K68" s="2">
        <v>22</v>
      </c>
      <c r="L68" s="2">
        <v>50</v>
      </c>
      <c r="M68" s="2"/>
      <c r="N68" s="2"/>
      <c r="O68" s="2"/>
      <c r="P68" s="2"/>
      <c r="Q68" s="2"/>
      <c r="R68" s="2">
        <f t="shared" si="1"/>
        <v>72</v>
      </c>
      <c r="T68" s="16"/>
      <c r="U68" s="6"/>
    </row>
    <row r="69" spans="1:21" s="4" customFormat="1" x14ac:dyDescent="0.25">
      <c r="A69" s="2" t="s">
        <v>48</v>
      </c>
      <c r="B69" s="2"/>
      <c r="C69" s="2"/>
      <c r="D69" s="2"/>
      <c r="E69" s="2"/>
      <c r="F69" s="7"/>
      <c r="G69" s="2"/>
      <c r="H69" s="2"/>
      <c r="I69" s="12"/>
      <c r="J69" s="2"/>
      <c r="K69" s="2"/>
      <c r="L69" s="2"/>
      <c r="M69" s="2"/>
      <c r="N69" s="2"/>
      <c r="O69" s="2">
        <v>113.15</v>
      </c>
      <c r="P69" s="2">
        <v>64.5</v>
      </c>
      <c r="Q69" s="2"/>
      <c r="R69" s="2">
        <f t="shared" si="1"/>
        <v>177.65</v>
      </c>
      <c r="T69" s="16"/>
      <c r="U69" s="6"/>
    </row>
    <row r="70" spans="1:21" s="4" customFormat="1" x14ac:dyDescent="0.25">
      <c r="A70" s="2" t="s">
        <v>49</v>
      </c>
      <c r="B70" s="2"/>
      <c r="C70" s="2"/>
      <c r="D70" s="2"/>
      <c r="E70" s="2"/>
      <c r="F70" s="7"/>
      <c r="G70" s="2"/>
      <c r="H70" s="2"/>
      <c r="I70" s="2"/>
      <c r="J70" s="2"/>
      <c r="K70" s="2"/>
      <c r="L70" s="2">
        <f>113+87</f>
        <v>200</v>
      </c>
      <c r="M70" s="2"/>
      <c r="N70" s="2"/>
      <c r="O70" s="2"/>
      <c r="P70" s="2"/>
      <c r="Q70" s="2"/>
      <c r="R70" s="2">
        <f t="shared" si="1"/>
        <v>200</v>
      </c>
      <c r="T70" s="16"/>
      <c r="U70" s="6"/>
    </row>
    <row r="71" spans="1:21" s="4" customFormat="1" x14ac:dyDescent="0.25">
      <c r="A71" s="2" t="s">
        <v>85</v>
      </c>
      <c r="B71" s="2">
        <v>247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f t="shared" si="1"/>
        <v>247</v>
      </c>
      <c r="T71" s="16"/>
      <c r="U71" s="6"/>
    </row>
    <row r="72" spans="1:21" s="4" customFormat="1" x14ac:dyDescent="0.25">
      <c r="A72" s="2" t="s">
        <v>50</v>
      </c>
      <c r="B72" s="2"/>
      <c r="C72" s="2"/>
      <c r="D72" s="2"/>
      <c r="E72" s="2"/>
      <c r="F72" s="2">
        <v>216.09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f t="shared" si="1"/>
        <v>216.09</v>
      </c>
      <c r="T72" s="16"/>
      <c r="U72" s="6"/>
    </row>
    <row r="73" spans="1:21" s="4" customFormat="1" ht="14.25" customHeight="1" x14ac:dyDescent="0.25">
      <c r="A73" s="2" t="s">
        <v>51</v>
      </c>
      <c r="B73" s="2"/>
      <c r="C73" s="2"/>
      <c r="D73" s="2"/>
      <c r="E73" s="2"/>
      <c r="F73" s="7"/>
      <c r="G73" s="2">
        <v>213.63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>
        <f t="shared" si="1"/>
        <v>213.63</v>
      </c>
      <c r="T73" s="6"/>
      <c r="U73" s="6"/>
    </row>
    <row r="74" spans="1:21" s="4" customFormat="1" x14ac:dyDescent="0.25">
      <c r="A74" s="2" t="s">
        <v>52</v>
      </c>
      <c r="B74" s="2"/>
      <c r="C74" s="2"/>
      <c r="D74" s="2"/>
      <c r="E74" s="2"/>
      <c r="F74" s="7"/>
      <c r="G74" s="2"/>
      <c r="H74" s="2"/>
      <c r="I74" s="12"/>
      <c r="J74" s="2"/>
      <c r="K74" s="2"/>
      <c r="L74" s="2"/>
      <c r="M74" s="2"/>
      <c r="N74" s="2"/>
      <c r="O74" s="2"/>
      <c r="P74" s="2"/>
      <c r="Q74" s="2"/>
      <c r="R74" s="2">
        <f t="shared" si="1"/>
        <v>0</v>
      </c>
      <c r="T74" s="16"/>
      <c r="U74" s="6"/>
    </row>
    <row r="75" spans="1:21" s="4" customFormat="1" x14ac:dyDescent="0.25">
      <c r="A75" s="2" t="s">
        <v>53</v>
      </c>
      <c r="B75" s="2"/>
      <c r="C75" s="2"/>
      <c r="D75" s="2"/>
      <c r="E75" s="2">
        <v>41.12</v>
      </c>
      <c r="F75" s="7">
        <v>60.12</v>
      </c>
      <c r="G75" s="2"/>
      <c r="H75" s="2"/>
      <c r="I75" s="2"/>
      <c r="J75" s="2"/>
      <c r="K75" s="2"/>
      <c r="L75" s="2">
        <v>102</v>
      </c>
      <c r="M75" s="2"/>
      <c r="N75" s="2"/>
      <c r="O75" s="2"/>
      <c r="P75" s="2"/>
      <c r="Q75" s="2"/>
      <c r="R75" s="2">
        <f t="shared" si="1"/>
        <v>203.24</v>
      </c>
      <c r="T75" s="16"/>
      <c r="U75" s="6"/>
    </row>
    <row r="76" spans="1:21" s="4" customFormat="1" x14ac:dyDescent="0.25">
      <c r="A76" s="2" t="s">
        <v>54</v>
      </c>
      <c r="B76" s="2"/>
      <c r="C76" s="2"/>
      <c r="D76" s="2"/>
      <c r="E76" s="2"/>
      <c r="F76" s="2"/>
      <c r="G76" s="2"/>
      <c r="H76" s="2"/>
      <c r="I76" s="2"/>
      <c r="J76" s="2">
        <v>220</v>
      </c>
      <c r="K76" s="2"/>
      <c r="L76" s="2"/>
      <c r="M76" s="2"/>
      <c r="N76" s="2"/>
      <c r="O76" s="2"/>
      <c r="P76" s="2"/>
      <c r="Q76" s="2"/>
      <c r="R76" s="2">
        <f t="shared" si="1"/>
        <v>220</v>
      </c>
      <c r="T76" s="16"/>
      <c r="U76" s="6"/>
    </row>
    <row r="77" spans="1:21" s="4" customFormat="1" x14ac:dyDescent="0.25">
      <c r="A77" s="2" t="s">
        <v>91</v>
      </c>
      <c r="B77" s="2"/>
      <c r="C77" s="2"/>
      <c r="D77" s="2"/>
      <c r="E77" s="2">
        <v>27.59</v>
      </c>
      <c r="F77" s="7"/>
      <c r="G77" s="2"/>
      <c r="H77" s="2"/>
      <c r="I77" s="12"/>
      <c r="J77" s="2"/>
      <c r="K77" s="2"/>
      <c r="L77" s="2"/>
      <c r="M77" s="2"/>
      <c r="N77" s="2"/>
      <c r="O77" s="2"/>
      <c r="P77" s="2"/>
      <c r="Q77" s="2"/>
      <c r="R77" s="2">
        <f t="shared" si="1"/>
        <v>27.59</v>
      </c>
      <c r="T77" s="16"/>
      <c r="U77" s="6"/>
    </row>
    <row r="78" spans="1:21" s="4" customFormat="1" x14ac:dyDescent="0.25">
      <c r="A78" s="2" t="s">
        <v>55</v>
      </c>
      <c r="B78" s="2"/>
      <c r="C78" s="2"/>
      <c r="D78" s="2"/>
      <c r="E78" s="2"/>
      <c r="F78" s="2"/>
      <c r="G78" s="2"/>
      <c r="H78" s="2"/>
      <c r="I78" s="12"/>
      <c r="J78" s="2">
        <v>70</v>
      </c>
      <c r="K78" s="2"/>
      <c r="L78" s="2">
        <v>110</v>
      </c>
      <c r="M78" s="2"/>
      <c r="N78" s="2"/>
      <c r="O78" s="2"/>
      <c r="P78" s="2"/>
      <c r="Q78" s="2"/>
      <c r="R78" s="2">
        <f t="shared" si="1"/>
        <v>180</v>
      </c>
      <c r="T78" s="16"/>
      <c r="U78" s="6"/>
    </row>
    <row r="79" spans="1:21" s="4" customFormat="1" x14ac:dyDescent="0.25">
      <c r="A79" s="2" t="s">
        <v>56</v>
      </c>
      <c r="B79" s="2"/>
      <c r="C79" s="2"/>
      <c r="D79" s="2"/>
      <c r="E79" s="2">
        <v>198.34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>
        <f t="shared" si="1"/>
        <v>198.34</v>
      </c>
    </row>
    <row r="80" spans="1:21" s="4" customFormat="1" x14ac:dyDescent="0.25">
      <c r="A80" s="2" t="s">
        <v>57</v>
      </c>
      <c r="B80" s="2">
        <v>79</v>
      </c>
      <c r="C80" s="2"/>
      <c r="D80" s="2"/>
      <c r="E80" s="2"/>
      <c r="F80" s="7"/>
      <c r="G80" s="2"/>
      <c r="H80" s="2"/>
      <c r="I80" s="2"/>
      <c r="J80" s="2"/>
      <c r="K80" s="2"/>
      <c r="L80" s="2"/>
      <c r="M80" s="2"/>
      <c r="N80" s="2">
        <v>38</v>
      </c>
      <c r="O80" s="2"/>
      <c r="P80" s="2"/>
      <c r="Q80" s="2"/>
      <c r="R80" s="2">
        <f t="shared" si="1"/>
        <v>117</v>
      </c>
    </row>
    <row r="81" spans="1:18" s="4" customFormat="1" x14ac:dyDescent="0.25">
      <c r="A81" s="2" t="s">
        <v>117</v>
      </c>
      <c r="B81" s="2"/>
      <c r="C81" s="2"/>
      <c r="D81" s="2"/>
      <c r="E81" s="2"/>
      <c r="F81" s="7"/>
      <c r="G81" s="2"/>
      <c r="H81" s="2"/>
      <c r="I81" s="2"/>
      <c r="J81" s="2"/>
      <c r="K81" s="2"/>
      <c r="L81" s="2"/>
      <c r="M81" s="2"/>
      <c r="N81" s="2">
        <v>145.04</v>
      </c>
      <c r="O81" s="2"/>
      <c r="P81" s="2"/>
      <c r="Q81" s="2"/>
      <c r="R81" s="2">
        <f t="shared" si="1"/>
        <v>145.04</v>
      </c>
    </row>
    <row r="82" spans="1:18" s="4" customFormat="1" x14ac:dyDescent="0.25">
      <c r="A82" s="2" t="s">
        <v>58</v>
      </c>
      <c r="B82" s="2">
        <v>84</v>
      </c>
      <c r="C82" s="2"/>
      <c r="D82" s="2"/>
      <c r="E82" s="2"/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f t="shared" si="1"/>
        <v>84</v>
      </c>
    </row>
    <row r="83" spans="1:18" s="4" customFormat="1" x14ac:dyDescent="0.25">
      <c r="A83" s="2" t="s">
        <v>59</v>
      </c>
      <c r="B83" s="2"/>
      <c r="C83" s="2"/>
      <c r="D83" s="2"/>
      <c r="E83" s="2"/>
      <c r="F83" s="7"/>
      <c r="G83" s="2"/>
      <c r="H83" s="2"/>
      <c r="I83" s="2"/>
      <c r="J83" s="2"/>
      <c r="K83" s="2"/>
      <c r="L83" s="2">
        <v>225</v>
      </c>
      <c r="M83" s="2"/>
      <c r="N83" s="2"/>
      <c r="O83" s="2"/>
      <c r="P83" s="2"/>
      <c r="Q83" s="2"/>
      <c r="R83" s="2">
        <f t="shared" si="1"/>
        <v>225</v>
      </c>
    </row>
    <row r="84" spans="1:18" s="4" customFormat="1" x14ac:dyDescent="0.25">
      <c r="A84" s="2" t="s">
        <v>110</v>
      </c>
      <c r="B84" s="2"/>
      <c r="C84" s="2"/>
      <c r="D84" s="2"/>
      <c r="E84" s="2"/>
      <c r="F84" s="7"/>
      <c r="G84" s="2">
        <v>68.650000000000006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>
        <f t="shared" si="1"/>
        <v>68.650000000000006</v>
      </c>
    </row>
    <row r="85" spans="1:18" s="4" customFormat="1" x14ac:dyDescent="0.25">
      <c r="A85" s="2" t="s">
        <v>98</v>
      </c>
      <c r="B85" s="2"/>
      <c r="C85" s="2"/>
      <c r="D85" s="2"/>
      <c r="E85" s="2"/>
      <c r="F85" s="2"/>
      <c r="G85" s="2"/>
      <c r="H85" s="2"/>
      <c r="I85" s="2"/>
      <c r="J85" s="2">
        <f>210+30</f>
        <v>240</v>
      </c>
      <c r="K85" s="2"/>
      <c r="L85" s="2"/>
      <c r="M85" s="2"/>
      <c r="N85" s="2"/>
      <c r="O85" s="2"/>
      <c r="P85" s="2"/>
      <c r="Q85" s="2"/>
      <c r="R85" s="2">
        <f t="shared" si="1"/>
        <v>240</v>
      </c>
    </row>
    <row r="86" spans="1:18" s="4" customFormat="1" x14ac:dyDescent="0.25">
      <c r="A86" s="2" t="s">
        <v>60</v>
      </c>
      <c r="B86" s="2"/>
      <c r="C86" s="2">
        <v>168.6</v>
      </c>
      <c r="D86" s="2"/>
      <c r="E86" s="2"/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f t="shared" si="1"/>
        <v>168.6</v>
      </c>
    </row>
    <row r="87" spans="1:18" s="4" customFormat="1" x14ac:dyDescent="0.25">
      <c r="A87" s="2" t="s">
        <v>61</v>
      </c>
      <c r="B87" s="2"/>
      <c r="C87" s="2"/>
      <c r="D87" s="2"/>
      <c r="E87" s="2"/>
      <c r="F87" s="7"/>
      <c r="G87" s="2"/>
      <c r="H87" s="2"/>
      <c r="I87" s="2"/>
      <c r="J87" s="2"/>
      <c r="K87" s="2"/>
      <c r="L87" s="2"/>
      <c r="M87" s="2"/>
      <c r="N87" s="2"/>
      <c r="O87" s="2">
        <v>107.6</v>
      </c>
      <c r="P87" s="2">
        <v>121</v>
      </c>
      <c r="Q87" s="2"/>
      <c r="R87" s="2">
        <f t="shared" si="1"/>
        <v>228.6</v>
      </c>
    </row>
    <row r="88" spans="1:18" s="4" customFormat="1" x14ac:dyDescent="0.25">
      <c r="A88" s="2" t="s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112</v>
      </c>
      <c r="P88" s="2">
        <v>62</v>
      </c>
      <c r="Q88" s="2"/>
      <c r="R88" s="2">
        <f t="shared" si="1"/>
        <v>174</v>
      </c>
    </row>
    <row r="89" spans="1:18" s="4" customFormat="1" x14ac:dyDescent="0.25">
      <c r="A89" s="2" t="s">
        <v>62</v>
      </c>
      <c r="B89" s="2"/>
      <c r="C89" s="2"/>
      <c r="D89" s="2"/>
      <c r="E89" s="2"/>
      <c r="F89" s="7"/>
      <c r="G89" s="2"/>
      <c r="H89" s="2"/>
      <c r="I89" s="2"/>
      <c r="J89" s="2"/>
      <c r="K89" s="2"/>
      <c r="L89" s="2"/>
      <c r="M89" s="2">
        <v>82.06</v>
      </c>
      <c r="N89" s="2">
        <v>120.13</v>
      </c>
      <c r="O89" s="2">
        <v>272</v>
      </c>
      <c r="P89" s="2"/>
      <c r="Q89" s="2"/>
      <c r="R89" s="2">
        <f t="shared" si="1"/>
        <v>474.19</v>
      </c>
    </row>
    <row r="90" spans="1:18" s="4" customFormat="1" x14ac:dyDescent="0.25">
      <c r="A90" s="2" t="s">
        <v>63</v>
      </c>
      <c r="B90" s="2"/>
      <c r="C90" s="2"/>
      <c r="D90" s="2"/>
      <c r="E90" s="2"/>
      <c r="F90" s="7"/>
      <c r="G90" s="2">
        <v>64.92</v>
      </c>
      <c r="H90" s="2"/>
      <c r="I90" s="2"/>
      <c r="J90" s="2"/>
      <c r="K90" s="2">
        <v>18</v>
      </c>
      <c r="L90" s="2"/>
      <c r="M90" s="2"/>
      <c r="N90" s="2"/>
      <c r="O90" s="2"/>
      <c r="P90" s="2">
        <v>62.17</v>
      </c>
      <c r="Q90" s="2"/>
      <c r="R90" s="2">
        <f t="shared" si="1"/>
        <v>145.09</v>
      </c>
    </row>
    <row r="91" spans="1:18" s="4" customFormat="1" x14ac:dyDescent="0.25">
      <c r="A91" s="2" t="s">
        <v>101</v>
      </c>
      <c r="B91" s="2"/>
      <c r="C91" s="2"/>
      <c r="D91" s="2"/>
      <c r="E91" s="2">
        <v>307.70999999999998</v>
      </c>
      <c r="F91" s="7">
        <v>261.7</v>
      </c>
      <c r="G91" s="2">
        <v>199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 t="shared" si="1"/>
        <v>768.41</v>
      </c>
    </row>
    <row r="92" spans="1:18" s="4" customFormat="1" x14ac:dyDescent="0.25">
      <c r="A92" s="38" t="s">
        <v>105</v>
      </c>
      <c r="B92" s="2"/>
      <c r="C92" s="2"/>
      <c r="D92" s="2"/>
      <c r="E92" s="2">
        <v>25.69</v>
      </c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>
        <f t="shared" si="1"/>
        <v>25.69</v>
      </c>
    </row>
    <row r="93" spans="1:18" s="4" customFormat="1" x14ac:dyDescent="0.25">
      <c r="A93" s="2" t="s">
        <v>73</v>
      </c>
      <c r="B93" s="2"/>
      <c r="C93" s="2"/>
      <c r="D93" s="2"/>
      <c r="E93" s="2"/>
      <c r="F93" s="7"/>
      <c r="G93" s="2"/>
      <c r="H93" s="2">
        <v>263.87</v>
      </c>
      <c r="I93" s="12"/>
      <c r="J93" s="2"/>
      <c r="K93" s="2"/>
      <c r="L93" s="2"/>
      <c r="M93" s="2"/>
      <c r="N93" s="2"/>
      <c r="O93" s="2"/>
      <c r="P93" s="2"/>
      <c r="Q93" s="2"/>
      <c r="R93" s="2">
        <f t="shared" si="1"/>
        <v>263.87</v>
      </c>
    </row>
    <row r="94" spans="1:18" s="4" customFormat="1" x14ac:dyDescent="0.25">
      <c r="A94" s="2" t="s">
        <v>64</v>
      </c>
      <c r="B94" s="2"/>
      <c r="C94" s="2">
        <v>127.03</v>
      </c>
      <c r="D94" s="2"/>
      <c r="E94" s="2"/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f t="shared" si="1"/>
        <v>127.03</v>
      </c>
    </row>
    <row r="95" spans="1:18" s="4" customFormat="1" x14ac:dyDescent="0.25">
      <c r="A95" s="2" t="s">
        <v>111</v>
      </c>
      <c r="B95" s="2">
        <v>95</v>
      </c>
      <c r="C95" s="2"/>
      <c r="D95" s="2"/>
      <c r="E95" s="2"/>
      <c r="F95" s="7"/>
      <c r="G95" s="2"/>
      <c r="H95" s="2"/>
      <c r="I95" s="2"/>
      <c r="J95" s="2"/>
      <c r="K95" s="2"/>
      <c r="L95" s="2"/>
      <c r="M95" s="2"/>
      <c r="N95" s="2"/>
      <c r="O95" s="2">
        <v>114.5</v>
      </c>
      <c r="P95" s="2"/>
      <c r="Q95" s="2"/>
      <c r="R95" s="2">
        <f t="shared" si="1"/>
        <v>209.5</v>
      </c>
    </row>
    <row r="96" spans="1:18" s="4" customFormat="1" x14ac:dyDescent="0.25">
      <c r="A96" s="2" t="s">
        <v>65</v>
      </c>
      <c r="B96" s="2">
        <v>88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98.08</v>
      </c>
      <c r="O96" s="2"/>
      <c r="P96" s="2"/>
      <c r="Q96" s="2"/>
      <c r="R96" s="2">
        <f t="shared" si="1"/>
        <v>186.07999999999998</v>
      </c>
    </row>
    <row r="97" spans="1:18" s="4" customFormat="1" x14ac:dyDescent="0.25">
      <c r="A97" s="2" t="s">
        <v>66</v>
      </c>
      <c r="B97" s="2"/>
      <c r="C97" s="2"/>
      <c r="D97" s="2"/>
      <c r="E97" s="2"/>
      <c r="F97" s="2"/>
      <c r="G97" s="2"/>
      <c r="H97" s="2"/>
      <c r="I97" s="2">
        <v>359.71</v>
      </c>
      <c r="J97" s="2"/>
      <c r="K97" s="2"/>
      <c r="L97" s="2"/>
      <c r="M97" s="2"/>
      <c r="N97" s="2"/>
      <c r="O97" s="2"/>
      <c r="P97" s="2"/>
      <c r="Q97" s="2"/>
      <c r="R97" s="2">
        <f t="shared" si="1"/>
        <v>359.71</v>
      </c>
    </row>
    <row r="98" spans="1:18" s="4" customFormat="1" x14ac:dyDescent="0.25">
      <c r="A98" s="2" t="s">
        <v>112</v>
      </c>
      <c r="B98" s="2"/>
      <c r="C98" s="2"/>
      <c r="D98" s="2"/>
      <c r="E98" s="2"/>
      <c r="F98" s="2">
        <v>189.41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f t="shared" si="1"/>
        <v>189.41</v>
      </c>
    </row>
    <row r="99" spans="1:18" s="4" customFormat="1" x14ac:dyDescent="0.25">
      <c r="A99" s="2" t="s">
        <v>100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60.65</v>
      </c>
      <c r="O99" s="2">
        <v>11.85</v>
      </c>
      <c r="P99" s="2"/>
      <c r="Q99" s="2"/>
      <c r="R99" s="2">
        <f t="shared" si="1"/>
        <v>72.5</v>
      </c>
    </row>
    <row r="100" spans="1:18" s="4" customFormat="1" x14ac:dyDescent="0.25">
      <c r="A100" s="2" t="s">
        <v>67</v>
      </c>
      <c r="B100" s="2"/>
      <c r="C100" s="2"/>
      <c r="D100" s="2"/>
      <c r="E100" s="2">
        <v>39.4</v>
      </c>
      <c r="F100" s="7"/>
      <c r="G100" s="2"/>
      <c r="H100" s="2">
        <v>149.02000000000001</v>
      </c>
      <c r="I100" s="12"/>
      <c r="J100" s="2"/>
      <c r="K100" s="2"/>
      <c r="L100" s="2"/>
      <c r="M100" s="2"/>
      <c r="N100" s="2"/>
      <c r="O100" s="2"/>
      <c r="P100" s="2"/>
      <c r="Q100" s="2"/>
      <c r="R100" s="2">
        <f t="shared" si="1"/>
        <v>188.42000000000002</v>
      </c>
    </row>
    <row r="101" spans="1:18" s="4" customFormat="1" x14ac:dyDescent="0.25">
      <c r="A101" s="2" t="s">
        <v>68</v>
      </c>
      <c r="B101" s="2"/>
      <c r="C101" s="2"/>
      <c r="D101" s="2"/>
      <c r="E101" s="2"/>
      <c r="F101" s="7"/>
      <c r="G101" s="2"/>
      <c r="H101" s="2"/>
      <c r="I101" s="12"/>
      <c r="J101" s="2"/>
      <c r="K101" s="2"/>
      <c r="L101" s="2"/>
      <c r="M101" s="2">
        <v>107.74</v>
      </c>
      <c r="N101" s="2"/>
      <c r="O101" s="2">
        <v>25.6</v>
      </c>
      <c r="P101" s="2"/>
      <c r="Q101" s="2"/>
      <c r="R101" s="2">
        <f t="shared" si="1"/>
        <v>133.34</v>
      </c>
    </row>
    <row r="102" spans="1:18" s="4" customFormat="1" x14ac:dyDescent="0.25">
      <c r="A102" s="2" t="s">
        <v>76</v>
      </c>
      <c r="B102" s="2"/>
      <c r="C102" s="2"/>
      <c r="D102" s="2"/>
      <c r="E102" s="2"/>
      <c r="F102" s="7">
        <v>151.13</v>
      </c>
      <c r="G102" s="2"/>
      <c r="H102" s="2"/>
      <c r="I102" s="12"/>
      <c r="J102" s="2"/>
      <c r="K102" s="2"/>
      <c r="L102" s="2">
        <v>52</v>
      </c>
      <c r="M102" s="2"/>
      <c r="N102" s="2"/>
      <c r="O102" s="2"/>
      <c r="P102" s="2"/>
      <c r="Q102" s="2"/>
      <c r="R102" s="2">
        <f t="shared" si="1"/>
        <v>203.13</v>
      </c>
    </row>
    <row r="103" spans="1:18" s="4" customFormat="1" x14ac:dyDescent="0.25">
      <c r="A103" s="2" t="s">
        <v>69</v>
      </c>
      <c r="B103" s="2">
        <v>67</v>
      </c>
      <c r="C103" s="2">
        <v>112.73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f t="shared" si="1"/>
        <v>179.73000000000002</v>
      </c>
    </row>
    <row r="104" spans="1:18" s="4" customFormat="1" ht="15.75" thickBot="1" x14ac:dyDescent="0.3">
      <c r="A104" s="2" t="s">
        <v>93</v>
      </c>
      <c r="B104" s="2"/>
      <c r="C104" s="2"/>
      <c r="D104" s="2">
        <v>219.69</v>
      </c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f t="shared" si="1"/>
        <v>219.69</v>
      </c>
    </row>
    <row r="105" spans="1:18" s="4" customFormat="1" ht="15.75" thickBot="1" x14ac:dyDescent="0.3">
      <c r="A105" s="15" t="s">
        <v>1</v>
      </c>
      <c r="B105" s="3">
        <f t="shared" ref="B105:R105" si="2">SUM(B2:B104)</f>
        <v>2475</v>
      </c>
      <c r="C105" s="3">
        <f t="shared" si="2"/>
        <v>764.23</v>
      </c>
      <c r="D105" s="3">
        <f t="shared" si="2"/>
        <v>943.43999999999983</v>
      </c>
      <c r="E105" s="3">
        <f t="shared" si="2"/>
        <v>2009.15</v>
      </c>
      <c r="F105" s="3">
        <f t="shared" si="2"/>
        <v>1686.1</v>
      </c>
      <c r="G105" s="3">
        <f t="shared" si="2"/>
        <v>1345.15</v>
      </c>
      <c r="H105" s="3">
        <f t="shared" si="2"/>
        <v>1892.1100000000001</v>
      </c>
      <c r="I105" s="3">
        <f t="shared" si="2"/>
        <v>1457.66</v>
      </c>
      <c r="J105" s="3">
        <f t="shared" si="2"/>
        <v>530</v>
      </c>
      <c r="K105" s="3">
        <f>SUM(K2:K104)</f>
        <v>562</v>
      </c>
      <c r="L105" s="3">
        <f t="shared" si="2"/>
        <v>1335</v>
      </c>
      <c r="M105" s="3">
        <f t="shared" si="2"/>
        <v>746.91000000000008</v>
      </c>
      <c r="N105" s="3">
        <f t="shared" si="2"/>
        <v>1027.8600000000001</v>
      </c>
      <c r="O105" s="3">
        <f t="shared" si="2"/>
        <v>2653.9900000000002</v>
      </c>
      <c r="P105" s="3">
        <f t="shared" si="2"/>
        <v>677.29</v>
      </c>
      <c r="Q105" s="3">
        <f t="shared" si="2"/>
        <v>0</v>
      </c>
      <c r="R105" s="3">
        <f t="shared" si="2"/>
        <v>20105.889999999996</v>
      </c>
    </row>
    <row r="106" spans="1:18" s="4" customFormat="1" ht="15.75" thickBot="1" x14ac:dyDescent="0.3">
      <c r="A106" s="19" t="s">
        <v>94</v>
      </c>
      <c r="B106" s="40">
        <v>50.22</v>
      </c>
      <c r="C106" s="3">
        <v>105</v>
      </c>
      <c r="D106" s="32">
        <v>8.94</v>
      </c>
      <c r="E106" s="39">
        <v>833.15</v>
      </c>
      <c r="F106" s="40">
        <v>189</v>
      </c>
      <c r="G106" s="3">
        <v>395</v>
      </c>
      <c r="H106" s="3">
        <v>206.46</v>
      </c>
      <c r="I106" s="3">
        <v>56.7</v>
      </c>
      <c r="J106" s="3">
        <v>177</v>
      </c>
      <c r="K106" s="3"/>
      <c r="L106" s="3">
        <v>655</v>
      </c>
      <c r="M106" s="3" t="e">
        <f>2080-SUM(M105,#REF!,#REF!)-75</f>
        <v>#REF!</v>
      </c>
      <c r="N106" s="3" t="e">
        <f>3432-SUM(N105,#REF!,#REF!)-100</f>
        <v>#REF!</v>
      </c>
      <c r="O106" s="3">
        <v>531.62</v>
      </c>
      <c r="P106" s="3">
        <v>0</v>
      </c>
      <c r="Q106" s="33"/>
      <c r="R106" s="3" t="e">
        <f>SUM(B106:Q106)</f>
        <v>#REF!</v>
      </c>
    </row>
    <row r="107" spans="1:18" s="4" customFormat="1" x14ac:dyDescent="0.25"/>
    <row r="108" spans="1:18" s="4" customFormat="1" x14ac:dyDescent="0.25">
      <c r="I108" s="17"/>
    </row>
    <row r="109" spans="1:18" s="4" customFormat="1" x14ac:dyDescent="0.25"/>
    <row r="111" spans="1:18" s="4" customFormat="1" x14ac:dyDescent="0.25"/>
    <row r="112" spans="1:18" s="4" customFormat="1" x14ac:dyDescent="0.25"/>
    <row r="113" spans="1:15" s="4" customFormat="1" x14ac:dyDescent="0.25"/>
    <row r="114" spans="1:15" s="4" customFormat="1" x14ac:dyDescent="0.25"/>
    <row r="115" spans="1:15" s="17" customFormat="1" x14ac:dyDescent="0.25">
      <c r="A115" s="4"/>
      <c r="B115" s="4"/>
      <c r="C115" s="4"/>
      <c r="D115" s="4"/>
      <c r="E115" s="4"/>
      <c r="F115" s="4"/>
      <c r="G115" s="4"/>
      <c r="L115" s="4"/>
      <c r="M115" s="4"/>
      <c r="N115" s="4"/>
      <c r="O115" s="4"/>
    </row>
    <row r="116" spans="1:15" s="4" customFormat="1" x14ac:dyDescent="0.25"/>
    <row r="117" spans="1:15" s="4" customFormat="1" x14ac:dyDescent="0.25"/>
    <row r="118" spans="1:15" s="4" customFormat="1" x14ac:dyDescent="0.25"/>
    <row r="119" spans="1:15" s="4" customFormat="1" x14ac:dyDescent="0.25"/>
    <row r="120" spans="1:15" s="4" customFormat="1" x14ac:dyDescent="0.25"/>
    <row r="122" spans="1:15" s="4" customFormat="1" x14ac:dyDescent="0.25"/>
  </sheetData>
  <autoFilter ref="A1:Z109"/>
  <customSheetViews>
    <customSheetView guid="{DA8006FA-F549-4B7E-8C3D-B376CE1F2F3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1"/>
      <autoFilter ref="A1:Z109"/>
    </customSheetView>
    <customSheetView guid="{F0DA5CBD-521B-45E5-999C-010E89D9B2D8}" showAutoFilter="1">
      <pane xSplit="1" ySplit="1" topLeftCell="B65" activePane="bottomRight" state="frozen"/>
      <selection pane="bottomRight" activeCell="E107" sqref="E107"/>
      <pageMargins left="0.7" right="0.7" top="0.75" bottom="0.75" header="0.3" footer="0.3"/>
      <pageSetup orientation="portrait" r:id="rId2"/>
      <autoFilter ref="A1:Z109"/>
    </customSheetView>
    <customSheetView guid="{469AD9BF-30A2-4B96-A486-3FA9AB8366A9}" showAutoFilter="1" hiddenColumns="1">
      <pane xSplit="1" ySplit="1" topLeftCell="B83" activePane="bottomRight" state="frozen"/>
      <selection pane="bottomRight" activeCell="F1" sqref="F1"/>
      <pageMargins left="0.7" right="0.7" top="0.75" bottom="0.75" header="0.3" footer="0.3"/>
      <pageSetup orientation="portrait" r:id="rId3"/>
      <autoFilter ref="A1:X107"/>
    </customSheetView>
    <customSheetView guid="{D1D8DB89-8B15-46D7-BD65-8126044F3FDD}" scale="78" showAutoFilter="1" hiddenColumns="1">
      <pane xSplit="1" ySplit="1" topLeftCell="B84" activePane="bottomRight" state="frozen"/>
      <selection pane="bottomRight" activeCell="S114" sqref="S114"/>
      <pageMargins left="0.7" right="0.7" top="0.75" bottom="0.75" header="0.3" footer="0.3"/>
      <autoFilter ref="A1:X107"/>
    </customSheetView>
    <customSheetView guid="{F3F5D55A-D50A-4AED-AB89-A670EA403EE1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4"/>
      <autoFilter ref="A1:X104"/>
    </customSheetView>
    <customSheetView guid="{5CAD95A0-6A36-40CB-87DA-370F39FC7259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5"/>
      <autoFilter ref="A1:X104"/>
    </customSheetView>
    <customSheetView guid="{2016DEE0-C3DF-42DE-827B-714D5FF500FE}" showAutoFilter="1">
      <pane xSplit="1" ySplit="1" topLeftCell="B62" activePane="bottomRight" state="frozen"/>
      <selection pane="bottomRight" activeCell="R91" sqref="R91"/>
      <pageMargins left="0.7" right="0.7" top="0.75" bottom="0.75" header="0.3" footer="0.3"/>
      <pageSetup orientation="portrait" r:id="rId6"/>
      <autoFilter ref="A1:Z111"/>
    </customSheetView>
    <customSheetView guid="{5F1CCD53-A6B6-4801-9001-0C0BEBA8D20D}" showAutoFilter="1">
      <pane xSplit="1" ySplit="1" topLeftCell="B83" activePane="bottomRight" state="frozen"/>
      <selection pane="bottomRight" activeCell="Q94" sqref="Q94"/>
      <pageMargins left="0.7" right="0.7" top="0.75" bottom="0.75" header="0.3" footer="0.3"/>
      <pageSetup orientation="portrait" r:id="rId7"/>
      <autoFilter ref="A1:Z109"/>
    </customSheetView>
    <customSheetView guid="{D364304B-E18C-453B-A624-DE6197120D49}" showAutoFilter="1">
      <pane xSplit="1" ySplit="1" topLeftCell="E2" activePane="bottomRight" state="frozen"/>
      <selection pane="bottomRight" activeCell="I102" sqref="I102"/>
      <pageMargins left="0.7" right="0.7" top="0.75" bottom="0.75" header="0.3" footer="0.3"/>
      <pageSetup orientation="portrait" r:id="rId8"/>
      <autoFilter ref="A1:Z109"/>
    </customSheetView>
    <customSheetView guid="{BDA34D52-B4BA-426C-853B-2B50F8AB0C7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9"/>
      <autoFilter ref="A1:Z109"/>
    </customSheetView>
    <customSheetView guid="{C66BF055-7613-4DC3-BA99-25F44C751266}" showAutoFilter="1" hiddenColumns="1">
      <pane xSplit="1" ySplit="1" topLeftCell="B65" activePane="bottomRight" state="frozen"/>
      <selection pane="bottomRight" activeCell="A68" sqref="A68"/>
      <pageMargins left="0.7" right="0.7" top="0.75" bottom="0.75" header="0.3" footer="0.3"/>
      <pageSetup orientation="portrait" r:id="rId10"/>
      <autoFilter ref="A1:Z109"/>
    </customSheetView>
    <customSheetView guid="{7A751D0E-E1DB-4CA9-844E-987730CC2DF7}" showAutoFilter="1">
      <pane xSplit="1" ySplit="1" topLeftCell="F95" activePane="bottomRight" state="frozen"/>
      <selection pane="bottomRight" activeCell="K1" sqref="K1"/>
      <pageMargins left="0.7" right="0.7" top="0.75" bottom="0.75" header="0.3" footer="0.3"/>
      <pageSetup orientation="portrait" r:id="rId11"/>
      <autoFilter ref="A1:Z109"/>
    </customSheetView>
  </customSheetViews>
  <pageMargins left="0.7" right="0.7" top="0.75" bottom="0.75" header="0.3" footer="0.3"/>
  <pageSetup orientation="portrait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5" x14ac:dyDescent="0.25"/>
  <cols>
    <col min="1" max="1" width="29.7109375" style="17" bestFit="1" customWidth="1"/>
    <col min="2" max="2" width="24" bestFit="1" customWidth="1"/>
    <col min="17" max="17" width="9.140625" style="17"/>
    <col min="23" max="23" width="5.5703125" bestFit="1" customWidth="1"/>
    <col min="24" max="24" width="3.85546875" customWidth="1"/>
    <col min="25" max="25" width="4.140625" bestFit="1" customWidth="1"/>
    <col min="26" max="27" width="3.28515625" bestFit="1" customWidth="1"/>
    <col min="28" max="28" width="3.140625" bestFit="1" customWidth="1"/>
    <col min="29" max="29" width="3" bestFit="1" customWidth="1"/>
    <col min="30" max="30" width="3.42578125" bestFit="1" customWidth="1"/>
  </cols>
  <sheetData>
    <row r="1" spans="1:30" ht="45" x14ac:dyDescent="0.25">
      <c r="A1" s="17" t="s">
        <v>326</v>
      </c>
      <c r="B1" s="119" t="s">
        <v>0</v>
      </c>
      <c r="C1" s="119" t="s">
        <v>329</v>
      </c>
      <c r="D1" s="119" t="s">
        <v>288</v>
      </c>
      <c r="E1" s="119" t="s">
        <v>330</v>
      </c>
      <c r="F1" s="119" t="s">
        <v>331</v>
      </c>
      <c r="G1" s="119" t="s">
        <v>260</v>
      </c>
      <c r="H1" s="119" t="s">
        <v>276</v>
      </c>
      <c r="I1" s="119" t="s">
        <v>277</v>
      </c>
      <c r="J1" s="119" t="s">
        <v>280</v>
      </c>
      <c r="K1" s="119" t="s">
        <v>281</v>
      </c>
      <c r="L1" s="119" t="s">
        <v>289</v>
      </c>
      <c r="M1" s="119" t="s">
        <v>305</v>
      </c>
      <c r="N1" s="119" t="s">
        <v>315</v>
      </c>
      <c r="O1" s="119" t="s">
        <v>332</v>
      </c>
      <c r="P1" s="119" t="s">
        <v>325</v>
      </c>
      <c r="Q1" s="119" t="s">
        <v>262</v>
      </c>
      <c r="R1" s="119" t="s">
        <v>333</v>
      </c>
      <c r="S1" s="119" t="s">
        <v>306</v>
      </c>
      <c r="T1" s="119" t="s">
        <v>83</v>
      </c>
      <c r="U1" s="119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x14ac:dyDescent="0.25">
      <c r="A2" s="17" t="s">
        <v>327</v>
      </c>
      <c r="B2" s="42" t="s">
        <v>172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>
        <v>130.50700000000001</v>
      </c>
      <c r="R2" s="120"/>
      <c r="S2" s="42"/>
      <c r="T2" s="42"/>
      <c r="U2" s="121">
        <v>130.50700000000001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s="17" customFormat="1" x14ac:dyDescent="0.25">
      <c r="A3" s="17" t="s">
        <v>328</v>
      </c>
      <c r="B3" s="42" t="s">
        <v>128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>
        <v>63.848000000000006</v>
      </c>
      <c r="S3" s="42"/>
      <c r="T3" s="42"/>
      <c r="U3" s="121">
        <v>63.848000000000006</v>
      </c>
      <c r="W3" s="70"/>
      <c r="X3" s="53"/>
      <c r="Y3" s="53"/>
      <c r="Z3" s="53"/>
      <c r="AA3" s="53"/>
      <c r="AB3" s="53"/>
      <c r="AC3" s="53"/>
      <c r="AD3" s="55"/>
    </row>
    <row r="4" spans="1:30" x14ac:dyDescent="0.25">
      <c r="B4" s="42" t="s">
        <v>134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>
        <v>108.65200000000002</v>
      </c>
      <c r="Q4" s="42"/>
      <c r="R4" s="42"/>
      <c r="S4" s="42"/>
      <c r="T4" s="42"/>
      <c r="U4" s="121">
        <v>108.65200000000002</v>
      </c>
      <c r="W4" s="70" t="s">
        <v>249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66" t="s">
        <v>71</v>
      </c>
      <c r="AD4" s="71"/>
    </row>
    <row r="5" spans="1:30" x14ac:dyDescent="0.25">
      <c r="B5" s="42" t="s">
        <v>139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>
        <v>98.234000000000009</v>
      </c>
      <c r="Q5" s="42"/>
      <c r="R5" s="42"/>
      <c r="S5" s="42"/>
      <c r="T5" s="42"/>
      <c r="U5" s="121">
        <v>98.234000000000009</v>
      </c>
      <c r="W5" s="70" t="s">
        <v>322</v>
      </c>
      <c r="X5" s="66" t="s">
        <v>71</v>
      </c>
      <c r="Y5" s="66" t="s">
        <v>71</v>
      </c>
      <c r="Z5" s="66" t="s">
        <v>71</v>
      </c>
      <c r="AA5" s="66" t="s">
        <v>71</v>
      </c>
      <c r="AB5" s="66" t="s">
        <v>71</v>
      </c>
      <c r="AC5" s="66" t="s">
        <v>71</v>
      </c>
      <c r="AD5" s="71" t="s">
        <v>71</v>
      </c>
    </row>
    <row r="6" spans="1:30" x14ac:dyDescent="0.25">
      <c r="B6" s="42" t="s">
        <v>217</v>
      </c>
      <c r="C6" s="42"/>
      <c r="D6" s="42"/>
      <c r="E6" s="42"/>
      <c r="F6" s="42"/>
      <c r="G6" s="42"/>
      <c r="H6" s="42"/>
      <c r="I6" s="42"/>
      <c r="J6" s="42"/>
      <c r="K6" s="42"/>
      <c r="L6" s="42">
        <v>18.72</v>
      </c>
      <c r="M6" s="42">
        <v>141.309</v>
      </c>
      <c r="N6" s="42"/>
      <c r="O6" s="42"/>
      <c r="P6" s="42"/>
      <c r="Q6" s="42"/>
      <c r="R6" s="42"/>
      <c r="S6" s="42"/>
      <c r="T6" s="42"/>
      <c r="U6" s="121">
        <v>160.029</v>
      </c>
    </row>
    <row r="7" spans="1:30" x14ac:dyDescent="0.25">
      <c r="B7" s="42" t="s">
        <v>125</v>
      </c>
      <c r="C7" s="42">
        <v>38.557000000000002</v>
      </c>
      <c r="D7" s="42">
        <v>3.8809999999999998</v>
      </c>
      <c r="E7" s="42">
        <v>73.850999999999999</v>
      </c>
      <c r="F7" s="42"/>
      <c r="G7" s="42"/>
      <c r="H7" s="42"/>
      <c r="I7" s="42"/>
      <c r="J7" s="42"/>
      <c r="K7" s="42"/>
      <c r="L7" s="42"/>
      <c r="M7" s="42"/>
      <c r="N7" s="42">
        <v>32.691000000000003</v>
      </c>
      <c r="O7" s="42"/>
      <c r="P7" s="42"/>
      <c r="Q7" s="42"/>
      <c r="R7" s="42"/>
      <c r="S7" s="42"/>
      <c r="T7" s="42"/>
      <c r="U7" s="121">
        <v>148.98000000000002</v>
      </c>
    </row>
    <row r="8" spans="1:30" x14ac:dyDescent="0.25">
      <c r="B8" s="42" t="s">
        <v>158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>
        <v>63.69</v>
      </c>
      <c r="N8" s="42"/>
      <c r="O8" s="42"/>
      <c r="P8" s="42"/>
      <c r="Q8" s="42"/>
      <c r="R8" s="42"/>
      <c r="S8" s="42"/>
      <c r="T8" s="42"/>
      <c r="U8" s="121">
        <v>63.69</v>
      </c>
    </row>
    <row r="9" spans="1:30" x14ac:dyDescent="0.25">
      <c r="B9" s="42" t="s">
        <v>189</v>
      </c>
      <c r="C9" s="42"/>
      <c r="D9" s="42"/>
      <c r="E9" s="42"/>
      <c r="F9" s="42"/>
      <c r="G9" s="42"/>
      <c r="H9" s="42"/>
      <c r="I9" s="42"/>
      <c r="J9" s="42"/>
      <c r="K9" s="42">
        <v>153.62300000000002</v>
      </c>
      <c r="L9" s="42"/>
      <c r="M9" s="42"/>
      <c r="N9" s="42"/>
      <c r="O9" s="42"/>
      <c r="P9" s="42"/>
      <c r="Q9" s="42"/>
      <c r="R9" s="42"/>
      <c r="S9" s="42"/>
      <c r="T9" s="42"/>
      <c r="U9" s="121">
        <v>153.62300000000002</v>
      </c>
    </row>
    <row r="10" spans="1:30" x14ac:dyDescent="0.25">
      <c r="B10" s="42" t="s">
        <v>185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>
        <v>41.460999999999999</v>
      </c>
      <c r="N10" s="42">
        <v>124.9</v>
      </c>
      <c r="O10" s="42"/>
      <c r="P10" s="42"/>
      <c r="Q10" s="42"/>
      <c r="R10" s="42"/>
      <c r="S10" s="42"/>
      <c r="T10" s="42"/>
      <c r="U10" s="121">
        <v>166.36099999999999</v>
      </c>
    </row>
    <row r="11" spans="1:30" x14ac:dyDescent="0.25">
      <c r="B11" s="42" t="s">
        <v>149</v>
      </c>
      <c r="C11" s="42"/>
      <c r="D11" s="42"/>
      <c r="E11" s="42"/>
      <c r="F11" s="42"/>
      <c r="G11" s="42"/>
      <c r="H11" s="42"/>
      <c r="I11" s="42">
        <v>153.726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121">
        <v>153.726</v>
      </c>
    </row>
    <row r="12" spans="1:30" x14ac:dyDescent="0.25">
      <c r="B12" s="42" t="s">
        <v>197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>
        <v>166.59600000000003</v>
      </c>
      <c r="N12" s="42">
        <v>16.734999999999999</v>
      </c>
      <c r="O12" s="42"/>
      <c r="P12" s="42"/>
      <c r="Q12" s="42"/>
      <c r="R12" s="42"/>
      <c r="S12" s="42"/>
      <c r="T12" s="42"/>
      <c r="U12" s="121">
        <v>183.33100000000002</v>
      </c>
    </row>
    <row r="13" spans="1:30" x14ac:dyDescent="0.25">
      <c r="B13" s="42" t="s">
        <v>198</v>
      </c>
      <c r="C13" s="42"/>
      <c r="D13" s="42">
        <v>143.148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121">
        <v>143.148</v>
      </c>
    </row>
    <row r="14" spans="1:30" x14ac:dyDescent="0.25">
      <c r="B14" s="42" t="s">
        <v>142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>
        <v>176.739</v>
      </c>
      <c r="Q14" s="42"/>
      <c r="R14" s="42"/>
      <c r="S14" s="42"/>
      <c r="T14" s="42"/>
      <c r="U14" s="121">
        <v>176.739</v>
      </c>
    </row>
    <row r="15" spans="1:30" x14ac:dyDescent="0.25">
      <c r="B15" s="42" t="s">
        <v>218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>
        <v>29.099000000000004</v>
      </c>
      <c r="O15" s="42"/>
      <c r="P15" s="42"/>
      <c r="Q15" s="42"/>
      <c r="R15" s="42"/>
      <c r="S15" s="42"/>
      <c r="T15" s="42"/>
      <c r="U15" s="121">
        <v>29.099000000000004</v>
      </c>
    </row>
    <row r="16" spans="1:30" x14ac:dyDescent="0.25">
      <c r="B16" s="42" t="s">
        <v>156</v>
      </c>
      <c r="C16" s="42"/>
      <c r="D16" s="42"/>
      <c r="E16" s="42"/>
      <c r="F16" s="42"/>
      <c r="G16" s="42"/>
      <c r="H16" s="42">
        <v>81.073000000000008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21">
        <v>81.073000000000008</v>
      </c>
    </row>
    <row r="17" spans="2:21" x14ac:dyDescent="0.25">
      <c r="B17" s="42" t="s">
        <v>171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>
        <v>120</v>
      </c>
      <c r="T17" s="42"/>
      <c r="U17" s="121">
        <v>120</v>
      </c>
    </row>
    <row r="18" spans="2:21" x14ac:dyDescent="0.25">
      <c r="B18" s="42" t="s">
        <v>176</v>
      </c>
      <c r="C18" s="42"/>
      <c r="D18" s="42"/>
      <c r="E18" s="42"/>
      <c r="F18" s="42"/>
      <c r="G18" s="42"/>
      <c r="H18" s="42">
        <v>129.67699999999999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121">
        <v>129.67699999999999</v>
      </c>
    </row>
    <row r="19" spans="2:21" x14ac:dyDescent="0.25">
      <c r="B19" s="42" t="s">
        <v>183</v>
      </c>
      <c r="C19" s="42">
        <v>97.709000000000003</v>
      </c>
      <c r="D19" s="42">
        <v>41.762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21">
        <v>139.471</v>
      </c>
    </row>
    <row r="20" spans="2:21" x14ac:dyDescent="0.25">
      <c r="B20" s="42" t="s">
        <v>135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>
        <v>226.23399999999995</v>
      </c>
      <c r="R20" s="42"/>
      <c r="S20" s="42"/>
      <c r="T20" s="42"/>
      <c r="U20" s="121">
        <v>226.23399999999995</v>
      </c>
    </row>
    <row r="21" spans="2:21" x14ac:dyDescent="0.25">
      <c r="B21" s="42" t="s">
        <v>180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>
        <v>115.47399999999998</v>
      </c>
      <c r="S21" s="42"/>
      <c r="T21" s="42"/>
      <c r="U21" s="121">
        <v>115.47399999999998</v>
      </c>
    </row>
    <row r="22" spans="2:21" x14ac:dyDescent="0.25">
      <c r="B22" s="42" t="s">
        <v>123</v>
      </c>
      <c r="C22" s="42"/>
      <c r="D22" s="42"/>
      <c r="E22" s="42">
        <v>106.096</v>
      </c>
      <c r="F22" s="42">
        <v>18.771000000000001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121">
        <v>124.867</v>
      </c>
    </row>
    <row r="23" spans="2:21" x14ac:dyDescent="0.25">
      <c r="B23" s="42" t="s">
        <v>151</v>
      </c>
      <c r="C23" s="42"/>
      <c r="D23" s="42"/>
      <c r="E23" s="42">
        <v>151.35299999999998</v>
      </c>
      <c r="F23" s="42">
        <v>37.362000000000002</v>
      </c>
      <c r="G23" s="42"/>
      <c r="H23" s="42"/>
      <c r="I23" s="42">
        <v>20.076000000000001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21">
        <v>208.79099999999997</v>
      </c>
    </row>
    <row r="24" spans="2:21" x14ac:dyDescent="0.25">
      <c r="B24" s="42" t="s">
        <v>168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>
        <v>21.881999999999998</v>
      </c>
      <c r="R24" s="42"/>
      <c r="S24" s="42"/>
      <c r="T24" s="42"/>
      <c r="U24" s="121">
        <v>21.881999999999998</v>
      </c>
    </row>
    <row r="25" spans="2:21" x14ac:dyDescent="0.25">
      <c r="B25" s="42" t="s">
        <v>173</v>
      </c>
      <c r="C25" s="42"/>
      <c r="D25" s="42"/>
      <c r="E25" s="42"/>
      <c r="F25" s="42"/>
      <c r="G25" s="42"/>
      <c r="H25" s="42"/>
      <c r="I25" s="42"/>
      <c r="J25" s="42"/>
      <c r="K25" s="42">
        <v>18.733000000000001</v>
      </c>
      <c r="L25" s="42"/>
      <c r="M25" s="42"/>
      <c r="N25" s="42">
        <v>103.47900000000001</v>
      </c>
      <c r="O25" s="42"/>
      <c r="P25" s="42"/>
      <c r="Q25" s="42"/>
      <c r="R25" s="42"/>
      <c r="S25" s="42"/>
      <c r="T25" s="42"/>
      <c r="U25" s="121">
        <v>122.21200000000002</v>
      </c>
    </row>
    <row r="26" spans="2:21" x14ac:dyDescent="0.25">
      <c r="B26" s="42" t="s">
        <v>182</v>
      </c>
      <c r="C26" s="42"/>
      <c r="D26" s="42"/>
      <c r="E26" s="42">
        <v>44.558999999999997</v>
      </c>
      <c r="F26" s="42">
        <v>9.048</v>
      </c>
      <c r="G26" s="42"/>
      <c r="H26" s="42"/>
      <c r="I26" s="42"/>
      <c r="J26" s="42"/>
      <c r="K26" s="42"/>
      <c r="L26" s="42"/>
      <c r="M26" s="42"/>
      <c r="N26" s="42">
        <v>5.8070000000000004</v>
      </c>
      <c r="O26" s="42"/>
      <c r="P26" s="42"/>
      <c r="Q26" s="42"/>
      <c r="R26" s="42"/>
      <c r="S26" s="42"/>
      <c r="T26" s="42"/>
      <c r="U26" s="121">
        <v>59.414000000000001</v>
      </c>
    </row>
    <row r="27" spans="2:21" x14ac:dyDescent="0.25">
      <c r="B27" s="42" t="s">
        <v>316</v>
      </c>
      <c r="C27" s="42">
        <v>128.19999999999999</v>
      </c>
      <c r="D27" s="42"/>
      <c r="E27" s="42">
        <v>115</v>
      </c>
      <c r="F27" s="42">
        <v>14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121">
        <v>257.2</v>
      </c>
    </row>
    <row r="28" spans="2:21" x14ac:dyDescent="0.25">
      <c r="B28" s="42" t="s">
        <v>145</v>
      </c>
      <c r="C28" s="42"/>
      <c r="D28" s="42"/>
      <c r="E28" s="42">
        <v>119.598</v>
      </c>
      <c r="F28" s="42">
        <v>20.414999999999999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121">
        <v>140.01300000000001</v>
      </c>
    </row>
    <row r="29" spans="2:21" x14ac:dyDescent="0.25">
      <c r="B29" s="42" t="s">
        <v>219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>
        <v>202.27700000000002</v>
      </c>
      <c r="O29" s="42"/>
      <c r="P29" s="42"/>
      <c r="Q29" s="42"/>
      <c r="R29" s="42"/>
      <c r="S29" s="42"/>
      <c r="T29" s="42"/>
      <c r="U29" s="121">
        <v>202.27700000000002</v>
      </c>
    </row>
    <row r="30" spans="2:21" x14ac:dyDescent="0.25">
      <c r="B30" s="42" t="s">
        <v>196</v>
      </c>
      <c r="C30" s="42">
        <v>16.152999999999999</v>
      </c>
      <c r="D30" s="42"/>
      <c r="E30" s="42">
        <v>117.437</v>
      </c>
      <c r="F30" s="42">
        <v>6.843</v>
      </c>
      <c r="G30" s="42"/>
      <c r="H30" s="42"/>
      <c r="I30" s="42"/>
      <c r="J30" s="42"/>
      <c r="K30" s="42"/>
      <c r="L30" s="42">
        <v>13.26</v>
      </c>
      <c r="M30" s="42"/>
      <c r="N30" s="42"/>
      <c r="O30" s="42"/>
      <c r="P30" s="42"/>
      <c r="Q30" s="42"/>
      <c r="R30" s="42"/>
      <c r="S30" s="42"/>
      <c r="T30" s="42"/>
      <c r="U30" s="121">
        <v>153.69299999999998</v>
      </c>
    </row>
    <row r="31" spans="2:21" x14ac:dyDescent="0.25">
      <c r="B31" s="42" t="s">
        <v>154</v>
      </c>
      <c r="C31" s="42"/>
      <c r="D31" s="42"/>
      <c r="E31" s="42"/>
      <c r="F31" s="42"/>
      <c r="G31" s="42"/>
      <c r="H31" s="42"/>
      <c r="I31" s="42"/>
      <c r="J31" s="42"/>
      <c r="K31" s="42">
        <v>22.69</v>
      </c>
      <c r="L31" s="42"/>
      <c r="M31" s="42"/>
      <c r="N31" s="42">
        <v>136.42599999999999</v>
      </c>
      <c r="O31" s="42"/>
      <c r="P31" s="42"/>
      <c r="Q31" s="42"/>
      <c r="R31" s="42"/>
      <c r="S31" s="42"/>
      <c r="T31" s="42"/>
      <c r="U31" s="121">
        <v>159.11599999999999</v>
      </c>
    </row>
    <row r="32" spans="2:21" x14ac:dyDescent="0.25">
      <c r="B32" s="42" t="s">
        <v>136</v>
      </c>
      <c r="C32" s="42"/>
      <c r="D32" s="42"/>
      <c r="E32" s="42"/>
      <c r="F32" s="42"/>
      <c r="G32" s="42"/>
      <c r="H32" s="42"/>
      <c r="I32" s="42"/>
      <c r="J32" s="42">
        <v>36.61</v>
      </c>
      <c r="K32" s="42"/>
      <c r="L32" s="42"/>
      <c r="M32" s="42"/>
      <c r="N32" s="42"/>
      <c r="O32" s="42">
        <v>137.34399999999999</v>
      </c>
      <c r="P32" s="42"/>
      <c r="Q32" s="42"/>
      <c r="R32" s="42"/>
      <c r="S32" s="42"/>
      <c r="T32" s="42"/>
      <c r="U32" s="121">
        <v>173.95400000000001</v>
      </c>
    </row>
    <row r="33" spans="2:21" x14ac:dyDescent="0.25">
      <c r="B33" s="42" t="s">
        <v>220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>
        <v>156.745</v>
      </c>
      <c r="R33" s="42"/>
      <c r="S33" s="42"/>
      <c r="T33" s="42"/>
      <c r="U33" s="121">
        <v>156.745</v>
      </c>
    </row>
    <row r="34" spans="2:21" x14ac:dyDescent="0.25">
      <c r="B34" s="42" t="s">
        <v>159</v>
      </c>
      <c r="C34" s="42"/>
      <c r="D34" s="42"/>
      <c r="E34" s="42"/>
      <c r="F34" s="42"/>
      <c r="G34" s="42"/>
      <c r="H34" s="42"/>
      <c r="I34" s="42"/>
      <c r="J34" s="42"/>
      <c r="K34" s="42">
        <v>34.375</v>
      </c>
      <c r="L34" s="42"/>
      <c r="M34" s="42"/>
      <c r="N34" s="42">
        <v>126.23499999999999</v>
      </c>
      <c r="O34" s="42"/>
      <c r="P34" s="42"/>
      <c r="Q34" s="42"/>
      <c r="R34" s="42"/>
      <c r="S34" s="42"/>
      <c r="T34" s="42"/>
      <c r="U34" s="121">
        <v>160.60999999999999</v>
      </c>
    </row>
    <row r="35" spans="2:21" x14ac:dyDescent="0.25">
      <c r="B35" s="42" t="s">
        <v>193</v>
      </c>
      <c r="C35" s="42"/>
      <c r="D35" s="42"/>
      <c r="E35" s="42"/>
      <c r="F35" s="42"/>
      <c r="G35" s="42"/>
      <c r="H35" s="42"/>
      <c r="I35" s="42">
        <v>131.071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121">
        <v>131.071</v>
      </c>
    </row>
    <row r="36" spans="2:21" x14ac:dyDescent="0.25">
      <c r="B36" s="42" t="s">
        <v>188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>
        <v>120</v>
      </c>
      <c r="T36" s="42"/>
      <c r="U36" s="121">
        <v>120</v>
      </c>
    </row>
    <row r="37" spans="2:21" x14ac:dyDescent="0.25">
      <c r="B37" s="42" t="s">
        <v>310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>
        <v>73.5</v>
      </c>
      <c r="Q37" s="42"/>
      <c r="R37" s="42">
        <v>85</v>
      </c>
      <c r="S37" s="42"/>
      <c r="T37" s="42"/>
      <c r="U37" s="121">
        <v>158.5</v>
      </c>
    </row>
    <row r="38" spans="2:21" x14ac:dyDescent="0.25">
      <c r="B38" s="42" t="s">
        <v>175</v>
      </c>
      <c r="C38" s="42"/>
      <c r="D38" s="42"/>
      <c r="E38" s="42"/>
      <c r="F38" s="42"/>
      <c r="G38" s="42"/>
      <c r="H38" s="42"/>
      <c r="I38" s="42"/>
      <c r="J38" s="42"/>
      <c r="K38" s="42">
        <v>20.407</v>
      </c>
      <c r="L38" s="42"/>
      <c r="M38" s="42"/>
      <c r="N38" s="42">
        <v>116.03999999999999</v>
      </c>
      <c r="O38" s="42"/>
      <c r="P38" s="42"/>
      <c r="Q38" s="42"/>
      <c r="R38" s="42"/>
      <c r="S38" s="42"/>
      <c r="T38" s="42"/>
      <c r="U38" s="121">
        <v>136.447</v>
      </c>
    </row>
    <row r="39" spans="2:21" x14ac:dyDescent="0.25">
      <c r="B39" s="42" t="s">
        <v>334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>
        <v>123.02500000000001</v>
      </c>
      <c r="O39" s="42"/>
      <c r="P39" s="42"/>
      <c r="Q39" s="42"/>
      <c r="R39" s="42"/>
      <c r="S39" s="42"/>
      <c r="T39" s="42"/>
      <c r="U39" s="121">
        <v>123.02500000000001</v>
      </c>
    </row>
    <row r="40" spans="2:21" x14ac:dyDescent="0.25">
      <c r="B40" s="42" t="s">
        <v>130</v>
      </c>
      <c r="C40" s="42"/>
      <c r="D40" s="42"/>
      <c r="E40" s="42"/>
      <c r="F40" s="42"/>
      <c r="G40" s="42"/>
      <c r="H40" s="42"/>
      <c r="I40" s="42"/>
      <c r="J40" s="42"/>
      <c r="K40" s="42"/>
      <c r="L40" s="42">
        <v>143.19</v>
      </c>
      <c r="M40" s="42"/>
      <c r="N40" s="42"/>
      <c r="O40" s="42"/>
      <c r="P40" s="42"/>
      <c r="Q40" s="42"/>
      <c r="R40" s="42"/>
      <c r="S40" s="42"/>
      <c r="T40" s="42"/>
      <c r="U40" s="121">
        <v>143.19</v>
      </c>
    </row>
    <row r="41" spans="2:21" x14ac:dyDescent="0.25">
      <c r="B41" s="42" t="s">
        <v>160</v>
      </c>
      <c r="C41" s="42"/>
      <c r="D41" s="42"/>
      <c r="E41" s="42">
        <v>102.84500000000001</v>
      </c>
      <c r="F41" s="42">
        <v>18.613</v>
      </c>
      <c r="G41" s="42"/>
      <c r="H41" s="42"/>
      <c r="I41" s="42"/>
      <c r="J41" s="42"/>
      <c r="K41" s="42"/>
      <c r="L41" s="42"/>
      <c r="M41" s="42"/>
      <c r="N41" s="42">
        <v>14.221</v>
      </c>
      <c r="O41" s="42"/>
      <c r="P41" s="42"/>
      <c r="Q41" s="42">
        <v>21.9</v>
      </c>
      <c r="R41" s="42"/>
      <c r="S41" s="42"/>
      <c r="T41" s="42"/>
      <c r="U41" s="121">
        <v>157.57900000000001</v>
      </c>
    </row>
    <row r="42" spans="2:21" x14ac:dyDescent="0.25">
      <c r="B42" s="42" t="s">
        <v>170</v>
      </c>
      <c r="C42" s="42"/>
      <c r="D42" s="42"/>
      <c r="E42" s="42"/>
      <c r="F42" s="42"/>
      <c r="G42" s="42"/>
      <c r="H42" s="42"/>
      <c r="I42" s="42">
        <v>162.26300000000001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21">
        <v>162.26300000000001</v>
      </c>
    </row>
    <row r="43" spans="2:21" x14ac:dyDescent="0.25">
      <c r="B43" s="42" t="s">
        <v>297</v>
      </c>
      <c r="C43" s="42"/>
      <c r="D43" s="42"/>
      <c r="E43" s="42"/>
      <c r="F43" s="42"/>
      <c r="G43" s="42"/>
      <c r="H43" s="42"/>
      <c r="I43" s="42"/>
      <c r="J43" s="42"/>
      <c r="K43" s="42"/>
      <c r="L43" s="42">
        <v>103.35</v>
      </c>
      <c r="M43" s="42"/>
      <c r="N43" s="42"/>
      <c r="O43" s="42"/>
      <c r="P43" s="42"/>
      <c r="Q43" s="42"/>
      <c r="R43" s="42"/>
      <c r="S43" s="42"/>
      <c r="T43" s="42"/>
      <c r="U43" s="121">
        <v>103.35</v>
      </c>
    </row>
    <row r="44" spans="2:21" x14ac:dyDescent="0.25">
      <c r="B44" s="42" t="s">
        <v>155</v>
      </c>
      <c r="C44" s="42"/>
      <c r="D44" s="42"/>
      <c r="E44" s="42"/>
      <c r="F44" s="42"/>
      <c r="G44" s="42">
        <v>130.45999999999998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21">
        <v>130.45999999999998</v>
      </c>
    </row>
    <row r="45" spans="2:21" x14ac:dyDescent="0.25">
      <c r="B45" s="42" t="s">
        <v>221</v>
      </c>
      <c r="C45" s="42"/>
      <c r="D45" s="42"/>
      <c r="E45" s="42"/>
      <c r="F45" s="42"/>
      <c r="G45" s="42"/>
      <c r="H45" s="42"/>
      <c r="I45" s="42"/>
      <c r="J45" s="42">
        <v>45.55</v>
      </c>
      <c r="K45" s="42"/>
      <c r="L45" s="42">
        <v>69.06</v>
      </c>
      <c r="M45" s="42"/>
      <c r="N45" s="42"/>
      <c r="O45" s="42"/>
      <c r="P45" s="42"/>
      <c r="Q45" s="42"/>
      <c r="R45" s="42"/>
      <c r="S45" s="42"/>
      <c r="T45" s="42"/>
      <c r="U45" s="121">
        <v>114.61</v>
      </c>
    </row>
    <row r="46" spans="2:21" x14ac:dyDescent="0.25">
      <c r="B46" s="42" t="s">
        <v>174</v>
      </c>
      <c r="C46" s="42">
        <v>10.041</v>
      </c>
      <c r="D46" s="42">
        <v>97.043000000000021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121">
        <v>107.08400000000002</v>
      </c>
    </row>
    <row r="47" spans="2:21" x14ac:dyDescent="0.25">
      <c r="B47" s="42" t="s">
        <v>335</v>
      </c>
      <c r="C47" s="42">
        <v>153.959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121">
        <v>153.959</v>
      </c>
    </row>
    <row r="48" spans="2:21" x14ac:dyDescent="0.25">
      <c r="B48" s="42" t="s">
        <v>298</v>
      </c>
      <c r="C48" s="42"/>
      <c r="D48" s="42"/>
      <c r="E48" s="42"/>
      <c r="F48" s="42"/>
      <c r="G48" s="42"/>
      <c r="H48" s="42"/>
      <c r="I48" s="42"/>
      <c r="J48" s="42"/>
      <c r="K48" s="42"/>
      <c r="L48" s="42">
        <v>19.899999999999999</v>
      </c>
      <c r="M48" s="42">
        <v>133.37899999999999</v>
      </c>
      <c r="N48" s="42"/>
      <c r="O48" s="42"/>
      <c r="P48" s="42"/>
      <c r="Q48" s="42"/>
      <c r="R48" s="42"/>
      <c r="S48" s="42"/>
      <c r="T48" s="42"/>
      <c r="U48" s="121">
        <v>153.279</v>
      </c>
    </row>
    <row r="49" spans="2:21" x14ac:dyDescent="0.25">
      <c r="B49" s="42" t="s">
        <v>187</v>
      </c>
      <c r="C49" s="42">
        <v>67.197000000000003</v>
      </c>
      <c r="D49" s="42">
        <v>69.933000000000007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121">
        <v>137.13</v>
      </c>
    </row>
    <row r="50" spans="2:21" x14ac:dyDescent="0.25">
      <c r="B50" s="42" t="s">
        <v>191</v>
      </c>
      <c r="C50" s="42"/>
      <c r="D50" s="42"/>
      <c r="E50" s="42"/>
      <c r="F50" s="42"/>
      <c r="G50" s="42"/>
      <c r="H50" s="42"/>
      <c r="I50" s="42">
        <v>111.99799999999999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121">
        <v>111.99799999999999</v>
      </c>
    </row>
    <row r="51" spans="2:21" x14ac:dyDescent="0.25">
      <c r="B51" s="42" t="s">
        <v>311</v>
      </c>
      <c r="C51" s="42"/>
      <c r="D51" s="42"/>
      <c r="E51" s="42"/>
      <c r="F51" s="42"/>
      <c r="G51" s="42">
        <v>30</v>
      </c>
      <c r="H51" s="42">
        <v>42</v>
      </c>
      <c r="I51" s="42"/>
      <c r="J51" s="42"/>
      <c r="K51" s="42"/>
      <c r="L51" s="42"/>
      <c r="M51" s="42"/>
      <c r="N51" s="42"/>
      <c r="O51" s="42"/>
      <c r="P51" s="42"/>
      <c r="Q51" s="42">
        <v>144</v>
      </c>
      <c r="R51" s="42"/>
      <c r="S51" s="42"/>
      <c r="T51" s="42"/>
      <c r="U51" s="121">
        <v>216</v>
      </c>
    </row>
    <row r="52" spans="2:21" x14ac:dyDescent="0.25">
      <c r="B52" s="42" t="s">
        <v>194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>
        <v>286.59500000000014</v>
      </c>
      <c r="R52" s="42"/>
      <c r="S52" s="42"/>
      <c r="T52" s="42"/>
      <c r="U52" s="121">
        <v>286.59500000000014</v>
      </c>
    </row>
    <row r="53" spans="2:21" x14ac:dyDescent="0.25">
      <c r="B53" s="42" t="s">
        <v>336</v>
      </c>
      <c r="C53" s="42">
        <v>60.408999999999999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121">
        <v>60.408999999999999</v>
      </c>
    </row>
    <row r="54" spans="2:21" x14ac:dyDescent="0.25">
      <c r="B54" s="42" t="s">
        <v>192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>
        <v>230.29500000000002</v>
      </c>
      <c r="O54" s="42"/>
      <c r="P54" s="42"/>
      <c r="Q54" s="42"/>
      <c r="R54" s="42"/>
      <c r="S54" s="42"/>
      <c r="T54" s="42"/>
      <c r="U54" s="121">
        <v>230.29500000000002</v>
      </c>
    </row>
    <row r="55" spans="2:21" x14ac:dyDescent="0.25">
      <c r="B55" s="42" t="s">
        <v>146</v>
      </c>
      <c r="C55" s="42"/>
      <c r="D55" s="42"/>
      <c r="E55" s="42"/>
      <c r="F55" s="42"/>
      <c r="G55" s="42"/>
      <c r="H55" s="42"/>
      <c r="I55" s="42"/>
      <c r="J55" s="42"/>
      <c r="K55" s="42">
        <v>96.322000000000003</v>
      </c>
      <c r="L55" s="42">
        <v>20.57</v>
      </c>
      <c r="M55" s="42"/>
      <c r="N55" s="42"/>
      <c r="O55" s="42"/>
      <c r="P55" s="42"/>
      <c r="Q55" s="42"/>
      <c r="R55" s="42"/>
      <c r="S55" s="42"/>
      <c r="T55" s="42"/>
      <c r="U55" s="121">
        <v>116.892</v>
      </c>
    </row>
    <row r="56" spans="2:21" x14ac:dyDescent="0.25">
      <c r="B56" s="42" t="s">
        <v>299</v>
      </c>
      <c r="C56" s="42"/>
      <c r="D56" s="42"/>
      <c r="E56" s="42"/>
      <c r="F56" s="42"/>
      <c r="G56" s="42"/>
      <c r="H56" s="42"/>
      <c r="I56" s="42"/>
      <c r="J56" s="42"/>
      <c r="K56" s="42">
        <v>93.443000000000012</v>
      </c>
      <c r="L56" s="42"/>
      <c r="M56" s="42"/>
      <c r="N56" s="42"/>
      <c r="O56" s="42"/>
      <c r="P56" s="42"/>
      <c r="Q56" s="42"/>
      <c r="R56" s="42"/>
      <c r="S56" s="42"/>
      <c r="T56" s="42"/>
      <c r="U56" s="121">
        <v>93.443000000000012</v>
      </c>
    </row>
    <row r="57" spans="2:21" x14ac:dyDescent="0.25">
      <c r="B57" s="42" t="s">
        <v>312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>
        <v>50</v>
      </c>
      <c r="N57" s="42">
        <v>200</v>
      </c>
      <c r="O57" s="42"/>
      <c r="P57" s="42"/>
      <c r="Q57" s="42"/>
      <c r="R57" s="42"/>
      <c r="S57" s="42"/>
      <c r="T57" s="42"/>
      <c r="U57" s="121">
        <v>250</v>
      </c>
    </row>
    <row r="58" spans="2:21" x14ac:dyDescent="0.25">
      <c r="B58" s="4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>
        <v>90.345000000000013</v>
      </c>
      <c r="R58" s="42"/>
      <c r="S58" s="42"/>
      <c r="T58" s="42"/>
      <c r="U58" s="121">
        <v>90.345000000000013</v>
      </c>
    </row>
    <row r="59" spans="2:21" x14ac:dyDescent="0.25">
      <c r="B59" s="42" t="s">
        <v>140</v>
      </c>
      <c r="C59" s="42"/>
      <c r="D59" s="42"/>
      <c r="E59" s="42"/>
      <c r="F59" s="42"/>
      <c r="G59" s="42"/>
      <c r="H59" s="42"/>
      <c r="I59" s="42"/>
      <c r="J59" s="42"/>
      <c r="K59" s="42"/>
      <c r="L59" s="42">
        <v>61.43</v>
      </c>
      <c r="M59" s="42"/>
      <c r="N59" s="42"/>
      <c r="O59" s="42"/>
      <c r="P59" s="42">
        <v>13</v>
      </c>
      <c r="Q59" s="42"/>
      <c r="R59" s="42"/>
      <c r="S59" s="42"/>
      <c r="T59" s="42"/>
      <c r="U59" s="121">
        <v>74.430000000000007</v>
      </c>
    </row>
    <row r="60" spans="2:21" s="17" customFormat="1" x14ac:dyDescent="0.25">
      <c r="B60" s="42" t="s">
        <v>222</v>
      </c>
      <c r="C60" s="42"/>
      <c r="D60" s="42"/>
      <c r="E60" s="42"/>
      <c r="F60" s="42"/>
      <c r="G60" s="42"/>
      <c r="H60" s="42">
        <v>169.10599999999999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21">
        <v>169.10599999999999</v>
      </c>
    </row>
    <row r="61" spans="2:21" x14ac:dyDescent="0.25">
      <c r="B61" s="42" t="s">
        <v>162</v>
      </c>
      <c r="C61" s="42">
        <v>107.297</v>
      </c>
      <c r="D61" s="42">
        <v>15.225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121">
        <v>122.52199999999999</v>
      </c>
    </row>
    <row r="62" spans="2:21" x14ac:dyDescent="0.25">
      <c r="B62" s="42" t="s">
        <v>223</v>
      </c>
      <c r="C62" s="42"/>
      <c r="D62" s="42"/>
      <c r="E62" s="42"/>
      <c r="F62" s="42"/>
      <c r="G62" s="42"/>
      <c r="H62" s="42"/>
      <c r="I62" s="42"/>
      <c r="J62" s="42"/>
      <c r="K62" s="42">
        <v>12.907999999999999</v>
      </c>
      <c r="L62" s="42"/>
      <c r="M62" s="42"/>
      <c r="N62" s="42">
        <v>132.06100000000001</v>
      </c>
      <c r="O62" s="42"/>
      <c r="P62" s="42"/>
      <c r="Q62" s="42"/>
      <c r="R62" s="42"/>
      <c r="S62" s="42"/>
      <c r="T62" s="42"/>
      <c r="U62" s="121">
        <v>144.96899999999999</v>
      </c>
    </row>
    <row r="63" spans="2:21" x14ac:dyDescent="0.25">
      <c r="B63" s="42" t="s">
        <v>184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>
        <v>198.68599999999998</v>
      </c>
      <c r="R63" s="42"/>
      <c r="S63" s="42"/>
      <c r="T63" s="42"/>
      <c r="U63" s="121">
        <v>198.68599999999998</v>
      </c>
    </row>
    <row r="64" spans="2:21" x14ac:dyDescent="0.25">
      <c r="B64" s="42" t="s">
        <v>148</v>
      </c>
      <c r="C64" s="42"/>
      <c r="D64" s="42"/>
      <c r="E64" s="42"/>
      <c r="F64" s="42"/>
      <c r="G64" s="42"/>
      <c r="H64" s="42"/>
      <c r="I64" s="42"/>
      <c r="J64" s="42"/>
      <c r="K64" s="42">
        <v>103.964</v>
      </c>
      <c r="L64" s="42"/>
      <c r="M64" s="42"/>
      <c r="N64" s="42"/>
      <c r="O64" s="42"/>
      <c r="P64" s="42"/>
      <c r="Q64" s="42"/>
      <c r="R64" s="42"/>
      <c r="S64" s="42"/>
      <c r="T64" s="42"/>
      <c r="U64" s="121">
        <v>103.964</v>
      </c>
    </row>
    <row r="65" spans="2:21" x14ac:dyDescent="0.25">
      <c r="B65" s="42" t="s">
        <v>167</v>
      </c>
      <c r="C65" s="42"/>
      <c r="D65" s="42"/>
      <c r="E65" s="42"/>
      <c r="F65" s="42"/>
      <c r="G65" s="42"/>
      <c r="H65" s="42"/>
      <c r="I65" s="42"/>
      <c r="J65" s="42"/>
      <c r="K65" s="42">
        <v>146.24299999999999</v>
      </c>
      <c r="L65" s="42"/>
      <c r="M65" s="42"/>
      <c r="N65" s="42"/>
      <c r="O65" s="42"/>
      <c r="P65" s="42"/>
      <c r="Q65" s="42"/>
      <c r="R65" s="42"/>
      <c r="S65" s="42"/>
      <c r="T65" s="42"/>
      <c r="U65" s="121">
        <v>146.24299999999999</v>
      </c>
    </row>
    <row r="66" spans="2:21" x14ac:dyDescent="0.25">
      <c r="B66" s="42" t="s">
        <v>200</v>
      </c>
      <c r="C66" s="42"/>
      <c r="D66" s="42"/>
      <c r="E66" s="42"/>
      <c r="F66" s="42"/>
      <c r="G66" s="42"/>
      <c r="H66" s="42"/>
      <c r="I66" s="42">
        <v>94.31</v>
      </c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121">
        <v>94.31</v>
      </c>
    </row>
    <row r="67" spans="2:21" x14ac:dyDescent="0.25">
      <c r="B67" s="42" t="s">
        <v>199</v>
      </c>
      <c r="C67" s="42"/>
      <c r="D67" s="42"/>
      <c r="E67" s="42"/>
      <c r="F67" s="42"/>
      <c r="G67" s="42">
        <v>15.35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>
        <v>134.18199999999999</v>
      </c>
      <c r="S67" s="42"/>
      <c r="T67" s="42"/>
      <c r="U67" s="121">
        <v>149.53199999999998</v>
      </c>
    </row>
    <row r="68" spans="2:21" s="17" customFormat="1" x14ac:dyDescent="0.25">
      <c r="B68" s="42" t="s">
        <v>225</v>
      </c>
      <c r="C68" s="42"/>
      <c r="D68" s="42"/>
      <c r="E68" s="42"/>
      <c r="F68" s="42"/>
      <c r="G68" s="42"/>
      <c r="H68" s="42"/>
      <c r="I68" s="42"/>
      <c r="J68" s="42">
        <v>25.299999999999997</v>
      </c>
      <c r="K68" s="42"/>
      <c r="L68" s="42"/>
      <c r="M68" s="42"/>
      <c r="N68" s="42">
        <v>119.751</v>
      </c>
      <c r="O68" s="42"/>
      <c r="P68" s="42"/>
      <c r="Q68" s="42"/>
      <c r="R68" s="42"/>
      <c r="S68" s="42"/>
      <c r="T68" s="42"/>
      <c r="U68" s="121">
        <v>145.05099999999999</v>
      </c>
    </row>
    <row r="69" spans="2:21" x14ac:dyDescent="0.25">
      <c r="B69" s="42" t="s">
        <v>226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>
        <v>85.558999999999997</v>
      </c>
      <c r="S69" s="42"/>
      <c r="T69" s="42"/>
      <c r="U69" s="121">
        <v>85.558999999999997</v>
      </c>
    </row>
    <row r="70" spans="2:21" x14ac:dyDescent="0.25">
      <c r="B70" s="42" t="s">
        <v>324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62"/>
      <c r="U70" s="121">
        <v>0</v>
      </c>
    </row>
    <row r="71" spans="2:21" x14ac:dyDescent="0.25">
      <c r="B71" s="42" t="s">
        <v>169</v>
      </c>
      <c r="C71" s="42">
        <v>125.358</v>
      </c>
      <c r="D71" s="42">
        <v>31.213000000000001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>
        <v>100</v>
      </c>
      <c r="U71" s="121">
        <v>256.57100000000003</v>
      </c>
    </row>
    <row r="72" spans="2:21" x14ac:dyDescent="0.25">
      <c r="B72" s="42" t="s">
        <v>120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>
        <v>50</v>
      </c>
      <c r="T72" s="35"/>
      <c r="U72" s="121">
        <v>50</v>
      </c>
    </row>
    <row r="73" spans="2:21" x14ac:dyDescent="0.25">
      <c r="B73" s="42" t="s">
        <v>124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>
        <v>159.08199999999999</v>
      </c>
      <c r="N73" s="42"/>
      <c r="O73" s="42"/>
      <c r="P73" s="42"/>
      <c r="Q73" s="42"/>
      <c r="R73" s="42"/>
      <c r="S73" s="42"/>
      <c r="T73" s="42"/>
      <c r="U73" s="121">
        <v>159.08199999999999</v>
      </c>
    </row>
    <row r="74" spans="2:21" s="17" customFormat="1" x14ac:dyDescent="0.25">
      <c r="B74" s="42" t="s">
        <v>177</v>
      </c>
      <c r="C74" s="42"/>
      <c r="D74" s="42"/>
      <c r="E74" s="42"/>
      <c r="F74" s="42"/>
      <c r="G74" s="42"/>
      <c r="H74" s="42"/>
      <c r="I74" s="42"/>
      <c r="J74" s="42">
        <v>72.990000000000009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121">
        <v>72.990000000000009</v>
      </c>
    </row>
    <row r="75" spans="2:21" x14ac:dyDescent="0.25">
      <c r="B75" s="42" t="s">
        <v>178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>
        <v>145.94199999999998</v>
      </c>
      <c r="N75" s="42"/>
      <c r="O75" s="42"/>
      <c r="P75" s="42"/>
      <c r="Q75" s="42"/>
      <c r="R75" s="42"/>
      <c r="S75" s="42">
        <v>8</v>
      </c>
      <c r="T75" s="42"/>
      <c r="U75" s="121">
        <v>153.94199999999998</v>
      </c>
    </row>
    <row r="76" spans="2:21" x14ac:dyDescent="0.25">
      <c r="B76" s="42" t="s">
        <v>126</v>
      </c>
      <c r="C76" s="42">
        <v>105.50699999999999</v>
      </c>
      <c r="D76" s="42">
        <v>22.38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121">
        <v>127.88699999999999</v>
      </c>
    </row>
    <row r="77" spans="2:21" x14ac:dyDescent="0.25">
      <c r="B77" s="42" t="s">
        <v>227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>
        <v>41</v>
      </c>
      <c r="R77" s="42"/>
      <c r="S77" s="42"/>
      <c r="T77" s="42"/>
      <c r="U77" s="121">
        <v>41</v>
      </c>
    </row>
    <row r="78" spans="2:21" x14ac:dyDescent="0.25">
      <c r="B78" s="42" t="s">
        <v>186</v>
      </c>
      <c r="C78" s="42">
        <v>115.714</v>
      </c>
      <c r="D78" s="42">
        <v>24.015999999999998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21">
        <v>139.72999999999999</v>
      </c>
    </row>
    <row r="79" spans="2:21" x14ac:dyDescent="0.25">
      <c r="B79" s="42" t="s">
        <v>195</v>
      </c>
      <c r="C79" s="42"/>
      <c r="D79" s="42"/>
      <c r="E79" s="42"/>
      <c r="F79" s="42"/>
      <c r="G79" s="42"/>
      <c r="H79" s="42"/>
      <c r="I79" s="42"/>
      <c r="J79" s="42">
        <v>7.25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121">
        <v>7.25</v>
      </c>
    </row>
    <row r="80" spans="2:21" x14ac:dyDescent="0.25">
      <c r="B80" s="42" t="s">
        <v>165</v>
      </c>
      <c r="C80" s="42"/>
      <c r="D80" s="42"/>
      <c r="E80" s="42"/>
      <c r="F80" s="42"/>
      <c r="G80" s="42"/>
      <c r="H80" s="42"/>
      <c r="I80" s="42"/>
      <c r="J80" s="42"/>
      <c r="K80" s="42">
        <v>101.65599999999999</v>
      </c>
      <c r="L80" s="42"/>
      <c r="M80" s="42"/>
      <c r="N80" s="42"/>
      <c r="O80" s="42"/>
      <c r="P80" s="42"/>
      <c r="Q80" s="42"/>
      <c r="R80" s="42"/>
      <c r="S80" s="42"/>
      <c r="T80" s="42"/>
      <c r="U80" s="121">
        <v>101.65599999999999</v>
      </c>
    </row>
    <row r="81" spans="2:21" x14ac:dyDescent="0.25">
      <c r="B81" s="42" t="s">
        <v>137</v>
      </c>
      <c r="C81" s="42"/>
      <c r="D81" s="42"/>
      <c r="E81" s="42"/>
      <c r="F81" s="42"/>
      <c r="G81" s="42">
        <v>136.58000000000001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121">
        <v>136.58000000000001</v>
      </c>
    </row>
    <row r="82" spans="2:21" x14ac:dyDescent="0.25">
      <c r="B82" s="42" t="s">
        <v>141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>
        <v>29.216000000000001</v>
      </c>
      <c r="Q82" s="42"/>
      <c r="R82" s="42"/>
      <c r="S82" s="42">
        <v>25</v>
      </c>
      <c r="T82" s="42"/>
      <c r="U82" s="121">
        <v>54.216000000000001</v>
      </c>
    </row>
    <row r="83" spans="2:21" x14ac:dyDescent="0.25">
      <c r="B83" s="42" t="s">
        <v>203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>
        <v>128.10400000000001</v>
      </c>
      <c r="R83" s="42"/>
      <c r="S83" s="42">
        <v>20</v>
      </c>
      <c r="T83" s="42"/>
      <c r="U83" s="121">
        <v>148.10400000000001</v>
      </c>
    </row>
    <row r="84" spans="2:21" x14ac:dyDescent="0.25">
      <c r="B84" s="42" t="s">
        <v>313</v>
      </c>
      <c r="C84" s="42"/>
      <c r="D84" s="42"/>
      <c r="E84" s="42"/>
      <c r="F84" s="42"/>
      <c r="G84" s="42"/>
      <c r="H84" s="42"/>
      <c r="I84" s="42"/>
      <c r="J84" s="42">
        <v>22</v>
      </c>
      <c r="K84" s="42">
        <v>172</v>
      </c>
      <c r="L84" s="42">
        <v>110</v>
      </c>
      <c r="M84" s="42"/>
      <c r="N84" s="42"/>
      <c r="O84" s="42"/>
      <c r="P84" s="42"/>
      <c r="Q84" s="42"/>
      <c r="R84" s="42"/>
      <c r="S84" s="42"/>
      <c r="T84" s="42"/>
      <c r="U84" s="121">
        <v>304</v>
      </c>
    </row>
    <row r="85" spans="2:21" x14ac:dyDescent="0.25">
      <c r="B85" s="42" t="s">
        <v>202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>
        <v>122.125</v>
      </c>
      <c r="S85" s="42">
        <v>20</v>
      </c>
      <c r="T85" s="42"/>
      <c r="U85" s="121">
        <v>142.125</v>
      </c>
    </row>
    <row r="86" spans="2:21" x14ac:dyDescent="0.25">
      <c r="B86" s="42" t="s">
        <v>164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>
        <v>88.334999999999994</v>
      </c>
      <c r="Q86" s="42"/>
      <c r="R86" s="42"/>
      <c r="S86" s="42"/>
      <c r="T86" s="42"/>
      <c r="U86" s="121">
        <v>88.334999999999994</v>
      </c>
    </row>
    <row r="87" spans="2:21" x14ac:dyDescent="0.25">
      <c r="B87" s="42" t="s">
        <v>138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>
        <v>126.29200000000002</v>
      </c>
      <c r="S87" s="42"/>
      <c r="T87" s="42"/>
      <c r="U87" s="121">
        <v>126.29200000000002</v>
      </c>
    </row>
    <row r="88" spans="2:21" x14ac:dyDescent="0.25">
      <c r="B88" s="42" t="s">
        <v>190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>
        <v>243.06400000000002</v>
      </c>
      <c r="N88" s="42"/>
      <c r="O88" s="42"/>
      <c r="P88" s="42"/>
      <c r="Q88" s="42"/>
      <c r="R88" s="42"/>
      <c r="S88" s="42"/>
      <c r="T88" s="42"/>
      <c r="U88" s="121">
        <v>243.06400000000002</v>
      </c>
    </row>
    <row r="89" spans="2:21" x14ac:dyDescent="0.25">
      <c r="B89" s="42" t="s">
        <v>166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>
        <v>126.27400000000002</v>
      </c>
      <c r="P89" s="42"/>
      <c r="Q89" s="42"/>
      <c r="R89" s="42"/>
      <c r="S89" s="42"/>
      <c r="T89" s="42"/>
      <c r="U89" s="121">
        <v>126.27400000000002</v>
      </c>
    </row>
    <row r="90" spans="2:21" x14ac:dyDescent="0.25">
      <c r="B90" s="42" t="s">
        <v>337</v>
      </c>
      <c r="C90" s="42"/>
      <c r="D90" s="42"/>
      <c r="E90" s="42"/>
      <c r="F90" s="42"/>
      <c r="G90" s="42"/>
      <c r="H90" s="42"/>
      <c r="I90" s="42"/>
      <c r="J90" s="42"/>
      <c r="K90" s="42"/>
      <c r="L90" s="42">
        <v>81.95</v>
      </c>
      <c r="M90" s="42"/>
      <c r="N90" s="42"/>
      <c r="O90" s="42"/>
      <c r="P90" s="42"/>
      <c r="Q90" s="42"/>
      <c r="R90" s="42"/>
      <c r="S90" s="42"/>
      <c r="T90" s="42"/>
      <c r="U90" s="121">
        <v>81.95</v>
      </c>
    </row>
    <row r="91" spans="2:21" x14ac:dyDescent="0.25">
      <c r="B91" s="42" t="s">
        <v>338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>
        <v>43.579000000000001</v>
      </c>
      <c r="Q91" s="42"/>
      <c r="R91" s="42"/>
      <c r="S91" s="42"/>
      <c r="T91" s="42"/>
      <c r="U91" s="121">
        <v>43.579000000000001</v>
      </c>
    </row>
    <row r="92" spans="2:21" x14ac:dyDescent="0.25">
      <c r="B92" s="42" t="s">
        <v>179</v>
      </c>
      <c r="C92" s="42"/>
      <c r="D92" s="42"/>
      <c r="E92" s="42"/>
      <c r="F92" s="42"/>
      <c r="G92" s="42"/>
      <c r="H92" s="42"/>
      <c r="I92" s="42"/>
      <c r="J92" s="42"/>
      <c r="K92" s="42"/>
      <c r="L92" s="42">
        <v>28.41</v>
      </c>
      <c r="M92" s="42">
        <v>129.876</v>
      </c>
      <c r="N92" s="42"/>
      <c r="O92" s="42"/>
      <c r="P92" s="42"/>
      <c r="Q92" s="42"/>
      <c r="R92" s="42"/>
      <c r="S92" s="42"/>
      <c r="T92" s="42"/>
      <c r="U92" s="121">
        <v>158.286</v>
      </c>
    </row>
    <row r="93" spans="2:21" x14ac:dyDescent="0.25">
      <c r="B93" s="42" t="s">
        <v>228</v>
      </c>
      <c r="C93" s="42"/>
      <c r="D93" s="42"/>
      <c r="E93" s="42"/>
      <c r="F93" s="42"/>
      <c r="G93" s="42"/>
      <c r="H93" s="42"/>
      <c r="I93" s="42"/>
      <c r="J93" s="42"/>
      <c r="K93" s="42">
        <v>164.43599999999998</v>
      </c>
      <c r="L93" s="42"/>
      <c r="M93" s="42"/>
      <c r="N93" s="42"/>
      <c r="O93" s="42"/>
      <c r="P93" s="42"/>
      <c r="Q93" s="42"/>
      <c r="R93" s="42"/>
      <c r="S93" s="42"/>
      <c r="T93" s="42"/>
      <c r="U93" s="121">
        <v>164.43599999999998</v>
      </c>
    </row>
    <row r="94" spans="2:21" x14ac:dyDescent="0.25">
      <c r="B94" s="42" t="s">
        <v>181</v>
      </c>
      <c r="C94" s="42">
        <v>121.69</v>
      </c>
      <c r="D94" s="42">
        <v>23.03</v>
      </c>
      <c r="E94" s="42"/>
      <c r="F94" s="42"/>
      <c r="G94" s="42"/>
      <c r="H94" s="42"/>
      <c r="I94" s="42"/>
      <c r="J94" s="42"/>
      <c r="K94" s="42">
        <v>20.3</v>
      </c>
      <c r="L94" s="42"/>
      <c r="M94" s="42"/>
      <c r="N94" s="42"/>
      <c r="O94" s="42"/>
      <c r="P94" s="42"/>
      <c r="Q94" s="42"/>
      <c r="R94" s="42"/>
      <c r="S94" s="42"/>
      <c r="T94" s="42"/>
      <c r="U94" s="121">
        <v>165.02</v>
      </c>
    </row>
    <row r="95" spans="2:21" x14ac:dyDescent="0.25">
      <c r="B95" s="42" t="s">
        <v>129</v>
      </c>
      <c r="C95" s="42"/>
      <c r="D95" s="42"/>
      <c r="E95" s="42"/>
      <c r="F95" s="42"/>
      <c r="G95" s="42"/>
      <c r="H95" s="42"/>
      <c r="I95" s="42"/>
      <c r="J95" s="42"/>
      <c r="K95" s="42"/>
      <c r="L95" s="42">
        <v>90.75</v>
      </c>
      <c r="M95" s="42"/>
      <c r="N95" s="42"/>
      <c r="O95" s="42"/>
      <c r="P95" s="42"/>
      <c r="Q95" s="42"/>
      <c r="R95" s="42"/>
      <c r="S95" s="42"/>
      <c r="T95" s="42"/>
      <c r="U95" s="121">
        <v>90.75</v>
      </c>
    </row>
    <row r="96" spans="2:21" x14ac:dyDescent="0.25">
      <c r="B96" s="42" t="s">
        <v>161</v>
      </c>
      <c r="C96" s="42"/>
      <c r="D96" s="42"/>
      <c r="E96" s="42"/>
      <c r="F96" s="42"/>
      <c r="G96" s="42"/>
      <c r="H96" s="42"/>
      <c r="I96" s="42"/>
      <c r="J96" s="42"/>
      <c r="K96" s="42">
        <v>100.244</v>
      </c>
      <c r="L96" s="42">
        <v>14.190000000000001</v>
      </c>
      <c r="M96" s="42"/>
      <c r="N96" s="42"/>
      <c r="O96" s="42"/>
      <c r="P96" s="42"/>
      <c r="Q96" s="42"/>
      <c r="R96" s="42"/>
      <c r="S96" s="42"/>
      <c r="T96" s="42"/>
      <c r="U96" s="121">
        <v>114.434</v>
      </c>
    </row>
    <row r="97" spans="2:21" x14ac:dyDescent="0.25">
      <c r="B97" s="42" t="s">
        <v>127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>
        <v>76.099999999999994</v>
      </c>
      <c r="R97" s="42"/>
      <c r="S97" s="42"/>
      <c r="T97" s="42"/>
      <c r="U97" s="121">
        <v>76.099999999999994</v>
      </c>
    </row>
    <row r="98" spans="2:21" x14ac:dyDescent="0.25">
      <c r="B98" s="42" t="s">
        <v>339</v>
      </c>
      <c r="C98" s="42"/>
      <c r="D98" s="42"/>
      <c r="E98" s="42"/>
      <c r="F98" s="42"/>
      <c r="G98" s="42"/>
      <c r="H98" s="42"/>
      <c r="I98" s="42"/>
      <c r="J98" s="42"/>
      <c r="K98" s="42"/>
      <c r="L98" s="42">
        <v>20.13</v>
      </c>
      <c r="M98" s="42"/>
      <c r="N98" s="42"/>
      <c r="O98" s="42"/>
      <c r="P98" s="42"/>
      <c r="Q98" s="42"/>
      <c r="R98" s="42"/>
      <c r="S98" s="42"/>
      <c r="T98" s="42"/>
      <c r="U98" s="121">
        <v>20.13</v>
      </c>
    </row>
    <row r="99" spans="2:21" x14ac:dyDescent="0.25">
      <c r="B99" s="42" t="s">
        <v>153</v>
      </c>
      <c r="C99" s="42"/>
      <c r="D99" s="42"/>
      <c r="E99" s="42"/>
      <c r="F99" s="42"/>
      <c r="G99" s="42"/>
      <c r="H99" s="42"/>
      <c r="I99" s="42"/>
      <c r="J99" s="42"/>
      <c r="K99" s="42"/>
      <c r="L99" s="42">
        <v>49.019999999999996</v>
      </c>
      <c r="M99" s="42"/>
      <c r="N99" s="42"/>
      <c r="O99" s="42"/>
      <c r="P99" s="42">
        <v>76.223000000000013</v>
      </c>
      <c r="Q99" s="42"/>
      <c r="R99" s="42"/>
      <c r="S99" s="42"/>
      <c r="T99" s="42"/>
      <c r="U99" s="121">
        <v>125.24300000000001</v>
      </c>
    </row>
    <row r="100" spans="2:21" x14ac:dyDescent="0.25">
      <c r="B100" s="42" t="s">
        <v>340</v>
      </c>
      <c r="C100" s="42"/>
      <c r="D100" s="42"/>
      <c r="E100" s="42"/>
      <c r="F100" s="42"/>
      <c r="G100" s="42"/>
      <c r="H100" s="42"/>
      <c r="I100" s="42"/>
      <c r="J100" s="42"/>
      <c r="K100" s="42">
        <v>24.462</v>
      </c>
      <c r="L100" s="42"/>
      <c r="M100" s="42"/>
      <c r="N100" s="42"/>
      <c r="O100" s="42"/>
      <c r="P100" s="42"/>
      <c r="Q100" s="42"/>
      <c r="R100" s="42"/>
      <c r="S100" s="42"/>
      <c r="T100" s="42"/>
      <c r="U100" s="121">
        <v>24.462</v>
      </c>
    </row>
    <row r="101" spans="2:21" x14ac:dyDescent="0.25">
      <c r="B101" s="42" t="s">
        <v>157</v>
      </c>
      <c r="C101" s="42"/>
      <c r="D101" s="42"/>
      <c r="E101" s="42"/>
      <c r="F101" s="42"/>
      <c r="G101" s="42"/>
      <c r="H101" s="42"/>
      <c r="I101" s="42">
        <v>3.76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>
        <v>40</v>
      </c>
      <c r="T101" s="42"/>
      <c r="U101" s="121">
        <v>43.76</v>
      </c>
    </row>
    <row r="102" spans="2:21" x14ac:dyDescent="0.25">
      <c r="B102" s="42" t="s">
        <v>144</v>
      </c>
      <c r="C102" s="42"/>
      <c r="D102" s="42"/>
      <c r="E102" s="42"/>
      <c r="F102" s="42"/>
      <c r="G102" s="42"/>
      <c r="H102" s="42"/>
      <c r="I102" s="42"/>
      <c r="J102" s="42"/>
      <c r="K102" s="42">
        <v>1.8029999999999999</v>
      </c>
      <c r="L102" s="42">
        <v>15.63</v>
      </c>
      <c r="M102" s="42"/>
      <c r="N102" s="42">
        <v>31.580000000000002</v>
      </c>
      <c r="O102" s="42"/>
      <c r="P102" s="42"/>
      <c r="Q102" s="42"/>
      <c r="R102" s="42"/>
      <c r="S102" s="42"/>
      <c r="T102" s="42"/>
      <c r="U102" s="121">
        <v>49.013000000000005</v>
      </c>
    </row>
    <row r="103" spans="2:21" x14ac:dyDescent="0.25">
      <c r="B103" s="42" t="s">
        <v>132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>
        <v>58.900000000000006</v>
      </c>
      <c r="M103" s="42"/>
      <c r="N103" s="42"/>
      <c r="O103" s="42"/>
      <c r="P103" s="42"/>
      <c r="Q103" s="42"/>
      <c r="R103" s="42"/>
      <c r="S103" s="42"/>
      <c r="T103" s="42"/>
      <c r="U103" s="121">
        <v>58.900000000000006</v>
      </c>
    </row>
    <row r="104" spans="2:21" x14ac:dyDescent="0.25">
      <c r="B104" s="84"/>
      <c r="C104" s="85"/>
      <c r="D104" s="85"/>
      <c r="E104" s="85"/>
      <c r="F104" s="85"/>
      <c r="G104" s="85"/>
      <c r="H104" s="85"/>
      <c r="I104" s="85"/>
      <c r="J104" s="92"/>
      <c r="K104" s="92"/>
      <c r="L104" s="85"/>
      <c r="M104" s="85"/>
      <c r="N104" s="85"/>
      <c r="O104" s="85"/>
      <c r="P104" s="85"/>
      <c r="Q104" s="85"/>
      <c r="R104" s="85"/>
    </row>
    <row r="105" spans="2:21" s="17" customFormat="1" x14ac:dyDescent="0.25">
      <c r="B105" s="113"/>
      <c r="C105" s="114"/>
      <c r="D105" s="115"/>
      <c r="E105" s="115"/>
      <c r="F105" s="114"/>
      <c r="G105" s="115"/>
      <c r="H105" s="115"/>
      <c r="I105" s="114"/>
      <c r="J105" s="115"/>
      <c r="K105" s="115"/>
      <c r="L105" s="114"/>
      <c r="M105" s="115"/>
      <c r="N105" s="114"/>
      <c r="O105" s="114"/>
      <c r="P105" s="114"/>
      <c r="Q105" s="118"/>
      <c r="R105" s="114"/>
    </row>
    <row r="106" spans="2:21" s="17" customFormat="1" x14ac:dyDescent="0.25">
      <c r="B106" s="11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8"/>
      <c r="R106" s="117"/>
    </row>
  </sheetData>
  <autoFilter ref="B1:R106"/>
  <customSheetViews>
    <customSheetView guid="{DA8006FA-F549-4B7E-8C3D-B376CE1F2F36}" showAutoFilter="1">
      <pane xSplit="2" ySplit="1" topLeftCell="C2" activePane="bottomRight" state="frozen"/>
      <selection pane="bottomRight" activeCell="B4" sqref="B4"/>
      <pageMargins left="0.7" right="0.7" top="0.75" bottom="0.75" header="0.3" footer="0.3"/>
      <pageSetup orientation="portrait" r:id="rId1"/>
      <autoFilter ref="B1:R106"/>
    </customSheetView>
    <customSheetView guid="{D364304B-E18C-453B-A624-DE6197120D49}">
      <selection activeCell="AA4" sqref="AA4"/>
      <pageMargins left="0.7" right="0.7" top="0.75" bottom="0.75" header="0.3" footer="0.3"/>
    </customSheetView>
    <customSheetView guid="{BDA34D52-B4BA-426C-853B-2B50F8AB0C76}" showAutoFilter="1">
      <pane xSplit="1" ySplit="1" topLeftCell="B2" activePane="bottomRight" state="frozen"/>
      <selection pane="bottomRight" activeCell="B2" sqref="B2"/>
      <pageMargins left="0.7" right="0.7" top="0.75" bottom="0.75" header="0.3" footer="0.3"/>
      <autoFilter ref="A1:R1"/>
    </customSheetView>
    <customSheetView guid="{C66BF055-7613-4DC3-BA99-25F44C751266}" scale="73" showAutoFilter="1">
      <pane xSplit="1" ySplit="1" topLeftCell="B74" activePane="bottomRight" state="frozen"/>
      <selection pane="bottomRight" activeCell="I105" sqref="I105"/>
      <pageMargins left="0.7" right="0.7" top="0.75" bottom="0.75" header="0.3" footer="0.3"/>
      <autoFilter ref="A1:Q103"/>
    </customSheetView>
    <customSheetView guid="{7A751D0E-E1DB-4CA9-844E-987730CC2DF7}" showAutoFilter="1">
      <pane xSplit="1" ySplit="1" topLeftCell="E77" activePane="bottomRight" state="frozen"/>
      <selection pane="bottomRight" activeCell="P101" sqref="P101"/>
      <pageMargins left="0.7" right="0.7" top="0.75" bottom="0.75" header="0.3" footer="0.3"/>
      <autoFilter ref="A1:Q106"/>
    </customSheetView>
  </customSheetViews>
  <pageMargins left="0.7" right="0.7" top="0.75" bottom="0.75" header="0.3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>
    <row r="1" s="41" customFormat="1" x14ac:dyDescent="0.25"/>
  </sheetData>
  <customSheetViews>
    <customSheetView guid="{DA8006FA-F549-4B7E-8C3D-B376CE1F2F36}">
      <selection activeCell="S18" sqref="S18"/>
      <pageMargins left="0.7" right="0.7" top="0.75" bottom="0.75" header="0.3" footer="0.3"/>
    </customSheetView>
    <customSheetView guid="{BDA34D52-B4BA-426C-853B-2B50F8AB0C76}">
      <selection activeCell="S18" sqref="S18"/>
      <pageMargins left="0.7" right="0.7" top="0.75" bottom="0.75" header="0.3" footer="0.3"/>
    </customSheetView>
    <customSheetView guid="{C66BF055-7613-4DC3-BA99-25F44C751266}">
      <selection activeCell="S18" sqref="S18"/>
      <pageMargins left="0.7" right="0.7" top="0.75" bottom="0.75" header="0.3" footer="0.3"/>
    </customSheetView>
    <customSheetView guid="{7A751D0E-E1DB-4CA9-844E-987730CC2DF7}">
      <selection activeCell="S18" sqref="S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0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A107" sqref="A107"/>
    </sheetView>
  </sheetViews>
  <sheetFormatPr defaultColWidth="11.140625" defaultRowHeight="15" x14ac:dyDescent="0.25"/>
  <cols>
    <col min="1" max="1" width="24" bestFit="1" customWidth="1"/>
    <col min="2" max="19" width="8.7109375" customWidth="1"/>
    <col min="20" max="20" width="8.7109375" style="17" customWidth="1"/>
    <col min="21" max="21" width="7.5703125" bestFit="1" customWidth="1"/>
    <col min="23" max="29" width="4.42578125" customWidth="1"/>
  </cols>
  <sheetData>
    <row r="1" spans="1:29" s="41" customFormat="1" ht="75.75" thickBot="1" x14ac:dyDescent="0.3">
      <c r="A1" s="44" t="s">
        <v>0</v>
      </c>
      <c r="B1" s="44" t="s">
        <v>231</v>
      </c>
      <c r="C1" s="44" t="s">
        <v>232</v>
      </c>
      <c r="D1" s="44" t="s">
        <v>233</v>
      </c>
      <c r="E1" s="44" t="s">
        <v>234</v>
      </c>
      <c r="F1" s="44" t="s">
        <v>235</v>
      </c>
      <c r="G1" s="44" t="s">
        <v>236</v>
      </c>
      <c r="H1" s="61" t="s">
        <v>237</v>
      </c>
      <c r="I1" s="61" t="s">
        <v>238</v>
      </c>
      <c r="J1" s="61" t="s">
        <v>239</v>
      </c>
      <c r="K1" s="44" t="s">
        <v>240</v>
      </c>
      <c r="L1" s="44" t="s">
        <v>241</v>
      </c>
      <c r="M1" s="44" t="s">
        <v>242</v>
      </c>
      <c r="N1" s="44" t="s">
        <v>243</v>
      </c>
      <c r="O1" s="44" t="s">
        <v>244</v>
      </c>
      <c r="P1" s="44" t="s">
        <v>245</v>
      </c>
      <c r="Q1" s="44" t="s">
        <v>246</v>
      </c>
      <c r="R1" s="44" t="s">
        <v>247</v>
      </c>
      <c r="S1" s="44" t="s">
        <v>248</v>
      </c>
      <c r="T1" s="44" t="s">
        <v>230</v>
      </c>
      <c r="U1" s="44" t="s">
        <v>1</v>
      </c>
      <c r="V1"/>
    </row>
    <row r="2" spans="1:29" x14ac:dyDescent="0.25">
      <c r="A2" s="42" t="s">
        <v>172</v>
      </c>
      <c r="B2" s="35"/>
      <c r="C2" s="35"/>
      <c r="D2" s="35"/>
      <c r="E2" s="35">
        <v>50.584999999999994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>
        <v>51.425999999999995</v>
      </c>
      <c r="Q2" s="35"/>
      <c r="R2" s="35"/>
      <c r="S2" s="35"/>
      <c r="T2" s="35"/>
      <c r="U2" s="35">
        <f>SUM(B2:T2)</f>
        <v>102.011</v>
      </c>
      <c r="W2" s="46" t="s">
        <v>3</v>
      </c>
      <c r="X2" s="47"/>
      <c r="Y2" s="47"/>
      <c r="Z2" s="47"/>
      <c r="AA2" s="47"/>
      <c r="AB2" s="47"/>
      <c r="AC2" s="48"/>
    </row>
    <row r="3" spans="1:29" x14ac:dyDescent="0.25">
      <c r="A3" s="42" t="s">
        <v>128</v>
      </c>
      <c r="B3" s="35"/>
      <c r="C3" s="35"/>
      <c r="D3" s="35">
        <v>18.622</v>
      </c>
      <c r="E3" s="35"/>
      <c r="F3" s="35"/>
      <c r="G3" s="35"/>
      <c r="H3" s="35"/>
      <c r="I3" s="35"/>
      <c r="J3" s="35">
        <v>33.732999999999997</v>
      </c>
      <c r="K3" s="35"/>
      <c r="L3" s="35"/>
      <c r="M3" s="35"/>
      <c r="N3" s="35"/>
      <c r="O3" s="35"/>
      <c r="P3" s="35"/>
      <c r="Q3" s="35"/>
      <c r="R3" s="35"/>
      <c r="S3" s="35"/>
      <c r="T3" s="11">
        <v>100</v>
      </c>
      <c r="U3" s="35">
        <f>SUM(B3:T3)</f>
        <v>152.35499999999999</v>
      </c>
      <c r="W3" s="49"/>
      <c r="X3" s="50"/>
      <c r="Y3" s="50"/>
      <c r="Z3" s="50"/>
      <c r="AA3" s="50"/>
      <c r="AB3" s="50"/>
      <c r="AC3" s="51"/>
    </row>
    <row r="4" spans="1:29" x14ac:dyDescent="0.25">
      <c r="A4" s="42" t="s">
        <v>134</v>
      </c>
      <c r="B4" s="35"/>
      <c r="C4" s="35"/>
      <c r="D4" s="35"/>
      <c r="E4" s="35"/>
      <c r="F4" s="35"/>
      <c r="G4" s="35"/>
      <c r="H4" s="35">
        <v>73.161000000000001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>
        <f t="shared" ref="U4:U67" si="0">SUM(B4:T4)</f>
        <v>73.161000000000001</v>
      </c>
      <c r="W4" s="52" t="s">
        <v>5</v>
      </c>
      <c r="X4" s="53" t="s">
        <v>6</v>
      </c>
      <c r="Y4" s="54" t="s">
        <v>119</v>
      </c>
      <c r="Z4" s="54" t="s">
        <v>7</v>
      </c>
      <c r="AA4" s="54" t="s">
        <v>74</v>
      </c>
      <c r="AB4" s="54" t="s">
        <v>103</v>
      </c>
      <c r="AC4" s="55" t="s">
        <v>8</v>
      </c>
    </row>
    <row r="5" spans="1:29" ht="15.75" thickBot="1" x14ac:dyDescent="0.3">
      <c r="A5" s="42" t="s">
        <v>139</v>
      </c>
      <c r="B5" s="35"/>
      <c r="C5" s="35"/>
      <c r="D5" s="35"/>
      <c r="E5" s="35"/>
      <c r="F5" s="35"/>
      <c r="G5" s="35"/>
      <c r="H5" s="35">
        <v>111.71900000000001</v>
      </c>
      <c r="I5" s="35"/>
      <c r="J5" s="35"/>
      <c r="K5" s="35"/>
      <c r="L5" s="35"/>
      <c r="M5" s="35"/>
      <c r="N5" s="35"/>
      <c r="O5" s="35"/>
      <c r="P5" s="35">
        <v>16.28</v>
      </c>
      <c r="Q5" s="35"/>
      <c r="R5" s="35"/>
      <c r="S5" s="35"/>
      <c r="T5" s="35"/>
      <c r="U5" s="35">
        <f t="shared" si="0"/>
        <v>127.99900000000001</v>
      </c>
      <c r="W5" s="56" t="s">
        <v>71</v>
      </c>
      <c r="X5" s="57" t="s">
        <v>71</v>
      </c>
      <c r="Y5" s="57" t="s">
        <v>71</v>
      </c>
      <c r="Z5" s="58" t="s">
        <v>71</v>
      </c>
      <c r="AA5" s="58" t="s">
        <v>71</v>
      </c>
      <c r="AB5" s="59" t="s">
        <v>71</v>
      </c>
      <c r="AC5" s="60" t="s">
        <v>71</v>
      </c>
    </row>
    <row r="6" spans="1:29" x14ac:dyDescent="0.25">
      <c r="A6" s="42" t="s">
        <v>122</v>
      </c>
      <c r="B6" s="35"/>
      <c r="C6" s="35"/>
      <c r="D6" s="35"/>
      <c r="E6" s="35"/>
      <c r="F6" s="35"/>
      <c r="G6" s="35"/>
      <c r="H6" s="35"/>
      <c r="I6" s="35"/>
      <c r="J6" s="35"/>
      <c r="K6" s="35">
        <v>41.923000000000002</v>
      </c>
      <c r="L6" s="35"/>
      <c r="M6" s="35"/>
      <c r="N6" s="35"/>
      <c r="O6" s="35"/>
      <c r="P6" s="35">
        <v>61.784000000000006</v>
      </c>
      <c r="Q6" s="35"/>
      <c r="R6" s="35"/>
      <c r="S6" s="35"/>
      <c r="T6" s="35"/>
      <c r="U6" s="35">
        <f t="shared" si="0"/>
        <v>103.70700000000001</v>
      </c>
    </row>
    <row r="7" spans="1:29" x14ac:dyDescent="0.25">
      <c r="A7" s="42" t="s">
        <v>217</v>
      </c>
      <c r="B7" s="35"/>
      <c r="C7" s="35"/>
      <c r="D7" s="35"/>
      <c r="E7" s="35"/>
      <c r="F7" s="35"/>
      <c r="G7" s="35"/>
      <c r="H7" s="35">
        <v>21.513999999999999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>
        <v>45.1</v>
      </c>
      <c r="U7" s="35">
        <f t="shared" si="0"/>
        <v>66.614000000000004</v>
      </c>
    </row>
    <row r="8" spans="1:29" x14ac:dyDescent="0.25">
      <c r="A8" s="42" t="s">
        <v>125</v>
      </c>
      <c r="B8" s="35"/>
      <c r="C8" s="35"/>
      <c r="D8" s="35"/>
      <c r="E8" s="35"/>
      <c r="F8" s="35"/>
      <c r="G8" s="35"/>
      <c r="H8" s="35"/>
      <c r="I8" s="35"/>
      <c r="J8" s="35">
        <v>32.933999999999997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>
        <f t="shared" si="0"/>
        <v>32.933999999999997</v>
      </c>
    </row>
    <row r="9" spans="1:29" s="17" customFormat="1" x14ac:dyDescent="0.25">
      <c r="A9" s="42" t="s">
        <v>150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100</v>
      </c>
      <c r="U9" s="35">
        <f>SUM(B9:T9)</f>
        <v>100</v>
      </c>
    </row>
    <row r="10" spans="1:29" x14ac:dyDescent="0.25">
      <c r="A10" s="42" t="s">
        <v>158</v>
      </c>
      <c r="B10" s="35"/>
      <c r="C10" s="35"/>
      <c r="D10" s="35"/>
      <c r="E10" s="35"/>
      <c r="F10" s="35"/>
      <c r="G10" s="35"/>
      <c r="H10" s="35"/>
      <c r="I10" s="35"/>
      <c r="J10" s="35"/>
      <c r="K10" s="35">
        <v>77.712000000000003</v>
      </c>
      <c r="L10" s="35"/>
      <c r="M10" s="35"/>
      <c r="N10" s="35"/>
      <c r="O10" s="35"/>
      <c r="P10" s="35"/>
      <c r="Q10" s="35"/>
      <c r="R10" s="35"/>
      <c r="S10" s="35"/>
      <c r="T10" s="35"/>
      <c r="U10" s="35">
        <f t="shared" si="0"/>
        <v>77.712000000000003</v>
      </c>
    </row>
    <row r="11" spans="1:29" x14ac:dyDescent="0.25">
      <c r="A11" s="42" t="s">
        <v>189</v>
      </c>
      <c r="B11" s="35"/>
      <c r="C11" s="35"/>
      <c r="D11" s="35"/>
      <c r="E11" s="35"/>
      <c r="F11" s="35"/>
      <c r="G11" s="35">
        <v>111.25</v>
      </c>
      <c r="H11" s="35"/>
      <c r="I11" s="35"/>
      <c r="J11" s="35"/>
      <c r="K11" s="35"/>
      <c r="L11" s="35"/>
      <c r="M11" s="35"/>
      <c r="N11" s="35"/>
      <c r="O11" s="35"/>
      <c r="P11" s="35">
        <v>46.6</v>
      </c>
      <c r="Q11" s="35"/>
      <c r="R11" s="35"/>
      <c r="S11" s="35"/>
      <c r="T11" s="35"/>
      <c r="U11" s="35">
        <f t="shared" si="0"/>
        <v>157.85</v>
      </c>
    </row>
    <row r="12" spans="1:29" x14ac:dyDescent="0.25">
      <c r="A12" s="42" t="s">
        <v>185</v>
      </c>
      <c r="B12" s="35"/>
      <c r="C12" s="35"/>
      <c r="D12" s="35"/>
      <c r="E12" s="35"/>
      <c r="F12" s="35"/>
      <c r="G12" s="35">
        <v>37.83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>
        <v>21</v>
      </c>
      <c r="U12" s="35">
        <f t="shared" si="0"/>
        <v>58.83</v>
      </c>
    </row>
    <row r="13" spans="1:29" x14ac:dyDescent="0.25">
      <c r="A13" s="42" t="s">
        <v>149</v>
      </c>
      <c r="B13" s="35"/>
      <c r="C13" s="35"/>
      <c r="D13" s="35"/>
      <c r="E13" s="35"/>
      <c r="F13" s="35"/>
      <c r="G13" s="35"/>
      <c r="H13" s="35">
        <v>102.80799999999999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>
        <f t="shared" si="0"/>
        <v>102.80799999999999</v>
      </c>
    </row>
    <row r="14" spans="1:29" x14ac:dyDescent="0.25">
      <c r="A14" s="42" t="s">
        <v>197</v>
      </c>
      <c r="B14" s="35"/>
      <c r="C14" s="35"/>
      <c r="D14" s="35"/>
      <c r="E14" s="35"/>
      <c r="F14" s="35"/>
      <c r="G14" s="35"/>
      <c r="H14" s="35">
        <v>6.0519999999999996</v>
      </c>
      <c r="I14" s="35">
        <v>75.495000000000005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>
        <v>67.900000000000006</v>
      </c>
      <c r="U14" s="35">
        <f t="shared" si="0"/>
        <v>149.447</v>
      </c>
    </row>
    <row r="15" spans="1:29" x14ac:dyDescent="0.25">
      <c r="A15" s="42" t="s">
        <v>198</v>
      </c>
      <c r="B15" s="35"/>
      <c r="C15" s="35"/>
      <c r="D15" s="35"/>
      <c r="E15" s="35"/>
      <c r="F15" s="35"/>
      <c r="G15" s="35"/>
      <c r="H15" s="35">
        <v>113.456</v>
      </c>
      <c r="I15" s="35"/>
      <c r="J15" s="35"/>
      <c r="K15" s="35"/>
      <c r="L15" s="35"/>
      <c r="M15" s="35"/>
      <c r="N15" s="35"/>
      <c r="O15" s="35"/>
      <c r="P15" s="35">
        <v>35.135999999999996</v>
      </c>
      <c r="Q15" s="35"/>
      <c r="R15" s="35"/>
      <c r="S15" s="35"/>
      <c r="T15" s="35"/>
      <c r="U15" s="35">
        <f t="shared" si="0"/>
        <v>148.59199999999998</v>
      </c>
    </row>
    <row r="16" spans="1:29" x14ac:dyDescent="0.25">
      <c r="A16" s="4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>
        <v>71.378000000000014</v>
      </c>
      <c r="N16" s="35"/>
      <c r="O16" s="35"/>
      <c r="P16" s="35">
        <v>48.338999999999999</v>
      </c>
      <c r="Q16" s="35"/>
      <c r="R16" s="35"/>
      <c r="S16" s="35"/>
      <c r="T16" s="35"/>
      <c r="U16" s="35">
        <f t="shared" si="0"/>
        <v>119.71700000000001</v>
      </c>
    </row>
    <row r="17" spans="1:21" x14ac:dyDescent="0.25">
      <c r="A17" s="42" t="s">
        <v>142</v>
      </c>
      <c r="B17" s="35"/>
      <c r="C17" s="35"/>
      <c r="D17" s="35"/>
      <c r="E17" s="35"/>
      <c r="F17" s="35"/>
      <c r="G17" s="35">
        <v>114.8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f t="shared" si="0"/>
        <v>114.8</v>
      </c>
    </row>
    <row r="18" spans="1:21" x14ac:dyDescent="0.25">
      <c r="A18" s="42" t="s">
        <v>218</v>
      </c>
      <c r="B18" s="35"/>
      <c r="C18" s="35">
        <f>37.532+20</f>
        <v>57.531999999999996</v>
      </c>
      <c r="D18" s="35"/>
      <c r="E18" s="35"/>
      <c r="F18" s="35"/>
      <c r="G18" s="35"/>
      <c r="H18" s="35"/>
      <c r="I18" s="35"/>
      <c r="J18" s="35">
        <v>43.018000000000001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>
        <f t="shared" si="0"/>
        <v>100.55</v>
      </c>
    </row>
    <row r="19" spans="1:21" x14ac:dyDescent="0.25">
      <c r="A19" s="42" t="s">
        <v>156</v>
      </c>
      <c r="B19" s="35"/>
      <c r="C19" s="35"/>
      <c r="D19" s="35"/>
      <c r="E19" s="35"/>
      <c r="F19" s="35"/>
      <c r="G19" s="35"/>
      <c r="H19" s="35">
        <v>98.744</v>
      </c>
      <c r="I19" s="35"/>
      <c r="J19" s="35"/>
      <c r="K19" s="35"/>
      <c r="L19" s="35"/>
      <c r="M19" s="35"/>
      <c r="N19" s="35"/>
      <c r="O19" s="35"/>
      <c r="P19" s="35">
        <v>48.790999999999997</v>
      </c>
      <c r="Q19" s="35"/>
      <c r="R19" s="35"/>
      <c r="S19" s="35"/>
      <c r="T19" s="35"/>
      <c r="U19" s="35">
        <f t="shared" si="0"/>
        <v>147.535</v>
      </c>
    </row>
    <row r="20" spans="1:21" x14ac:dyDescent="0.25">
      <c r="A20" s="42" t="s">
        <v>171</v>
      </c>
      <c r="B20" s="35"/>
      <c r="C20" s="35"/>
      <c r="D20" s="35"/>
      <c r="E20" s="35"/>
      <c r="F20" s="35"/>
      <c r="G20" s="35"/>
      <c r="H20" s="35">
        <v>11.739000000000001</v>
      </c>
      <c r="I20" s="35"/>
      <c r="J20" s="35">
        <v>76.036000000000001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>
        <f t="shared" si="0"/>
        <v>87.775000000000006</v>
      </c>
    </row>
    <row r="21" spans="1:21" x14ac:dyDescent="0.25">
      <c r="A21" s="42" t="s">
        <v>176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>
        <v>138.67099999999999</v>
      </c>
      <c r="R21" s="35"/>
      <c r="S21" s="35"/>
      <c r="T21" s="35"/>
      <c r="U21" s="35">
        <f t="shared" si="0"/>
        <v>138.67099999999999</v>
      </c>
    </row>
    <row r="22" spans="1:21" x14ac:dyDescent="0.25">
      <c r="A22" s="42" t="s">
        <v>114</v>
      </c>
      <c r="B22" s="35"/>
      <c r="C22" s="35"/>
      <c r="D22" s="35"/>
      <c r="E22" s="35"/>
      <c r="F22" s="35"/>
      <c r="G22" s="35"/>
      <c r="H22" s="35">
        <v>115.852</v>
      </c>
      <c r="I22" s="35"/>
      <c r="J22" s="35"/>
      <c r="K22" s="35"/>
      <c r="L22" s="35"/>
      <c r="M22" s="35"/>
      <c r="N22" s="35"/>
      <c r="O22" s="35"/>
      <c r="P22" s="35">
        <v>51.033000000000001</v>
      </c>
      <c r="Q22" s="35"/>
      <c r="R22" s="35"/>
      <c r="S22" s="35"/>
      <c r="T22" s="35"/>
      <c r="U22" s="35">
        <f t="shared" si="0"/>
        <v>166.88499999999999</v>
      </c>
    </row>
    <row r="23" spans="1:21" x14ac:dyDescent="0.25">
      <c r="A23" s="42" t="s">
        <v>183</v>
      </c>
      <c r="B23" s="35"/>
      <c r="C23" s="35"/>
      <c r="D23" s="35"/>
      <c r="E23" s="35"/>
      <c r="F23" s="35">
        <v>53.79</v>
      </c>
      <c r="G23" s="35"/>
      <c r="H23" s="35"/>
      <c r="I23" s="35"/>
      <c r="J23" s="35">
        <v>34.408999999999999</v>
      </c>
      <c r="K23" s="35"/>
      <c r="L23" s="35"/>
      <c r="M23" s="35"/>
      <c r="N23" s="35"/>
      <c r="O23" s="35"/>
      <c r="P23" s="35">
        <v>52.000999999999998</v>
      </c>
      <c r="Q23" s="35"/>
      <c r="R23" s="35"/>
      <c r="S23" s="35"/>
      <c r="T23" s="35"/>
      <c r="U23" s="35">
        <f t="shared" si="0"/>
        <v>140.19999999999999</v>
      </c>
    </row>
    <row r="24" spans="1:21" x14ac:dyDescent="0.25">
      <c r="A24" s="42" t="s">
        <v>135</v>
      </c>
      <c r="B24" s="35"/>
      <c r="C24" s="35"/>
      <c r="D24" s="35"/>
      <c r="E24" s="35">
        <v>125.12599999999999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>
        <v>90</v>
      </c>
      <c r="U24" s="35">
        <f t="shared" si="0"/>
        <v>215.12599999999998</v>
      </c>
    </row>
    <row r="25" spans="1:21" x14ac:dyDescent="0.25">
      <c r="A25" s="42" t="s">
        <v>180</v>
      </c>
      <c r="B25" s="35"/>
      <c r="C25" s="35"/>
      <c r="D25" s="35"/>
      <c r="E25" s="35"/>
      <c r="F25" s="35"/>
      <c r="G25" s="35">
        <v>99.919999999999987</v>
      </c>
      <c r="H25" s="35">
        <v>42.057000000000002</v>
      </c>
      <c r="I25" s="35"/>
      <c r="J25" s="35"/>
      <c r="K25" s="35"/>
      <c r="L25" s="35"/>
      <c r="M25" s="35"/>
      <c r="N25" s="35"/>
      <c r="O25" s="35"/>
      <c r="P25" s="35">
        <v>17.747999999999998</v>
      </c>
      <c r="Q25" s="35"/>
      <c r="R25" s="35"/>
      <c r="S25" s="35"/>
      <c r="T25" s="35"/>
      <c r="U25" s="35">
        <f t="shared" si="0"/>
        <v>159.72499999999997</v>
      </c>
    </row>
    <row r="26" spans="1:21" x14ac:dyDescent="0.25">
      <c r="A26" s="42" t="s">
        <v>123</v>
      </c>
      <c r="B26" s="35"/>
      <c r="C26" s="35"/>
      <c r="D26" s="35"/>
      <c r="E26" s="35"/>
      <c r="F26" s="35"/>
      <c r="G26" s="35"/>
      <c r="H26" s="35">
        <v>111.54000000000002</v>
      </c>
      <c r="I26" s="35"/>
      <c r="J26" s="35"/>
      <c r="K26" s="35"/>
      <c r="L26" s="35"/>
      <c r="M26" s="35"/>
      <c r="N26" s="35"/>
      <c r="O26" s="35"/>
      <c r="P26" s="35">
        <v>44.908999999999999</v>
      </c>
      <c r="Q26" s="35"/>
      <c r="R26" s="35"/>
      <c r="S26" s="35"/>
      <c r="T26" s="35"/>
      <c r="U26" s="35">
        <f t="shared" si="0"/>
        <v>156.44900000000001</v>
      </c>
    </row>
    <row r="27" spans="1:21" x14ac:dyDescent="0.25">
      <c r="A27" s="42" t="s">
        <v>151</v>
      </c>
      <c r="B27" s="35"/>
      <c r="C27" s="35"/>
      <c r="D27" s="35"/>
      <c r="E27" s="35"/>
      <c r="F27" s="35"/>
      <c r="G27" s="35"/>
      <c r="H27" s="35"/>
      <c r="I27" s="35">
        <v>85.52</v>
      </c>
      <c r="J27" s="35"/>
      <c r="K27" s="35"/>
      <c r="L27" s="35"/>
      <c r="M27" s="35"/>
      <c r="N27" s="35"/>
      <c r="O27" s="35"/>
      <c r="P27" s="35">
        <v>63.897000000000006</v>
      </c>
      <c r="Q27" s="35"/>
      <c r="R27" s="35"/>
      <c r="S27" s="35"/>
      <c r="T27" s="35"/>
      <c r="U27" s="35">
        <f t="shared" si="0"/>
        <v>149.417</v>
      </c>
    </row>
    <row r="28" spans="1:21" x14ac:dyDescent="0.25">
      <c r="A28" s="42" t="s">
        <v>168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>
        <v>49.144000000000005</v>
      </c>
      <c r="N28" s="35"/>
      <c r="O28" s="35"/>
      <c r="P28" s="35"/>
      <c r="Q28" s="35"/>
      <c r="R28" s="35"/>
      <c r="S28" s="35"/>
      <c r="T28" s="11">
        <v>80</v>
      </c>
      <c r="U28" s="35">
        <f>SUM(B28:T28)</f>
        <v>129.14400000000001</v>
      </c>
    </row>
    <row r="29" spans="1:21" x14ac:dyDescent="0.25">
      <c r="A29" s="42" t="s">
        <v>173</v>
      </c>
      <c r="B29" s="35"/>
      <c r="C29" s="35"/>
      <c r="D29" s="35"/>
      <c r="E29" s="35"/>
      <c r="F29" s="35"/>
      <c r="G29" s="35"/>
      <c r="H29" s="35"/>
      <c r="I29" s="35"/>
      <c r="J29" s="35"/>
      <c r="K29" s="35">
        <v>17.363999999999997</v>
      </c>
      <c r="L29" s="35"/>
      <c r="M29" s="35"/>
      <c r="N29" s="35"/>
      <c r="O29" s="35"/>
      <c r="P29" s="35">
        <v>14.898999999999999</v>
      </c>
      <c r="Q29" s="35"/>
      <c r="R29" s="35"/>
      <c r="S29" s="35"/>
      <c r="T29" s="35">
        <v>7.2</v>
      </c>
      <c r="U29" s="35">
        <f t="shared" si="0"/>
        <v>39.463000000000001</v>
      </c>
    </row>
    <row r="30" spans="1:21" x14ac:dyDescent="0.25">
      <c r="A30" s="42" t="s">
        <v>182</v>
      </c>
      <c r="B30" s="35"/>
      <c r="C30" s="35">
        <f>65.648+20</f>
        <v>85.647999999999996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>
        <v>45.197999999999993</v>
      </c>
      <c r="Q30" s="35"/>
      <c r="R30" s="35">
        <v>65.58</v>
      </c>
      <c r="S30" s="35"/>
      <c r="T30" s="35"/>
      <c r="U30" s="35">
        <f t="shared" si="0"/>
        <v>196.42599999999999</v>
      </c>
    </row>
    <row r="31" spans="1:21" x14ac:dyDescent="0.25">
      <c r="A31" s="42" t="s">
        <v>201</v>
      </c>
      <c r="B31" s="35"/>
      <c r="C31" s="35"/>
      <c r="D31" s="35"/>
      <c r="E31" s="35"/>
      <c r="F31" s="35"/>
      <c r="G31" s="35"/>
      <c r="H31" s="35"/>
      <c r="I31" s="35"/>
      <c r="J31" s="35">
        <v>39.097000000000001</v>
      </c>
      <c r="K31" s="35"/>
      <c r="L31" s="35"/>
      <c r="M31" s="35"/>
      <c r="N31" s="35"/>
      <c r="O31" s="35"/>
      <c r="P31" s="35">
        <v>46.608000000000004</v>
      </c>
      <c r="Q31" s="35"/>
      <c r="R31" s="35"/>
      <c r="S31" s="35"/>
      <c r="T31" s="35"/>
      <c r="U31" s="35">
        <f t="shared" si="0"/>
        <v>85.705000000000013</v>
      </c>
    </row>
    <row r="32" spans="1:21" x14ac:dyDescent="0.25">
      <c r="A32" s="42" t="s">
        <v>145</v>
      </c>
      <c r="B32" s="35"/>
      <c r="C32" s="35"/>
      <c r="D32" s="35"/>
      <c r="E32" s="35"/>
      <c r="F32" s="35"/>
      <c r="G32" s="35"/>
      <c r="H32" s="35"/>
      <c r="I32" s="35"/>
      <c r="J32" s="35">
        <v>116.703</v>
      </c>
      <c r="K32" s="35"/>
      <c r="L32" s="35"/>
      <c r="M32" s="35"/>
      <c r="N32" s="35"/>
      <c r="O32" s="35"/>
      <c r="P32" s="35">
        <v>69.156999999999996</v>
      </c>
      <c r="Q32" s="35"/>
      <c r="R32" s="35"/>
      <c r="S32" s="35"/>
      <c r="T32" s="35"/>
      <c r="U32" s="35">
        <f t="shared" si="0"/>
        <v>185.86</v>
      </c>
    </row>
    <row r="33" spans="1:21" x14ac:dyDescent="0.25">
      <c r="A33" s="42" t="s">
        <v>219</v>
      </c>
      <c r="B33" s="35"/>
      <c r="C33" s="35"/>
      <c r="D33" s="35"/>
      <c r="E33" s="35"/>
      <c r="F33" s="35"/>
      <c r="G33" s="35">
        <v>39.58</v>
      </c>
      <c r="H33" s="35"/>
      <c r="I33" s="35"/>
      <c r="J33" s="35"/>
      <c r="K33" s="35"/>
      <c r="L33" s="35"/>
      <c r="M33" s="35"/>
      <c r="N33" s="35"/>
      <c r="O33" s="35"/>
      <c r="P33" s="35">
        <v>38.242999999999995</v>
      </c>
      <c r="Q33" s="35"/>
      <c r="R33" s="35"/>
      <c r="S33" s="35"/>
      <c r="T33" s="35"/>
      <c r="U33" s="35">
        <f t="shared" si="0"/>
        <v>77.822999999999993</v>
      </c>
    </row>
    <row r="34" spans="1:21" x14ac:dyDescent="0.25">
      <c r="A34" s="42" t="s">
        <v>196</v>
      </c>
      <c r="B34" s="35"/>
      <c r="C34" s="35"/>
      <c r="D34" s="35"/>
      <c r="E34" s="35"/>
      <c r="F34" s="35"/>
      <c r="G34" s="35"/>
      <c r="H34" s="35">
        <v>40.605000000000004</v>
      </c>
      <c r="I34" s="35"/>
      <c r="J34" s="35"/>
      <c r="K34" s="35"/>
      <c r="L34" s="35"/>
      <c r="M34" s="35"/>
      <c r="N34" s="35"/>
      <c r="O34" s="35"/>
      <c r="P34" s="35">
        <v>14.205</v>
      </c>
      <c r="Q34" s="35"/>
      <c r="R34" s="35"/>
      <c r="S34" s="35"/>
      <c r="T34" s="35"/>
      <c r="U34" s="35">
        <f t="shared" si="0"/>
        <v>54.81</v>
      </c>
    </row>
    <row r="35" spans="1:21" x14ac:dyDescent="0.25">
      <c r="A35" s="42" t="s">
        <v>154</v>
      </c>
      <c r="B35" s="35"/>
      <c r="C35" s="35">
        <v>24.908999999999999</v>
      </c>
      <c r="D35" s="35"/>
      <c r="E35" s="35"/>
      <c r="F35" s="35"/>
      <c r="G35" s="35"/>
      <c r="H35" s="35"/>
      <c r="I35" s="35"/>
      <c r="J35" s="35"/>
      <c r="K35" s="35"/>
      <c r="L35" s="35">
        <v>102.154</v>
      </c>
      <c r="M35" s="35"/>
      <c r="N35" s="35"/>
      <c r="O35" s="35"/>
      <c r="P35" s="35">
        <v>16.805</v>
      </c>
      <c r="Q35" s="35"/>
      <c r="R35" s="35"/>
      <c r="S35" s="35"/>
      <c r="T35" s="35"/>
      <c r="U35" s="35">
        <f t="shared" si="0"/>
        <v>143.86799999999999</v>
      </c>
    </row>
    <row r="36" spans="1:21" x14ac:dyDescent="0.25">
      <c r="A36" s="42" t="s">
        <v>136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f>93.886+20</f>
        <v>113.886</v>
      </c>
      <c r="N36" s="35"/>
      <c r="O36" s="35"/>
      <c r="P36" s="35">
        <f>42.354+100</f>
        <v>142.35399999999998</v>
      </c>
      <c r="Q36" s="35"/>
      <c r="R36" s="35"/>
      <c r="S36" s="35"/>
      <c r="T36" s="35"/>
      <c r="U36" s="35">
        <f t="shared" si="0"/>
        <v>256.24</v>
      </c>
    </row>
    <row r="37" spans="1:21" x14ac:dyDescent="0.25">
      <c r="A37" s="42" t="s">
        <v>220</v>
      </c>
      <c r="B37" s="35"/>
      <c r="C37" s="35"/>
      <c r="D37" s="35"/>
      <c r="E37" s="35">
        <v>81.320999999999998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>
        <v>14.6</v>
      </c>
      <c r="U37" s="35">
        <f t="shared" si="0"/>
        <v>95.920999999999992</v>
      </c>
    </row>
    <row r="38" spans="1:21" x14ac:dyDescent="0.25">
      <c r="A38" s="42" t="s">
        <v>159</v>
      </c>
      <c r="B38" s="35"/>
      <c r="C38" s="35"/>
      <c r="D38" s="35"/>
      <c r="E38" s="35"/>
      <c r="F38" s="35"/>
      <c r="G38" s="35">
        <v>102.25000000000001</v>
      </c>
      <c r="H38" s="35"/>
      <c r="I38" s="35"/>
      <c r="J38" s="35"/>
      <c r="K38" s="35"/>
      <c r="L38" s="35"/>
      <c r="M38" s="35"/>
      <c r="N38" s="35"/>
      <c r="O38" s="35"/>
      <c r="P38" s="35"/>
      <c r="Q38" s="35">
        <v>7.3</v>
      </c>
      <c r="R38" s="35"/>
      <c r="S38" s="35"/>
      <c r="T38" s="35"/>
      <c r="U38" s="35">
        <f t="shared" si="0"/>
        <v>109.55000000000001</v>
      </c>
    </row>
    <row r="39" spans="1:21" x14ac:dyDescent="0.25">
      <c r="A39" s="42" t="s">
        <v>193</v>
      </c>
      <c r="B39" s="35"/>
      <c r="C39" s="35"/>
      <c r="D39" s="35"/>
      <c r="E39" s="35"/>
      <c r="F39" s="35"/>
      <c r="G39" s="35"/>
      <c r="H39" s="35"/>
      <c r="I39" s="35"/>
      <c r="J39" s="35"/>
      <c r="K39" s="35">
        <v>81.936999999999983</v>
      </c>
      <c r="L39" s="35"/>
      <c r="M39" s="35"/>
      <c r="N39" s="35"/>
      <c r="O39" s="35"/>
      <c r="P39" s="35">
        <f>29.763+20</f>
        <v>49.763000000000005</v>
      </c>
      <c r="Q39" s="35"/>
      <c r="R39" s="35"/>
      <c r="S39" s="35"/>
      <c r="T39" s="35"/>
      <c r="U39" s="35">
        <f t="shared" si="0"/>
        <v>131.69999999999999</v>
      </c>
    </row>
    <row r="40" spans="1:21" x14ac:dyDescent="0.25">
      <c r="A40" s="42" t="s">
        <v>188</v>
      </c>
      <c r="B40" s="35"/>
      <c r="C40" s="35"/>
      <c r="D40" s="35"/>
      <c r="E40" s="35"/>
      <c r="F40" s="35"/>
      <c r="G40" s="35"/>
      <c r="H40" s="35"/>
      <c r="I40" s="35"/>
      <c r="J40" s="35">
        <v>107.61799999999999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>
        <f t="shared" si="0"/>
        <v>107.61799999999999</v>
      </c>
    </row>
    <row r="41" spans="1:21" x14ac:dyDescent="0.25">
      <c r="A41" s="42" t="s">
        <v>121</v>
      </c>
      <c r="B41" s="35"/>
      <c r="C41" s="35"/>
      <c r="D41" s="35"/>
      <c r="E41" s="35"/>
      <c r="F41" s="35"/>
      <c r="G41" s="35">
        <v>65.92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>
        <f t="shared" si="0"/>
        <v>65.92</v>
      </c>
    </row>
    <row r="42" spans="1:21" x14ac:dyDescent="0.25">
      <c r="A42" s="42" t="s">
        <v>152</v>
      </c>
      <c r="B42" s="35"/>
      <c r="C42" s="35"/>
      <c r="D42" s="35"/>
      <c r="E42" s="35"/>
      <c r="F42" s="35"/>
      <c r="G42" s="35"/>
      <c r="H42" s="35"/>
      <c r="I42" s="35"/>
      <c r="J42" s="35"/>
      <c r="K42" s="35">
        <v>109.36599999999999</v>
      </c>
      <c r="L42" s="35"/>
      <c r="M42" s="35"/>
      <c r="N42" s="35"/>
      <c r="O42" s="35"/>
      <c r="P42" s="35">
        <v>44.572000000000003</v>
      </c>
      <c r="Q42" s="35"/>
      <c r="R42" s="35"/>
      <c r="S42" s="35"/>
      <c r="T42" s="35"/>
      <c r="U42" s="35">
        <f t="shared" si="0"/>
        <v>153.93799999999999</v>
      </c>
    </row>
    <row r="43" spans="1:21" x14ac:dyDescent="0.25">
      <c r="A43" s="42" t="s">
        <v>175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>
        <v>91.11399999999999</v>
      </c>
      <c r="M43" s="35"/>
      <c r="N43" s="35"/>
      <c r="O43" s="35"/>
      <c r="P43" s="35">
        <v>48.867999999999995</v>
      </c>
      <c r="Q43" s="35"/>
      <c r="R43" s="35"/>
      <c r="S43" s="35"/>
      <c r="T43" s="35"/>
      <c r="U43" s="35">
        <f t="shared" si="0"/>
        <v>139.98199999999997</v>
      </c>
    </row>
    <row r="44" spans="1:21" x14ac:dyDescent="0.25">
      <c r="A44" s="42" t="s">
        <v>130</v>
      </c>
      <c r="B44" s="35"/>
      <c r="C44" s="35"/>
      <c r="D44" s="35"/>
      <c r="E44" s="35"/>
      <c r="F44" s="35"/>
      <c r="G44" s="35"/>
      <c r="H44" s="35">
        <v>5.375</v>
      </c>
      <c r="I44" s="35">
        <v>9.1020000000000003</v>
      </c>
      <c r="J44" s="35"/>
      <c r="K44" s="35"/>
      <c r="L44" s="35"/>
      <c r="M44" s="35"/>
      <c r="N44" s="35"/>
      <c r="O44" s="35"/>
      <c r="P44" s="35">
        <v>50.157000000000004</v>
      </c>
      <c r="Q44" s="35"/>
      <c r="R44" s="35">
        <v>74.16</v>
      </c>
      <c r="S44" s="35"/>
      <c r="T44" s="35"/>
      <c r="U44" s="35">
        <f t="shared" si="0"/>
        <v>138.79399999999998</v>
      </c>
    </row>
    <row r="45" spans="1:21" x14ac:dyDescent="0.25">
      <c r="A45" s="42" t="s">
        <v>160</v>
      </c>
      <c r="B45" s="35">
        <f>147.87+10</f>
        <v>157.87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>
        <v>24.433</v>
      </c>
      <c r="Q45" s="35"/>
      <c r="R45" s="35"/>
      <c r="S45" s="35"/>
      <c r="T45" s="35"/>
      <c r="U45" s="35">
        <f t="shared" si="0"/>
        <v>182.303</v>
      </c>
    </row>
    <row r="46" spans="1:21" x14ac:dyDescent="0.25">
      <c r="A46" s="42" t="s">
        <v>170</v>
      </c>
      <c r="B46" s="35"/>
      <c r="C46" s="35"/>
      <c r="D46" s="35"/>
      <c r="E46" s="35"/>
      <c r="F46" s="35"/>
      <c r="G46" s="35"/>
      <c r="H46" s="35"/>
      <c r="I46" s="35"/>
      <c r="J46" s="35"/>
      <c r="K46" s="35">
        <v>94.619999999999976</v>
      </c>
      <c r="L46" s="35"/>
      <c r="M46" s="35"/>
      <c r="N46" s="35"/>
      <c r="O46" s="35"/>
      <c r="P46" s="35">
        <v>52.991</v>
      </c>
      <c r="Q46" s="35"/>
      <c r="R46" s="35"/>
      <c r="S46" s="35"/>
      <c r="T46" s="35"/>
      <c r="U46" s="35">
        <f t="shared" si="0"/>
        <v>147.61099999999999</v>
      </c>
    </row>
    <row r="47" spans="1:21" x14ac:dyDescent="0.25">
      <c r="A47" s="42" t="s">
        <v>155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>
        <v>70</v>
      </c>
      <c r="P47" s="35">
        <v>11.919</v>
      </c>
      <c r="Q47" s="35"/>
      <c r="R47" s="35"/>
      <c r="S47" s="35"/>
      <c r="T47" s="35"/>
      <c r="U47" s="35">
        <f t="shared" si="0"/>
        <v>81.918999999999997</v>
      </c>
    </row>
    <row r="48" spans="1:21" x14ac:dyDescent="0.25">
      <c r="A48" s="42" t="s">
        <v>221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>
        <v>73.912000000000006</v>
      </c>
      <c r="N48" s="35"/>
      <c r="O48" s="35"/>
      <c r="P48" s="35"/>
      <c r="Q48" s="35"/>
      <c r="R48" s="35"/>
      <c r="S48" s="35"/>
      <c r="T48" s="35">
        <v>27</v>
      </c>
      <c r="U48" s="35">
        <f t="shared" si="0"/>
        <v>100.91200000000001</v>
      </c>
    </row>
    <row r="49" spans="1:21" x14ac:dyDescent="0.25">
      <c r="A49" s="42" t="s">
        <v>174</v>
      </c>
      <c r="B49" s="35"/>
      <c r="C49" s="35"/>
      <c r="D49" s="35"/>
      <c r="E49" s="35"/>
      <c r="F49" s="35"/>
      <c r="G49" s="35"/>
      <c r="H49" s="35"/>
      <c r="I49" s="35"/>
      <c r="J49" s="35">
        <v>116.19200000000001</v>
      </c>
      <c r="K49" s="35"/>
      <c r="L49" s="35"/>
      <c r="M49" s="35"/>
      <c r="N49" s="35"/>
      <c r="O49" s="35"/>
      <c r="P49" s="35">
        <v>14.669</v>
      </c>
      <c r="Q49" s="35"/>
      <c r="R49" s="35"/>
      <c r="S49" s="35"/>
      <c r="T49" s="35"/>
      <c r="U49" s="35">
        <f t="shared" si="0"/>
        <v>130.86100000000002</v>
      </c>
    </row>
    <row r="50" spans="1:21" x14ac:dyDescent="0.25">
      <c r="A50" s="42" t="s">
        <v>187</v>
      </c>
      <c r="B50" s="35"/>
      <c r="C50" s="35"/>
      <c r="D50" s="35"/>
      <c r="E50" s="35"/>
      <c r="F50" s="35"/>
      <c r="G50" s="35"/>
      <c r="H50" s="35"/>
      <c r="I50" s="35"/>
      <c r="J50" s="35">
        <v>113.351</v>
      </c>
      <c r="K50" s="35"/>
      <c r="L50" s="35"/>
      <c r="M50" s="35"/>
      <c r="N50" s="35"/>
      <c r="O50" s="35"/>
      <c r="P50" s="35">
        <v>33.231999999999999</v>
      </c>
      <c r="Q50" s="35"/>
      <c r="R50" s="35"/>
      <c r="S50" s="35"/>
      <c r="T50" s="35"/>
      <c r="U50" s="35">
        <f t="shared" si="0"/>
        <v>146.583</v>
      </c>
    </row>
    <row r="51" spans="1:21" x14ac:dyDescent="0.25">
      <c r="A51" s="4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>
        <v>115.842</v>
      </c>
      <c r="L51" s="35"/>
      <c r="M51" s="35"/>
      <c r="N51" s="35"/>
      <c r="O51" s="35"/>
      <c r="P51" s="35"/>
      <c r="Q51" s="35"/>
      <c r="R51" s="35"/>
      <c r="S51" s="35"/>
      <c r="T51" s="35">
        <v>33.200000000000003</v>
      </c>
      <c r="U51" s="35">
        <f t="shared" si="0"/>
        <v>149.042</v>
      </c>
    </row>
    <row r="52" spans="1:21" x14ac:dyDescent="0.25">
      <c r="A52" s="42" t="s">
        <v>194</v>
      </c>
      <c r="B52" s="35"/>
      <c r="C52" s="35"/>
      <c r="D52" s="35"/>
      <c r="E52" s="35">
        <v>140.12200000000001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>
        <f t="shared" si="0"/>
        <v>140.12200000000001</v>
      </c>
    </row>
    <row r="53" spans="1:21" x14ac:dyDescent="0.25">
      <c r="A53" s="4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>
        <v>73.811000000000007</v>
      </c>
      <c r="N53" s="35"/>
      <c r="O53" s="35"/>
      <c r="P53" s="35">
        <v>14.352</v>
      </c>
      <c r="Q53" s="35"/>
      <c r="R53" s="35"/>
      <c r="S53" s="35"/>
      <c r="T53" s="35">
        <v>21.4</v>
      </c>
      <c r="U53" s="35">
        <f t="shared" si="0"/>
        <v>109.56300000000002</v>
      </c>
    </row>
    <row r="54" spans="1:21" x14ac:dyDescent="0.25">
      <c r="A54" s="42" t="s">
        <v>143</v>
      </c>
      <c r="B54" s="35"/>
      <c r="C54" s="35"/>
      <c r="D54" s="35"/>
      <c r="E54" s="35"/>
      <c r="F54" s="35"/>
      <c r="G54" s="35"/>
      <c r="H54" s="35"/>
      <c r="I54" s="35"/>
      <c r="J54" s="35">
        <v>105.384</v>
      </c>
      <c r="K54" s="35"/>
      <c r="L54" s="35"/>
      <c r="M54" s="35"/>
      <c r="N54" s="35"/>
      <c r="O54" s="35"/>
      <c r="P54" s="35">
        <v>4.375</v>
      </c>
      <c r="Q54" s="35"/>
      <c r="R54" s="35"/>
      <c r="S54" s="35"/>
      <c r="T54" s="35"/>
      <c r="U54" s="35">
        <f t="shared" si="0"/>
        <v>109.759</v>
      </c>
    </row>
    <row r="55" spans="1:21" x14ac:dyDescent="0.25">
      <c r="A55" s="42" t="s">
        <v>146</v>
      </c>
      <c r="B55" s="35"/>
      <c r="C55" s="35"/>
      <c r="D55" s="35"/>
      <c r="E55" s="35"/>
      <c r="F55" s="35"/>
      <c r="G55" s="35">
        <v>90.13</v>
      </c>
      <c r="H55" s="35"/>
      <c r="I55" s="35"/>
      <c r="J55" s="35"/>
      <c r="K55" s="35"/>
      <c r="L55" s="35"/>
      <c r="M55" s="35"/>
      <c r="N55" s="35"/>
      <c r="O55" s="35"/>
      <c r="P55" s="35">
        <v>50.42</v>
      </c>
      <c r="Q55" s="35"/>
      <c r="R55" s="35"/>
      <c r="S55" s="35"/>
      <c r="T55" s="35"/>
      <c r="U55" s="35">
        <f t="shared" si="0"/>
        <v>140.55000000000001</v>
      </c>
    </row>
    <row r="56" spans="1:21" x14ac:dyDescent="0.25">
      <c r="A56" s="42" t="s">
        <v>133</v>
      </c>
      <c r="B56" s="35"/>
      <c r="C56" s="35"/>
      <c r="D56" s="35"/>
      <c r="E56" s="35"/>
      <c r="F56" s="35"/>
      <c r="G56" s="35">
        <v>19.82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>
        <v>52.05</v>
      </c>
      <c r="S56" s="35"/>
      <c r="T56" s="35"/>
      <c r="U56" s="35">
        <f t="shared" si="0"/>
        <v>71.87</v>
      </c>
    </row>
    <row r="57" spans="1:21" x14ac:dyDescent="0.25">
      <c r="A57" s="42" t="s">
        <v>140</v>
      </c>
      <c r="B57" s="35"/>
      <c r="C57" s="35"/>
      <c r="D57" s="35"/>
      <c r="E57" s="35"/>
      <c r="F57" s="35"/>
      <c r="G57" s="35"/>
      <c r="H57" s="35"/>
      <c r="I57" s="35"/>
      <c r="J57" s="35">
        <v>115.52299999999998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>
        <f t="shared" si="0"/>
        <v>115.52299999999998</v>
      </c>
    </row>
    <row r="58" spans="1:21" x14ac:dyDescent="0.25">
      <c r="A58" s="42" t="s">
        <v>222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>
        <v>49.988000000000007</v>
      </c>
      <c r="Q58" s="35">
        <v>97.483000000000004</v>
      </c>
      <c r="R58" s="35"/>
      <c r="S58" s="35"/>
      <c r="T58" s="35"/>
      <c r="U58" s="35">
        <f t="shared" si="0"/>
        <v>147.471</v>
      </c>
    </row>
    <row r="59" spans="1:21" x14ac:dyDescent="0.25">
      <c r="A59" s="42" t="s">
        <v>162</v>
      </c>
      <c r="B59" s="35"/>
      <c r="C59" s="35"/>
      <c r="D59" s="35"/>
      <c r="E59" s="35"/>
      <c r="F59" s="35"/>
      <c r="G59" s="35"/>
      <c r="H59" s="35"/>
      <c r="I59" s="35"/>
      <c r="J59" s="35">
        <v>88.635000000000005</v>
      </c>
      <c r="K59" s="35"/>
      <c r="L59" s="35"/>
      <c r="M59" s="35"/>
      <c r="N59" s="35"/>
      <c r="O59" s="35"/>
      <c r="P59" s="35">
        <f>50.988+20</f>
        <v>70.988</v>
      </c>
      <c r="Q59" s="35"/>
      <c r="R59" s="35"/>
      <c r="S59" s="35"/>
      <c r="T59" s="35"/>
      <c r="U59" s="35">
        <f t="shared" si="0"/>
        <v>159.62299999999999</v>
      </c>
    </row>
    <row r="60" spans="1:21" x14ac:dyDescent="0.25">
      <c r="A60" s="42" t="s">
        <v>223</v>
      </c>
      <c r="B60" s="35"/>
      <c r="C60" s="35"/>
      <c r="D60" s="35"/>
      <c r="E60" s="35"/>
      <c r="F60" s="35"/>
      <c r="G60" s="35"/>
      <c r="H60" s="35">
        <v>82.766999999999996</v>
      </c>
      <c r="I60" s="35"/>
      <c r="J60" s="35"/>
      <c r="K60" s="35"/>
      <c r="L60" s="35"/>
      <c r="M60" s="35"/>
      <c r="N60" s="35"/>
      <c r="O60" s="35"/>
      <c r="P60" s="35">
        <v>15.199</v>
      </c>
      <c r="Q60" s="35"/>
      <c r="R60" s="35"/>
      <c r="S60" s="35"/>
      <c r="T60" s="35"/>
      <c r="U60" s="35">
        <f t="shared" si="0"/>
        <v>97.965999999999994</v>
      </c>
    </row>
    <row r="61" spans="1:21" x14ac:dyDescent="0.25">
      <c r="A61" s="42" t="s">
        <v>184</v>
      </c>
      <c r="B61" s="35">
        <v>9.1850000000000005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>
        <v>55.609000000000002</v>
      </c>
      <c r="O61" s="35"/>
      <c r="P61" s="35"/>
      <c r="Q61" s="35"/>
      <c r="R61" s="35"/>
      <c r="S61" s="35">
        <v>47.893000000000001</v>
      </c>
      <c r="T61" s="35"/>
      <c r="U61" s="35">
        <f t="shared" si="0"/>
        <v>112.687</v>
      </c>
    </row>
    <row r="62" spans="1:21" x14ac:dyDescent="0.25">
      <c r="A62" s="42" t="s">
        <v>148</v>
      </c>
      <c r="B62" s="35"/>
      <c r="C62" s="35"/>
      <c r="D62" s="35"/>
      <c r="E62" s="35"/>
      <c r="F62" s="35"/>
      <c r="G62" s="35">
        <v>126.84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>
        <f t="shared" si="0"/>
        <v>126.84</v>
      </c>
    </row>
    <row r="63" spans="1:21" x14ac:dyDescent="0.25">
      <c r="A63" s="42" t="s">
        <v>224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>
        <v>18.32</v>
      </c>
      <c r="P63" s="35"/>
      <c r="Q63" s="35"/>
      <c r="R63" s="35"/>
      <c r="S63" s="35"/>
      <c r="T63" s="35">
        <v>100</v>
      </c>
      <c r="U63" s="35">
        <f t="shared" si="0"/>
        <v>118.32</v>
      </c>
    </row>
    <row r="64" spans="1:21" x14ac:dyDescent="0.25">
      <c r="A64" s="42" t="s">
        <v>167</v>
      </c>
      <c r="B64" s="35"/>
      <c r="C64" s="35"/>
      <c r="D64" s="35"/>
      <c r="E64" s="35"/>
      <c r="F64" s="35"/>
      <c r="G64" s="35">
        <v>37.550000000000004</v>
      </c>
      <c r="H64" s="35"/>
      <c r="I64" s="35"/>
      <c r="J64" s="35"/>
      <c r="K64" s="35"/>
      <c r="L64" s="35"/>
      <c r="M64" s="35"/>
      <c r="N64" s="35"/>
      <c r="O64" s="35"/>
      <c r="P64" s="35">
        <v>15.443</v>
      </c>
      <c r="Q64" s="35"/>
      <c r="R64" s="35">
        <v>71.67</v>
      </c>
      <c r="S64" s="35"/>
      <c r="T64" s="35"/>
      <c r="U64" s="35">
        <f t="shared" si="0"/>
        <v>124.66300000000001</v>
      </c>
    </row>
    <row r="65" spans="1:21" x14ac:dyDescent="0.25">
      <c r="A65" s="42" t="s">
        <v>200</v>
      </c>
      <c r="B65" s="35"/>
      <c r="C65" s="35"/>
      <c r="D65" s="35"/>
      <c r="E65" s="35"/>
      <c r="F65" s="35"/>
      <c r="G65" s="35"/>
      <c r="H65" s="35"/>
      <c r="I65" s="35"/>
      <c r="J65" s="35"/>
      <c r="K65" s="35">
        <v>83.281000000000006</v>
      </c>
      <c r="L65" s="35"/>
      <c r="M65" s="35"/>
      <c r="N65" s="35"/>
      <c r="O65" s="35"/>
      <c r="P65" s="35">
        <v>33.213999999999999</v>
      </c>
      <c r="Q65" s="35"/>
      <c r="R65" s="35"/>
      <c r="S65" s="35"/>
      <c r="T65" s="35"/>
      <c r="U65" s="35">
        <f t="shared" si="0"/>
        <v>116.495</v>
      </c>
    </row>
    <row r="66" spans="1:21" x14ac:dyDescent="0.25">
      <c r="A66" s="42" t="s">
        <v>131</v>
      </c>
      <c r="B66" s="35">
        <v>41.133000000000003</v>
      </c>
      <c r="C66" s="35">
        <v>28.408999999999999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>
        <v>49.578000000000003</v>
      </c>
      <c r="Q66" s="35"/>
      <c r="R66" s="35"/>
      <c r="S66" s="35"/>
      <c r="T66" s="35"/>
      <c r="U66" s="35">
        <f t="shared" si="0"/>
        <v>119.12</v>
      </c>
    </row>
    <row r="67" spans="1:21" x14ac:dyDescent="0.25">
      <c r="A67" s="42" t="s">
        <v>199</v>
      </c>
      <c r="B67" s="35">
        <f>134.721+10</f>
        <v>144.721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>
        <v>27.239000000000001</v>
      </c>
      <c r="Q67" s="35"/>
      <c r="R67" s="35"/>
      <c r="S67" s="35"/>
      <c r="T67" s="35"/>
      <c r="U67" s="35">
        <f t="shared" si="0"/>
        <v>171.96</v>
      </c>
    </row>
    <row r="68" spans="1:21" x14ac:dyDescent="0.25">
      <c r="A68" s="42" t="s">
        <v>225</v>
      </c>
      <c r="B68" s="35"/>
      <c r="C68" s="35"/>
      <c r="D68" s="35"/>
      <c r="E68" s="35"/>
      <c r="F68" s="35"/>
      <c r="G68" s="35"/>
      <c r="H68" s="35"/>
      <c r="I68" s="35"/>
      <c r="J68" s="35">
        <v>95.645999999999987</v>
      </c>
      <c r="K68" s="35"/>
      <c r="L68" s="35"/>
      <c r="M68" s="35"/>
      <c r="N68" s="35"/>
      <c r="O68" s="35"/>
      <c r="P68" s="35">
        <v>12.163</v>
      </c>
      <c r="Q68" s="35"/>
      <c r="R68" s="35"/>
      <c r="S68" s="35"/>
      <c r="T68" s="35"/>
      <c r="U68" s="35">
        <f t="shared" ref="U68:U105" si="1">SUM(B68:T68)</f>
        <v>107.80899999999998</v>
      </c>
    </row>
    <row r="69" spans="1:21" x14ac:dyDescent="0.25">
      <c r="A69" s="42" t="s">
        <v>226</v>
      </c>
      <c r="B69" s="35"/>
      <c r="C69" s="35"/>
      <c r="D69" s="35"/>
      <c r="E69" s="35"/>
      <c r="F69" s="35"/>
      <c r="G69" s="35">
        <v>119.05999999999999</v>
      </c>
      <c r="H69" s="35"/>
      <c r="I69" s="35"/>
      <c r="J69" s="35"/>
      <c r="K69" s="35"/>
      <c r="L69" s="35"/>
      <c r="M69" s="35"/>
      <c r="N69" s="35"/>
      <c r="O69" s="35"/>
      <c r="P69" s="35">
        <v>26.491</v>
      </c>
      <c r="Q69" s="35"/>
      <c r="R69" s="35"/>
      <c r="S69" s="35"/>
      <c r="T69" s="35">
        <v>41.4</v>
      </c>
      <c r="U69" s="35">
        <f t="shared" si="1"/>
        <v>186.95099999999999</v>
      </c>
    </row>
    <row r="70" spans="1:21" x14ac:dyDescent="0.25">
      <c r="A70" s="42" t="s">
        <v>169</v>
      </c>
      <c r="B70" s="35"/>
      <c r="C70" s="35"/>
      <c r="D70" s="35"/>
      <c r="E70" s="35"/>
      <c r="F70" s="35">
        <v>92.9</v>
      </c>
      <c r="G70" s="35"/>
      <c r="H70" s="35">
        <v>47.463999999999999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1">
        <v>70</v>
      </c>
      <c r="U70" s="35">
        <f>SUM(B70:T70)</f>
        <v>210.364</v>
      </c>
    </row>
    <row r="71" spans="1:21" x14ac:dyDescent="0.25">
      <c r="A71" s="42" t="s">
        <v>120</v>
      </c>
      <c r="B71" s="35"/>
      <c r="C71" s="35"/>
      <c r="D71" s="35"/>
      <c r="E71" s="35"/>
      <c r="F71" s="35"/>
      <c r="G71" s="35"/>
      <c r="H71" s="35"/>
      <c r="I71" s="35"/>
      <c r="J71" s="35">
        <v>16.303000000000001</v>
      </c>
      <c r="K71" s="35"/>
      <c r="L71" s="35"/>
      <c r="M71" s="35">
        <f>62.232+50</f>
        <v>112.232</v>
      </c>
      <c r="N71" s="35"/>
      <c r="O71" s="35"/>
      <c r="P71" s="35">
        <v>32.438000000000002</v>
      </c>
      <c r="Q71" s="35"/>
      <c r="R71" s="35"/>
      <c r="S71" s="35"/>
      <c r="T71" s="35"/>
      <c r="U71" s="35">
        <f t="shared" si="1"/>
        <v>160.97300000000001</v>
      </c>
    </row>
    <row r="72" spans="1:21" x14ac:dyDescent="0.25">
      <c r="A72" s="42" t="s">
        <v>124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>
        <v>87.943999999999988</v>
      </c>
      <c r="M72" s="35"/>
      <c r="N72" s="35"/>
      <c r="O72" s="35"/>
      <c r="P72" s="35">
        <v>16.29</v>
      </c>
      <c r="Q72" s="35"/>
      <c r="R72" s="35"/>
      <c r="S72" s="35"/>
      <c r="T72" s="35">
        <v>28</v>
      </c>
      <c r="U72" s="35">
        <f t="shared" si="1"/>
        <v>132.23399999999998</v>
      </c>
    </row>
    <row r="73" spans="1:21" x14ac:dyDescent="0.25">
      <c r="A73" s="4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>
        <v>2.6110000000000002</v>
      </c>
      <c r="Q73" s="35"/>
      <c r="R73" s="35">
        <v>88.54</v>
      </c>
      <c r="S73" s="35">
        <v>59.155999999999999</v>
      </c>
      <c r="T73" s="35"/>
      <c r="U73" s="35">
        <f t="shared" si="1"/>
        <v>150.30700000000002</v>
      </c>
    </row>
    <row r="74" spans="1:21" x14ac:dyDescent="0.25">
      <c r="A74" s="42" t="s">
        <v>178</v>
      </c>
      <c r="B74" s="35"/>
      <c r="C74" s="35"/>
      <c r="D74" s="35"/>
      <c r="E74" s="35"/>
      <c r="F74" s="35"/>
      <c r="G74" s="35">
        <v>10.51</v>
      </c>
      <c r="H74" s="35"/>
      <c r="I74" s="35"/>
      <c r="J74" s="35"/>
      <c r="K74" s="35"/>
      <c r="L74" s="35"/>
      <c r="M74" s="35"/>
      <c r="N74" s="35">
        <f>53.522+25</f>
        <v>78.521999999999991</v>
      </c>
      <c r="O74" s="35"/>
      <c r="P74" s="35">
        <v>45.6</v>
      </c>
      <c r="Q74" s="35"/>
      <c r="R74" s="35"/>
      <c r="S74" s="35"/>
      <c r="T74" s="35"/>
      <c r="U74" s="35">
        <f t="shared" si="1"/>
        <v>134.63200000000001</v>
      </c>
    </row>
    <row r="75" spans="1:21" x14ac:dyDescent="0.25">
      <c r="A75" s="42" t="s">
        <v>126</v>
      </c>
      <c r="B75" s="35"/>
      <c r="C75" s="35"/>
      <c r="D75" s="35"/>
      <c r="E75" s="35"/>
      <c r="F75" s="35"/>
      <c r="G75" s="35"/>
      <c r="H75" s="35"/>
      <c r="I75" s="35"/>
      <c r="J75" s="35">
        <v>116.15200000000002</v>
      </c>
      <c r="K75" s="35"/>
      <c r="L75" s="35"/>
      <c r="M75" s="35"/>
      <c r="N75" s="35"/>
      <c r="O75" s="35"/>
      <c r="P75" s="35">
        <v>55.927999999999997</v>
      </c>
      <c r="Q75" s="35"/>
      <c r="R75" s="35"/>
      <c r="S75" s="35"/>
      <c r="T75" s="35"/>
      <c r="U75" s="35">
        <f t="shared" si="1"/>
        <v>172.08</v>
      </c>
    </row>
    <row r="76" spans="1:21" x14ac:dyDescent="0.25">
      <c r="A76" s="42" t="s">
        <v>227</v>
      </c>
      <c r="B76" s="35"/>
      <c r="C76" s="35"/>
      <c r="D76" s="35"/>
      <c r="E76" s="35">
        <v>92.102000000000004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>
        <v>100</v>
      </c>
      <c r="U76" s="35">
        <f t="shared" si="1"/>
        <v>192.102</v>
      </c>
    </row>
    <row r="77" spans="1:21" x14ac:dyDescent="0.25">
      <c r="A77" s="42" t="s">
        <v>186</v>
      </c>
      <c r="B77" s="35"/>
      <c r="C77" s="35"/>
      <c r="D77" s="35"/>
      <c r="E77" s="35"/>
      <c r="F77" s="35"/>
      <c r="G77" s="35"/>
      <c r="H77" s="35"/>
      <c r="I77" s="35"/>
      <c r="J77" s="35">
        <v>133.24599999999998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>
        <f t="shared" si="1"/>
        <v>133.24599999999998</v>
      </c>
    </row>
    <row r="78" spans="1:21" x14ac:dyDescent="0.25">
      <c r="A78" s="42" t="s">
        <v>195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>
        <v>78.600999999999999</v>
      </c>
      <c r="R78" s="35"/>
      <c r="S78" s="35"/>
      <c r="T78" s="35"/>
      <c r="U78" s="35">
        <f t="shared" si="1"/>
        <v>78.600999999999999</v>
      </c>
    </row>
    <row r="79" spans="1:21" x14ac:dyDescent="0.25">
      <c r="A79" s="42" t="s">
        <v>165</v>
      </c>
      <c r="B79" s="35"/>
      <c r="C79" s="35"/>
      <c r="D79" s="35"/>
      <c r="E79" s="35"/>
      <c r="F79" s="35"/>
      <c r="G79" s="35">
        <v>14.82</v>
      </c>
      <c r="H79" s="35"/>
      <c r="I79" s="35"/>
      <c r="J79" s="35"/>
      <c r="K79" s="35"/>
      <c r="L79" s="35"/>
      <c r="M79" s="35">
        <v>62.263999999999996</v>
      </c>
      <c r="N79" s="35"/>
      <c r="O79" s="35"/>
      <c r="P79" s="35">
        <v>61.262</v>
      </c>
      <c r="Q79" s="35"/>
      <c r="R79" s="35"/>
      <c r="S79" s="35"/>
      <c r="T79" s="35"/>
      <c r="U79" s="35">
        <f t="shared" si="1"/>
        <v>138.346</v>
      </c>
    </row>
    <row r="80" spans="1:21" x14ac:dyDescent="0.25">
      <c r="A80" s="42" t="s">
        <v>137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>
        <v>109.04999999999998</v>
      </c>
      <c r="P80" s="35">
        <v>13.01</v>
      </c>
      <c r="Q80" s="35"/>
      <c r="R80" s="35"/>
      <c r="S80" s="35"/>
      <c r="T80" s="35">
        <v>23.1</v>
      </c>
      <c r="U80" s="35">
        <f t="shared" si="1"/>
        <v>145.16</v>
      </c>
    </row>
    <row r="81" spans="1:21" x14ac:dyDescent="0.25">
      <c r="A81" s="42" t="s">
        <v>141</v>
      </c>
      <c r="B81" s="35"/>
      <c r="C81" s="35"/>
      <c r="D81" s="35"/>
      <c r="E81" s="35"/>
      <c r="F81" s="35"/>
      <c r="G81" s="35"/>
      <c r="H81" s="35"/>
      <c r="I81" s="35"/>
      <c r="J81" s="35">
        <v>32.314999999999998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>
        <f t="shared" si="1"/>
        <v>32.314999999999998</v>
      </c>
    </row>
    <row r="82" spans="1:21" x14ac:dyDescent="0.25">
      <c r="A82" s="4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>
        <v>32.378</v>
      </c>
      <c r="N82" s="35"/>
      <c r="O82" s="35"/>
      <c r="P82" s="35">
        <v>6.0430000000000001</v>
      </c>
      <c r="Q82" s="35"/>
      <c r="R82" s="35"/>
      <c r="S82" s="35">
        <v>57.173999999999999</v>
      </c>
      <c r="T82" s="35"/>
      <c r="U82" s="35">
        <f t="shared" si="1"/>
        <v>95.594999999999999</v>
      </c>
    </row>
    <row r="83" spans="1:21" x14ac:dyDescent="0.25">
      <c r="A83" s="42" t="s">
        <v>202</v>
      </c>
      <c r="B83" s="35"/>
      <c r="C83" s="35"/>
      <c r="D83" s="35">
        <v>30.631999999999998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>
        <v>12.07</v>
      </c>
      <c r="P83" s="35"/>
      <c r="Q83" s="35"/>
      <c r="R83" s="35"/>
      <c r="S83" s="35"/>
      <c r="T83" s="35">
        <v>60</v>
      </c>
      <c r="U83" s="35">
        <f t="shared" si="1"/>
        <v>102.702</v>
      </c>
    </row>
    <row r="84" spans="1:21" x14ac:dyDescent="0.25">
      <c r="A84" s="4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>
        <v>71.301999999999992</v>
      </c>
      <c r="M84" s="35"/>
      <c r="N84" s="35"/>
      <c r="O84" s="35"/>
      <c r="P84" s="35"/>
      <c r="Q84" s="35"/>
      <c r="R84" s="35"/>
      <c r="S84" s="35">
        <v>38.768000000000001</v>
      </c>
      <c r="T84" s="35">
        <v>73.2</v>
      </c>
      <c r="U84" s="35">
        <f t="shared" si="1"/>
        <v>183.26999999999998</v>
      </c>
    </row>
    <row r="85" spans="1:21" x14ac:dyDescent="0.25">
      <c r="A85" s="42" t="s">
        <v>138</v>
      </c>
      <c r="B85" s="35"/>
      <c r="C85" s="35"/>
      <c r="D85" s="35">
        <v>13.412000000000001</v>
      </c>
      <c r="E85" s="35"/>
      <c r="F85" s="35"/>
      <c r="G85" s="35"/>
      <c r="H85" s="35">
        <v>59.981999999999999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>
        <f t="shared" si="1"/>
        <v>73.394000000000005</v>
      </c>
    </row>
    <row r="86" spans="1:21" x14ac:dyDescent="0.25">
      <c r="A86" s="42" t="s">
        <v>190</v>
      </c>
      <c r="B86" s="35"/>
      <c r="C86" s="35"/>
      <c r="D86" s="35"/>
      <c r="E86" s="35"/>
      <c r="F86" s="35"/>
      <c r="G86" s="35">
        <v>32.71</v>
      </c>
      <c r="H86" s="35"/>
      <c r="I86" s="35"/>
      <c r="J86" s="35"/>
      <c r="K86" s="35"/>
      <c r="L86" s="35"/>
      <c r="M86" s="35">
        <v>76.433999999999997</v>
      </c>
      <c r="N86" s="35"/>
      <c r="O86" s="35"/>
      <c r="P86" s="35"/>
      <c r="Q86" s="35"/>
      <c r="R86" s="35"/>
      <c r="S86" s="35"/>
      <c r="T86" s="35">
        <v>112</v>
      </c>
      <c r="U86" s="35">
        <f t="shared" si="1"/>
        <v>221.14400000000001</v>
      </c>
    </row>
    <row r="87" spans="1:21" x14ac:dyDescent="0.25">
      <c r="A87" s="42" t="s">
        <v>166</v>
      </c>
      <c r="B87" s="35"/>
      <c r="C87" s="35"/>
      <c r="D87" s="35"/>
      <c r="E87" s="35"/>
      <c r="F87" s="35"/>
      <c r="G87" s="35"/>
      <c r="H87" s="35"/>
      <c r="I87" s="35"/>
      <c r="J87" s="35">
        <v>99.043000000000006</v>
      </c>
      <c r="K87" s="35"/>
      <c r="L87" s="35"/>
      <c r="M87" s="35"/>
      <c r="N87" s="35"/>
      <c r="O87" s="35"/>
      <c r="P87" s="35">
        <v>34.036999999999999</v>
      </c>
      <c r="Q87" s="35"/>
      <c r="R87" s="35"/>
      <c r="S87" s="35"/>
      <c r="T87" s="35"/>
      <c r="U87" s="35">
        <f t="shared" si="1"/>
        <v>133.08000000000001</v>
      </c>
    </row>
    <row r="88" spans="1:21" x14ac:dyDescent="0.25">
      <c r="A88" s="42" t="s">
        <v>179</v>
      </c>
      <c r="B88" s="35"/>
      <c r="C88" s="35"/>
      <c r="D88" s="35"/>
      <c r="E88" s="35"/>
      <c r="F88" s="35"/>
      <c r="G88" s="35">
        <v>61.24</v>
      </c>
      <c r="H88" s="35"/>
      <c r="I88" s="35"/>
      <c r="J88" s="35"/>
      <c r="K88" s="35"/>
      <c r="L88" s="35"/>
      <c r="M88" s="35"/>
      <c r="N88" s="35"/>
      <c r="O88" s="35"/>
      <c r="P88" s="35">
        <v>30.99</v>
      </c>
      <c r="Q88" s="35"/>
      <c r="R88" s="35"/>
      <c r="S88" s="35"/>
      <c r="T88" s="35"/>
      <c r="U88" s="35">
        <f t="shared" si="1"/>
        <v>92.23</v>
      </c>
    </row>
    <row r="89" spans="1:21" x14ac:dyDescent="0.25">
      <c r="A89" s="42" t="s">
        <v>228</v>
      </c>
      <c r="B89" s="35"/>
      <c r="C89" s="35"/>
      <c r="D89" s="35"/>
      <c r="E89" s="35"/>
      <c r="F89" s="35"/>
      <c r="G89" s="35">
        <v>186.38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>
        <f t="shared" si="1"/>
        <v>186.38</v>
      </c>
    </row>
    <row r="90" spans="1:21" x14ac:dyDescent="0.25">
      <c r="A90" s="42" t="s">
        <v>181</v>
      </c>
      <c r="B90" s="35"/>
      <c r="C90" s="35"/>
      <c r="D90" s="35"/>
      <c r="E90" s="35"/>
      <c r="F90" s="35"/>
      <c r="G90" s="35"/>
      <c r="H90" s="35"/>
      <c r="I90" s="35">
        <v>75.113</v>
      </c>
      <c r="J90" s="35"/>
      <c r="K90" s="35"/>
      <c r="L90" s="35"/>
      <c r="M90" s="35"/>
      <c r="N90" s="35"/>
      <c r="O90" s="35"/>
      <c r="P90" s="35">
        <v>49.736000000000004</v>
      </c>
      <c r="Q90" s="35"/>
      <c r="R90" s="35"/>
      <c r="S90" s="35"/>
      <c r="T90" s="35"/>
      <c r="U90" s="35">
        <f t="shared" si="1"/>
        <v>124.849</v>
      </c>
    </row>
    <row r="91" spans="1:21" x14ac:dyDescent="0.25">
      <c r="A91" s="42" t="s">
        <v>129</v>
      </c>
      <c r="B91" s="35"/>
      <c r="C91" s="35"/>
      <c r="D91" s="35"/>
      <c r="E91" s="35"/>
      <c r="F91" s="35"/>
      <c r="G91" s="35">
        <v>121.57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>
        <f t="shared" si="1"/>
        <v>121.57</v>
      </c>
    </row>
    <row r="92" spans="1:21" x14ac:dyDescent="0.25">
      <c r="A92" s="42" t="s">
        <v>161</v>
      </c>
      <c r="B92" s="35"/>
      <c r="C92" s="35"/>
      <c r="D92" s="35"/>
      <c r="E92" s="35"/>
      <c r="F92" s="35"/>
      <c r="G92" s="35">
        <v>102.30000000000001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>
        <v>40.9</v>
      </c>
      <c r="U92" s="35">
        <f t="shared" si="1"/>
        <v>143.20000000000002</v>
      </c>
    </row>
    <row r="93" spans="1:21" x14ac:dyDescent="0.25">
      <c r="A93" s="42" t="s">
        <v>127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>
        <v>73.311999999999998</v>
      </c>
      <c r="M93" s="35"/>
      <c r="N93" s="35"/>
      <c r="O93" s="35"/>
      <c r="P93" s="35"/>
      <c r="Q93" s="35"/>
      <c r="R93" s="35"/>
      <c r="S93" s="35"/>
      <c r="T93" s="35"/>
      <c r="U93" s="35">
        <f t="shared" si="1"/>
        <v>73.311999999999998</v>
      </c>
    </row>
    <row r="94" spans="1:21" x14ac:dyDescent="0.25">
      <c r="A94" s="42" t="s">
        <v>163</v>
      </c>
      <c r="B94" s="35"/>
      <c r="C94" s="35"/>
      <c r="D94" s="35"/>
      <c r="E94" s="35"/>
      <c r="F94" s="35"/>
      <c r="G94" s="35">
        <v>53.310000000000009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>
        <f t="shared" si="1"/>
        <v>53.310000000000009</v>
      </c>
    </row>
    <row r="95" spans="1:21" s="17" customFormat="1" x14ac:dyDescent="0.25">
      <c r="A95" s="42" t="s">
        <v>153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>
        <v>50.9</v>
      </c>
      <c r="U95" s="35">
        <f t="shared" si="1"/>
        <v>50.9</v>
      </c>
    </row>
    <row r="96" spans="1:21" x14ac:dyDescent="0.25">
      <c r="A96" s="42" t="s">
        <v>157</v>
      </c>
      <c r="B96" s="35"/>
      <c r="C96" s="35"/>
      <c r="D96" s="35"/>
      <c r="E96" s="35"/>
      <c r="F96" s="35"/>
      <c r="G96" s="35"/>
      <c r="H96" s="35"/>
      <c r="I96" s="35"/>
      <c r="J96" s="35"/>
      <c r="K96" s="35">
        <v>50</v>
      </c>
      <c r="L96" s="35">
        <f>56.379+50</f>
        <v>106.37899999999999</v>
      </c>
      <c r="M96" s="35"/>
      <c r="N96" s="35"/>
      <c r="O96" s="35"/>
      <c r="P96" s="35"/>
      <c r="Q96" s="35"/>
      <c r="R96" s="35"/>
      <c r="S96" s="35"/>
      <c r="T96" s="35"/>
      <c r="U96" s="35">
        <f t="shared" si="1"/>
        <v>156.37899999999999</v>
      </c>
    </row>
    <row r="97" spans="1:21" x14ac:dyDescent="0.25">
      <c r="A97" s="42" t="s">
        <v>144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>
        <v>52.11</v>
      </c>
      <c r="M97" s="35"/>
      <c r="N97" s="35"/>
      <c r="O97" s="35"/>
      <c r="P97" s="35"/>
      <c r="Q97" s="35"/>
      <c r="R97" s="35"/>
      <c r="S97" s="35"/>
      <c r="T97" s="35"/>
      <c r="U97" s="35">
        <f t="shared" si="1"/>
        <v>52.11</v>
      </c>
    </row>
    <row r="98" spans="1:21" x14ac:dyDescent="0.25">
      <c r="A98" s="42" t="s">
        <v>132</v>
      </c>
      <c r="B98" s="35"/>
      <c r="C98" s="35"/>
      <c r="D98" s="35"/>
      <c r="E98" s="35"/>
      <c r="F98" s="35"/>
      <c r="G98" s="35"/>
      <c r="H98" s="35"/>
      <c r="I98" s="35"/>
      <c r="J98" s="35"/>
      <c r="K98" s="35">
        <v>55.101999999999997</v>
      </c>
      <c r="L98" s="35"/>
      <c r="M98" s="35"/>
      <c r="N98" s="35"/>
      <c r="O98" s="35"/>
      <c r="P98" s="35">
        <v>33.403999999999996</v>
      </c>
      <c r="Q98" s="35"/>
      <c r="R98" s="35"/>
      <c r="S98" s="35"/>
      <c r="T98" s="35"/>
      <c r="U98" s="35">
        <f t="shared" si="1"/>
        <v>88.506</v>
      </c>
    </row>
    <row r="99" spans="1:21" s="17" customFormat="1" x14ac:dyDescent="0.25">
      <c r="A99" s="42" t="s">
        <v>34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>
        <f t="shared" si="1"/>
        <v>0</v>
      </c>
    </row>
    <row r="100" spans="1:21" s="17" customFormat="1" x14ac:dyDescent="0.25">
      <c r="A100" s="42" t="s">
        <v>35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>
        <f t="shared" si="1"/>
        <v>0</v>
      </c>
    </row>
    <row r="101" spans="1:21" s="17" customFormat="1" x14ac:dyDescent="0.25">
      <c r="A101" s="42" t="s">
        <v>40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>
        <f t="shared" si="1"/>
        <v>0</v>
      </c>
    </row>
    <row r="102" spans="1:21" s="17" customFormat="1" x14ac:dyDescent="0.25">
      <c r="A102" s="42" t="s">
        <v>55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>
        <v>20</v>
      </c>
      <c r="O102" s="35"/>
      <c r="P102" s="35">
        <v>186</v>
      </c>
      <c r="Q102" s="35"/>
      <c r="R102" s="35"/>
      <c r="S102" s="35"/>
      <c r="T102" s="35"/>
      <c r="U102" s="35">
        <f t="shared" si="1"/>
        <v>206</v>
      </c>
    </row>
    <row r="103" spans="1:21" s="17" customFormat="1" x14ac:dyDescent="0.25">
      <c r="A103" s="42" t="s">
        <v>62</v>
      </c>
      <c r="B103" s="35"/>
      <c r="C103" s="35"/>
      <c r="D103" s="35"/>
      <c r="E103" s="35"/>
      <c r="F103" s="35"/>
      <c r="G103" s="35"/>
      <c r="H103" s="35">
        <v>128.69999999999999</v>
      </c>
      <c r="I103" s="35">
        <v>27.65</v>
      </c>
      <c r="J103" s="35">
        <v>194.1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>
        <f t="shared" si="1"/>
        <v>350.45</v>
      </c>
    </row>
    <row r="104" spans="1:21" s="17" customFormat="1" x14ac:dyDescent="0.25">
      <c r="A104" s="42" t="s">
        <v>229</v>
      </c>
      <c r="B104" s="35"/>
      <c r="C104" s="35"/>
      <c r="D104" s="35"/>
      <c r="E104" s="35"/>
      <c r="F104" s="35">
        <v>14.3</v>
      </c>
      <c r="G104" s="35">
        <v>196.65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>
        <v>44.4</v>
      </c>
      <c r="R104" s="35">
        <v>43.1</v>
      </c>
      <c r="S104" s="35"/>
      <c r="T104" s="35"/>
      <c r="U104" s="35">
        <f t="shared" si="1"/>
        <v>298.45000000000005</v>
      </c>
    </row>
    <row r="105" spans="1:21" s="17" customFormat="1" x14ac:dyDescent="0.25">
      <c r="A105" s="42" t="s">
        <v>52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>
        <f t="shared" si="1"/>
        <v>0</v>
      </c>
    </row>
    <row r="106" spans="1:21" x14ac:dyDescent="0.25">
      <c r="A106" s="43" t="s">
        <v>216</v>
      </c>
      <c r="B106" s="45">
        <f>SUM(B2:B105)</f>
        <v>352.90899999999999</v>
      </c>
      <c r="C106" s="45">
        <f t="shared" ref="C106:T106" si="2">SUM(C2:C105)</f>
        <v>196.49799999999999</v>
      </c>
      <c r="D106" s="45">
        <f t="shared" si="2"/>
        <v>62.665999999999997</v>
      </c>
      <c r="E106" s="45">
        <f t="shared" si="2"/>
        <v>489.25599999999997</v>
      </c>
      <c r="F106" s="45">
        <f t="shared" si="2"/>
        <v>160.99</v>
      </c>
      <c r="G106" s="45">
        <f t="shared" si="2"/>
        <v>1744.44</v>
      </c>
      <c r="H106" s="45">
        <f>SUM(H2:H105)</f>
        <v>1173.5350000000001</v>
      </c>
      <c r="I106" s="45">
        <f t="shared" si="2"/>
        <v>272.88</v>
      </c>
      <c r="J106" s="45">
        <f>SUM(J2:J105)</f>
        <v>1709.4380000000001</v>
      </c>
      <c r="K106" s="45">
        <f t="shared" si="2"/>
        <v>727.14699999999982</v>
      </c>
      <c r="L106" s="45">
        <f t="shared" si="2"/>
        <v>584.31500000000005</v>
      </c>
      <c r="M106" s="45">
        <f t="shared" si="2"/>
        <v>665.43900000000008</v>
      </c>
      <c r="N106" s="45">
        <f t="shared" si="2"/>
        <v>154.131</v>
      </c>
      <c r="O106" s="45">
        <f t="shared" si="2"/>
        <v>209.43999999999997</v>
      </c>
      <c r="P106" s="45">
        <f t="shared" si="2"/>
        <v>2192.8160000000003</v>
      </c>
      <c r="Q106" s="45">
        <f t="shared" si="2"/>
        <v>366.45499999999998</v>
      </c>
      <c r="R106" s="45">
        <f t="shared" si="2"/>
        <v>395.10000000000008</v>
      </c>
      <c r="S106" s="45">
        <f t="shared" si="2"/>
        <v>202.99100000000001</v>
      </c>
      <c r="T106" s="45">
        <f t="shared" si="2"/>
        <v>1306.9000000000003</v>
      </c>
      <c r="U106" s="45">
        <f>SUM(U2:U98)</f>
        <v>12112.446</v>
      </c>
    </row>
    <row r="107" spans="1:21" s="17" customFormat="1" x14ac:dyDescent="0.25">
      <c r="A107" s="43" t="s">
        <v>94</v>
      </c>
      <c r="B107" s="45">
        <f>401-B106</f>
        <v>48.091000000000008</v>
      </c>
      <c r="C107" s="45">
        <f>366-C106</f>
        <v>169.50200000000001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>
        <f>1001-M106</f>
        <v>335.56099999999992</v>
      </c>
      <c r="N107" s="45">
        <v>55</v>
      </c>
      <c r="O107" s="45"/>
      <c r="P107" s="45">
        <f>3496-P106-100-50-100-1027</f>
        <v>26.183999999999742</v>
      </c>
      <c r="Q107" s="45"/>
      <c r="R107" s="45"/>
      <c r="S107" s="45"/>
      <c r="T107" s="45"/>
      <c r="U107" s="45">
        <f>SUM(B107:S107)</f>
        <v>634.33799999999974</v>
      </c>
    </row>
    <row r="108" spans="1:21" s="17" customFormat="1" x14ac:dyDescent="0.25"/>
    <row r="110" spans="1:21" x14ac:dyDescent="0.25">
      <c r="K110" s="11"/>
      <c r="R110" s="11"/>
    </row>
    <row r="111" spans="1:21" x14ac:dyDescent="0.25">
      <c r="L111" s="62"/>
      <c r="M111" s="62"/>
      <c r="T111" s="11"/>
    </row>
    <row r="112" spans="1:21" x14ac:dyDescent="0.25">
      <c r="J112" s="62"/>
      <c r="K112" s="62"/>
      <c r="L112" s="62"/>
      <c r="M112" s="62"/>
    </row>
    <row r="113" spans="10:13" x14ac:dyDescent="0.25">
      <c r="J113" s="62"/>
      <c r="K113" s="62"/>
      <c r="L113" s="62"/>
      <c r="M113" s="62"/>
    </row>
    <row r="114" spans="10:13" x14ac:dyDescent="0.25">
      <c r="J114" s="64"/>
      <c r="K114" s="62"/>
      <c r="L114" s="63"/>
      <c r="M114" s="36"/>
    </row>
    <row r="115" spans="10:13" x14ac:dyDescent="0.25">
      <c r="J115" s="62"/>
      <c r="K115" s="62"/>
      <c r="L115" s="62"/>
      <c r="M115" s="62"/>
    </row>
    <row r="116" spans="10:13" x14ac:dyDescent="0.25">
      <c r="J116" s="64"/>
      <c r="K116" s="62"/>
      <c r="L116" s="62"/>
      <c r="M116" s="62"/>
    </row>
    <row r="117" spans="10:13" x14ac:dyDescent="0.25">
      <c r="J117" s="62"/>
      <c r="K117" s="62"/>
      <c r="L117" s="62"/>
      <c r="M117" s="62"/>
    </row>
    <row r="118" spans="10:13" x14ac:dyDescent="0.25">
      <c r="J118" s="62"/>
      <c r="K118" s="62"/>
      <c r="L118" s="62"/>
      <c r="M118" s="62"/>
    </row>
    <row r="119" spans="10:13" x14ac:dyDescent="0.25">
      <c r="J119" s="65"/>
      <c r="K119" s="65"/>
      <c r="L119" s="65"/>
      <c r="M119" s="62"/>
    </row>
    <row r="120" spans="10:13" x14ac:dyDescent="0.25">
      <c r="L120" s="62"/>
      <c r="M120" s="62"/>
    </row>
  </sheetData>
  <autoFilter ref="A1:U107"/>
  <customSheetViews>
    <customSheetView guid="{DA8006FA-F549-4B7E-8C3D-B376CE1F2F3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  <customSheetView guid="{F0DA5CBD-521B-45E5-999C-010E89D9B2D8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5F1CCD53-A6B6-4801-9001-0C0BEBA8D20D}" showAutoFilter="1">
      <pane xSplit="1" ySplit="1" topLeftCell="B68" activePane="bottomRight" state="frozen"/>
      <selection pane="bottomRight" activeCell="A70" sqref="A70:XFD70"/>
      <pageMargins left="0.7" right="0.7" top="0.75" bottom="0.75" header="0.3" footer="0.3"/>
      <autoFilter ref="A1:U107"/>
    </customSheetView>
    <customSheetView guid="{D364304B-E18C-453B-A624-DE6197120D49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BDA34D52-B4BA-426C-853B-2B50F8AB0C7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  <customSheetView guid="{C66BF055-7613-4DC3-BA99-25F44C751266}" showAutoFilter="1">
      <pane xSplit="1" ySplit="1" topLeftCell="B29" activePane="bottomRight" state="frozen"/>
      <selection pane="bottomRight" activeCell="J8" sqref="J8"/>
      <pageMargins left="0.7" right="0.7" top="0.75" bottom="0.75" header="0.3" footer="0.3"/>
      <autoFilter ref="A1:U107"/>
    </customSheetView>
    <customSheetView guid="{7A751D0E-E1DB-4CA9-844E-987730CC2DF7}" showAutoFilter="1">
      <pane xSplit="1" ySplit="1" topLeftCell="B8" activePane="bottomRight" state="frozen"/>
      <selection pane="bottomRight" activeCell="P11" sqref="P11"/>
      <pageMargins left="0.7" right="0.7" top="0.75" bottom="0.75" header="0.3" footer="0.3"/>
      <autoFilter ref="A1:U107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5"/>
  <sheetViews>
    <sheetView workbookViewId="0">
      <pane xSplit="1" ySplit="1" topLeftCell="D80" activePane="bottomRight" state="frozen"/>
      <selection pane="topRight" activeCell="B1" sqref="B1"/>
      <selection pane="bottomLeft" activeCell="A2" sqref="A2"/>
      <selection pane="bottomRight" activeCell="AA104" sqref="AA104"/>
    </sheetView>
  </sheetViews>
  <sheetFormatPr defaultRowHeight="15" x14ac:dyDescent="0.25"/>
  <cols>
    <col min="1" max="1" width="24" bestFit="1" customWidth="1"/>
    <col min="7" max="9" width="9.140625" style="4"/>
    <col min="23" max="28" width="9.5703125" customWidth="1"/>
    <col min="29" max="29" width="8.7109375" customWidth="1"/>
  </cols>
  <sheetData>
    <row r="1" spans="1:39" ht="60" x14ac:dyDescent="0.25">
      <c r="A1" s="44" t="s">
        <v>0</v>
      </c>
      <c r="B1" s="73" t="s">
        <v>231</v>
      </c>
      <c r="C1" s="73" t="s">
        <v>232</v>
      </c>
      <c r="D1" s="73" t="s">
        <v>233</v>
      </c>
      <c r="E1" s="73" t="s">
        <v>234</v>
      </c>
      <c r="F1" s="73" t="s">
        <v>269</v>
      </c>
      <c r="G1" s="73" t="s">
        <v>252</v>
      </c>
      <c r="H1" s="73" t="s">
        <v>253</v>
      </c>
      <c r="I1" s="73" t="s">
        <v>254</v>
      </c>
      <c r="J1" s="73" t="s">
        <v>240</v>
      </c>
      <c r="K1" s="73" t="s">
        <v>255</v>
      </c>
      <c r="L1" s="73" t="s">
        <v>256</v>
      </c>
      <c r="M1" s="73" t="s">
        <v>257</v>
      </c>
      <c r="N1" s="73" t="s">
        <v>244</v>
      </c>
      <c r="O1" s="73" t="s">
        <v>270</v>
      </c>
      <c r="P1" s="73" t="s">
        <v>248</v>
      </c>
      <c r="Q1" s="73" t="s">
        <v>258</v>
      </c>
      <c r="R1" s="73" t="s">
        <v>259</v>
      </c>
      <c r="S1" s="73" t="s">
        <v>260</v>
      </c>
      <c r="T1" s="73" t="s">
        <v>271</v>
      </c>
      <c r="U1" s="73" t="s">
        <v>261</v>
      </c>
      <c r="V1" s="73" t="s">
        <v>262</v>
      </c>
      <c r="W1" s="73" t="s">
        <v>263</v>
      </c>
      <c r="X1" s="73" t="s">
        <v>264</v>
      </c>
      <c r="Y1" s="73" t="s">
        <v>265</v>
      </c>
      <c r="Z1" s="73" t="s">
        <v>266</v>
      </c>
      <c r="AA1" s="73" t="s">
        <v>267</v>
      </c>
      <c r="AB1" s="73" t="s">
        <v>268</v>
      </c>
      <c r="AC1" s="44" t="s">
        <v>216</v>
      </c>
      <c r="AF1" s="67"/>
      <c r="AG1" s="76" t="s">
        <v>3</v>
      </c>
      <c r="AH1" s="77"/>
      <c r="AI1" s="68"/>
      <c r="AJ1" s="68"/>
      <c r="AK1" s="68"/>
      <c r="AL1" s="68"/>
      <c r="AM1" s="69"/>
    </row>
    <row r="2" spans="1:39" x14ac:dyDescent="0.25">
      <c r="A2" s="42" t="s">
        <v>172</v>
      </c>
      <c r="B2" s="42"/>
      <c r="C2" s="42"/>
      <c r="D2" s="42"/>
      <c r="E2" s="42">
        <v>150.673</v>
      </c>
      <c r="F2" s="42"/>
      <c r="G2" s="2"/>
      <c r="H2" s="2"/>
      <c r="I2" s="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>
        <v>4</v>
      </c>
      <c r="W2" s="42"/>
      <c r="X2" s="42"/>
      <c r="Y2" s="42"/>
      <c r="Z2" s="42"/>
      <c r="AA2" s="42"/>
      <c r="AB2" s="42"/>
      <c r="AC2" s="35">
        <f>SUM(B2:AB2)</f>
        <v>154.673</v>
      </c>
      <c r="AF2" s="70"/>
      <c r="AG2" s="53" t="s">
        <v>5</v>
      </c>
      <c r="AH2" s="53" t="s">
        <v>6</v>
      </c>
      <c r="AI2" s="53" t="s">
        <v>119</v>
      </c>
      <c r="AJ2" s="53" t="s">
        <v>7</v>
      </c>
      <c r="AK2" s="53" t="s">
        <v>74</v>
      </c>
      <c r="AL2" s="53" t="s">
        <v>103</v>
      </c>
      <c r="AM2" s="55" t="s">
        <v>8</v>
      </c>
    </row>
    <row r="3" spans="1:39" x14ac:dyDescent="0.25">
      <c r="A3" s="42" t="s">
        <v>128</v>
      </c>
      <c r="B3" s="42"/>
      <c r="C3" s="42"/>
      <c r="D3" s="42">
        <f>151.439+3</f>
        <v>154.43899999999999</v>
      </c>
      <c r="E3" s="42"/>
      <c r="F3" s="42"/>
      <c r="G3" s="2"/>
      <c r="H3" s="2"/>
      <c r="I3" s="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>
        <v>7.0179999999999998</v>
      </c>
      <c r="V3" s="42"/>
      <c r="W3" s="42"/>
      <c r="X3" s="42"/>
      <c r="Y3" s="42"/>
      <c r="Z3" s="42"/>
      <c r="AA3" s="42"/>
      <c r="AB3" s="42"/>
      <c r="AC3" s="35">
        <f t="shared" ref="AC3:AC64" si="0">SUM(B3:AB3)</f>
        <v>161.45699999999999</v>
      </c>
      <c r="AF3" s="70" t="s">
        <v>249</v>
      </c>
      <c r="AG3" s="66" t="s">
        <v>71</v>
      </c>
      <c r="AH3" s="66" t="s">
        <v>71</v>
      </c>
      <c r="AI3" s="66" t="s">
        <v>71</v>
      </c>
      <c r="AJ3" s="66" t="s">
        <v>71</v>
      </c>
      <c r="AK3" s="66" t="s">
        <v>71</v>
      </c>
      <c r="AL3" s="66" t="s">
        <v>71</v>
      </c>
      <c r="AM3" s="71" t="s">
        <v>71</v>
      </c>
    </row>
    <row r="4" spans="1:39" ht="15.75" thickBot="1" x14ac:dyDescent="0.3">
      <c r="A4" s="42" t="s">
        <v>134</v>
      </c>
      <c r="B4" s="42"/>
      <c r="C4" s="42"/>
      <c r="D4" s="42"/>
      <c r="E4" s="42"/>
      <c r="F4" s="42"/>
      <c r="G4" s="2">
        <v>51.34</v>
      </c>
      <c r="H4" s="2"/>
      <c r="I4" s="2"/>
      <c r="J4" s="42"/>
      <c r="K4" s="42"/>
      <c r="L4" s="42"/>
      <c r="M4" s="42"/>
      <c r="N4" s="42"/>
      <c r="O4" s="42"/>
      <c r="P4" s="42"/>
      <c r="Q4" s="42"/>
      <c r="R4" s="42">
        <v>32.334000000000003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35">
        <f t="shared" si="0"/>
        <v>83.674000000000007</v>
      </c>
      <c r="AF4" s="72" t="s">
        <v>250</v>
      </c>
      <c r="AG4" s="74" t="s">
        <v>71</v>
      </c>
      <c r="AH4" s="74" t="s">
        <v>71</v>
      </c>
      <c r="AI4" s="74" t="s">
        <v>71</v>
      </c>
      <c r="AJ4" s="74" t="s">
        <v>71</v>
      </c>
      <c r="AK4" s="74" t="s">
        <v>71</v>
      </c>
      <c r="AL4" s="74" t="s">
        <v>71</v>
      </c>
      <c r="AM4" s="75" t="s">
        <v>71</v>
      </c>
    </row>
    <row r="5" spans="1:39" x14ac:dyDescent="0.25">
      <c r="A5" s="42" t="s">
        <v>139</v>
      </c>
      <c r="B5" s="42"/>
      <c r="C5" s="42"/>
      <c r="D5" s="42"/>
      <c r="E5" s="42"/>
      <c r="F5" s="42"/>
      <c r="G5" s="2">
        <v>57.34</v>
      </c>
      <c r="H5" s="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35">
        <f t="shared" si="0"/>
        <v>57.34</v>
      </c>
    </row>
    <row r="6" spans="1:39" x14ac:dyDescent="0.25">
      <c r="A6" s="42" t="s">
        <v>122</v>
      </c>
      <c r="B6" s="42"/>
      <c r="C6" s="42"/>
      <c r="D6" s="42"/>
      <c r="E6" s="42"/>
      <c r="F6" s="42">
        <v>75.459999999999994</v>
      </c>
      <c r="G6" s="2"/>
      <c r="H6" s="2"/>
      <c r="I6" s="2"/>
      <c r="J6" s="42"/>
      <c r="K6" s="42"/>
      <c r="L6" s="42">
        <v>97.87700000000001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>
        <v>26.524999999999999</v>
      </c>
      <c r="AA6" s="42"/>
      <c r="AB6" s="42"/>
      <c r="AC6" s="35">
        <f t="shared" si="0"/>
        <v>199.86199999999999</v>
      </c>
    </row>
    <row r="7" spans="1:39" x14ac:dyDescent="0.25">
      <c r="A7" s="42" t="s">
        <v>217</v>
      </c>
      <c r="B7" s="42"/>
      <c r="C7" s="42"/>
      <c r="D7" s="42"/>
      <c r="E7" s="42"/>
      <c r="F7" s="42"/>
      <c r="G7" s="2">
        <v>96.44</v>
      </c>
      <c r="H7" s="2"/>
      <c r="I7" s="2"/>
      <c r="J7" s="42"/>
      <c r="K7" s="42"/>
      <c r="L7" s="42"/>
      <c r="M7" s="42"/>
      <c r="N7" s="42"/>
      <c r="O7" s="42"/>
      <c r="P7" s="42"/>
      <c r="Q7" s="42"/>
      <c r="R7" s="42">
        <v>10.827999999999999</v>
      </c>
      <c r="S7" s="42"/>
      <c r="T7" s="42"/>
      <c r="U7" s="42"/>
      <c r="V7" s="42"/>
      <c r="W7" s="42"/>
      <c r="X7" s="42"/>
      <c r="Y7" s="42"/>
      <c r="Z7" s="42"/>
      <c r="AA7" s="42"/>
      <c r="AB7" s="42"/>
      <c r="AC7" s="35">
        <f t="shared" si="0"/>
        <v>107.268</v>
      </c>
    </row>
    <row r="8" spans="1:39" x14ac:dyDescent="0.25">
      <c r="A8" s="42" t="s">
        <v>125</v>
      </c>
      <c r="B8" s="42"/>
      <c r="C8" s="42"/>
      <c r="D8" s="42"/>
      <c r="E8" s="42"/>
      <c r="F8" s="42"/>
      <c r="G8" s="2"/>
      <c r="H8" s="2"/>
      <c r="I8" s="2">
        <v>98.972999999999999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35">
        <f t="shared" si="0"/>
        <v>98.972999999999999</v>
      </c>
    </row>
    <row r="9" spans="1:39" x14ac:dyDescent="0.25">
      <c r="A9" s="42" t="s">
        <v>158</v>
      </c>
      <c r="B9" s="42"/>
      <c r="C9" s="42"/>
      <c r="D9" s="42"/>
      <c r="E9" s="42"/>
      <c r="F9" s="42"/>
      <c r="G9" s="2"/>
      <c r="H9" s="2"/>
      <c r="I9" s="2"/>
      <c r="J9" s="42">
        <v>102.88399999999999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35">
        <f t="shared" si="0"/>
        <v>102.88399999999999</v>
      </c>
    </row>
    <row r="10" spans="1:39" x14ac:dyDescent="0.25">
      <c r="A10" s="42" t="s">
        <v>189</v>
      </c>
      <c r="B10" s="42"/>
      <c r="C10" s="42"/>
      <c r="D10" s="42"/>
      <c r="E10" s="42"/>
      <c r="F10" s="42">
        <v>171.52</v>
      </c>
      <c r="G10" s="2"/>
      <c r="H10" s="2"/>
      <c r="I10" s="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35">
        <f t="shared" si="0"/>
        <v>171.52</v>
      </c>
    </row>
    <row r="11" spans="1:39" x14ac:dyDescent="0.25">
      <c r="A11" s="42" t="s">
        <v>185</v>
      </c>
      <c r="B11" s="42"/>
      <c r="C11" s="42"/>
      <c r="D11" s="42"/>
      <c r="E11" s="42"/>
      <c r="F11" s="42"/>
      <c r="G11" s="2"/>
      <c r="H11" s="2"/>
      <c r="I11" s="2"/>
      <c r="J11" s="42"/>
      <c r="K11" s="42"/>
      <c r="L11" s="42"/>
      <c r="M11" s="42">
        <v>158.30000000000001</v>
      </c>
      <c r="N11" s="42"/>
      <c r="O11" s="42"/>
      <c r="P11" s="42"/>
      <c r="Q11" s="42"/>
      <c r="R11" s="42"/>
      <c r="S11" s="42"/>
      <c r="T11" s="42"/>
      <c r="U11" s="42"/>
      <c r="V11" s="42"/>
      <c r="W11" s="42">
        <v>7.8710000000000004</v>
      </c>
      <c r="X11" s="42"/>
      <c r="Y11" s="42"/>
      <c r="Z11" s="42"/>
      <c r="AA11" s="42"/>
      <c r="AB11" s="42"/>
      <c r="AC11" s="35">
        <f t="shared" si="0"/>
        <v>166.17100000000002</v>
      </c>
    </row>
    <row r="12" spans="1:39" x14ac:dyDescent="0.25">
      <c r="A12" s="42" t="s">
        <v>149</v>
      </c>
      <c r="B12" s="42"/>
      <c r="C12" s="42"/>
      <c r="D12" s="42"/>
      <c r="E12" s="42"/>
      <c r="F12" s="42"/>
      <c r="G12" s="2">
        <v>171.46</v>
      </c>
      <c r="H12" s="2"/>
      <c r="I12" s="2"/>
      <c r="J12" s="42"/>
      <c r="K12" s="42"/>
      <c r="L12" s="42"/>
      <c r="M12" s="42"/>
      <c r="N12" s="42"/>
      <c r="O12" s="42"/>
      <c r="P12" s="42"/>
      <c r="Q12" s="42"/>
      <c r="R12" s="42">
        <v>12.91</v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35">
        <f t="shared" si="0"/>
        <v>184.37</v>
      </c>
    </row>
    <row r="13" spans="1:39" x14ac:dyDescent="0.25">
      <c r="A13" s="42" t="s">
        <v>197</v>
      </c>
      <c r="B13" s="42"/>
      <c r="C13" s="42"/>
      <c r="D13" s="42"/>
      <c r="E13" s="42"/>
      <c r="F13" s="42"/>
      <c r="G13" s="2">
        <v>124.38300000000001</v>
      </c>
      <c r="H13" s="2">
        <v>80.05</v>
      </c>
      <c r="I13" s="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35">
        <f t="shared" si="0"/>
        <v>204.43299999999999</v>
      </c>
    </row>
    <row r="14" spans="1:39" x14ac:dyDescent="0.25">
      <c r="A14" s="42" t="s">
        <v>198</v>
      </c>
      <c r="B14" s="42"/>
      <c r="C14" s="42"/>
      <c r="D14" s="42"/>
      <c r="E14" s="42"/>
      <c r="F14" s="42"/>
      <c r="G14" s="2">
        <v>183.14</v>
      </c>
      <c r="H14" s="2"/>
      <c r="I14" s="2"/>
      <c r="J14" s="42"/>
      <c r="K14" s="42"/>
      <c r="L14" s="42"/>
      <c r="M14" s="42"/>
      <c r="N14" s="42"/>
      <c r="O14" s="42"/>
      <c r="P14" s="42"/>
      <c r="Q14" s="42"/>
      <c r="R14" s="42">
        <v>13.065999999999999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35">
        <f t="shared" si="0"/>
        <v>196.20599999999999</v>
      </c>
    </row>
    <row r="15" spans="1:39" x14ac:dyDescent="0.25">
      <c r="A15" s="42" t="s">
        <v>147</v>
      </c>
      <c r="B15" s="42"/>
      <c r="C15" s="42"/>
      <c r="D15" s="42"/>
      <c r="E15" s="42"/>
      <c r="F15" s="42">
        <v>53.35</v>
      </c>
      <c r="G15" s="2"/>
      <c r="H15" s="2"/>
      <c r="I15" s="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35">
        <f t="shared" si="0"/>
        <v>53.35</v>
      </c>
    </row>
    <row r="16" spans="1:39" x14ac:dyDescent="0.25">
      <c r="A16" s="42" t="s">
        <v>142</v>
      </c>
      <c r="B16" s="42"/>
      <c r="C16" s="42"/>
      <c r="D16" s="42"/>
      <c r="E16" s="42"/>
      <c r="F16" s="42">
        <v>116.46</v>
      </c>
      <c r="G16" s="2"/>
      <c r="H16" s="2"/>
      <c r="I16" s="2"/>
      <c r="J16" s="42"/>
      <c r="K16" s="42"/>
      <c r="L16" s="42"/>
      <c r="M16" s="42"/>
      <c r="N16" s="42"/>
      <c r="O16" s="42"/>
      <c r="P16" s="42">
        <v>68.170999999999992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35">
        <f t="shared" si="0"/>
        <v>184.63099999999997</v>
      </c>
    </row>
    <row r="17" spans="1:29" x14ac:dyDescent="0.25">
      <c r="A17" s="42" t="s">
        <v>218</v>
      </c>
      <c r="B17" s="42"/>
      <c r="C17" s="42">
        <f>100.283+20</f>
        <v>120.283</v>
      </c>
      <c r="D17" s="42"/>
      <c r="E17" s="42"/>
      <c r="F17" s="42"/>
      <c r="G17" s="2"/>
      <c r="H17" s="2"/>
      <c r="I17" s="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35">
        <f t="shared" si="0"/>
        <v>120.283</v>
      </c>
    </row>
    <row r="18" spans="1:29" x14ac:dyDescent="0.25">
      <c r="A18" s="42" t="s">
        <v>156</v>
      </c>
      <c r="B18" s="42"/>
      <c r="C18" s="42"/>
      <c r="D18" s="42"/>
      <c r="E18" s="42"/>
      <c r="F18" s="42"/>
      <c r="G18" s="2">
        <v>179.58699999999996</v>
      </c>
      <c r="H18" s="2"/>
      <c r="I18" s="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35">
        <f t="shared" si="0"/>
        <v>179.58699999999996</v>
      </c>
    </row>
    <row r="19" spans="1:29" x14ac:dyDescent="0.25">
      <c r="A19" s="42" t="s">
        <v>171</v>
      </c>
      <c r="B19" s="42"/>
      <c r="C19" s="42"/>
      <c r="D19" s="42"/>
      <c r="E19" s="42"/>
      <c r="F19" s="42"/>
      <c r="G19" s="2">
        <v>20.760999999999999</v>
      </c>
      <c r="H19" s="2"/>
      <c r="I19" s="2">
        <v>120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35">
        <f t="shared" si="0"/>
        <v>140.761</v>
      </c>
    </row>
    <row r="20" spans="1:29" x14ac:dyDescent="0.25">
      <c r="A20" s="42" t="s">
        <v>176</v>
      </c>
      <c r="B20" s="42"/>
      <c r="C20" s="42"/>
      <c r="D20" s="42"/>
      <c r="E20" s="42"/>
      <c r="F20" s="42"/>
      <c r="G20" s="2"/>
      <c r="H20" s="2"/>
      <c r="I20" s="2"/>
      <c r="J20" s="42"/>
      <c r="K20" s="42"/>
      <c r="L20" s="42"/>
      <c r="M20" s="42"/>
      <c r="N20" s="42"/>
      <c r="O20" s="42">
        <v>109.19</v>
      </c>
      <c r="P20" s="42"/>
      <c r="Q20" s="42"/>
      <c r="R20" s="42"/>
      <c r="S20" s="42"/>
      <c r="T20" s="42">
        <v>47.169999999999995</v>
      </c>
      <c r="U20" s="42"/>
      <c r="V20" s="42"/>
      <c r="W20" s="42"/>
      <c r="X20" s="42"/>
      <c r="Y20" s="42"/>
      <c r="Z20" s="42"/>
      <c r="AA20" s="42"/>
      <c r="AB20" s="42"/>
      <c r="AC20" s="35">
        <f t="shared" si="0"/>
        <v>156.35999999999999</v>
      </c>
    </row>
    <row r="21" spans="1:29" x14ac:dyDescent="0.25">
      <c r="A21" s="42" t="s">
        <v>114</v>
      </c>
      <c r="B21" s="42"/>
      <c r="C21" s="42"/>
      <c r="D21" s="42"/>
      <c r="E21" s="42"/>
      <c r="F21" s="42"/>
      <c r="G21" s="2">
        <v>165.67200000000003</v>
      </c>
      <c r="H21" s="2"/>
      <c r="I21" s="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5">
        <f t="shared" si="0"/>
        <v>165.67200000000003</v>
      </c>
    </row>
    <row r="22" spans="1:29" x14ac:dyDescent="0.25">
      <c r="A22" s="42" t="s">
        <v>183</v>
      </c>
      <c r="B22" s="42"/>
      <c r="C22" s="42"/>
      <c r="D22" s="42"/>
      <c r="E22" s="42"/>
      <c r="F22" s="42"/>
      <c r="G22" s="2"/>
      <c r="H22" s="2"/>
      <c r="I22" s="2">
        <v>99.24</v>
      </c>
      <c r="J22" s="42"/>
      <c r="K22" s="42"/>
      <c r="L22" s="42"/>
      <c r="M22" s="42"/>
      <c r="N22" s="42"/>
      <c r="O22" s="42"/>
      <c r="P22" s="42"/>
      <c r="Q22" s="42">
        <v>17.96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35">
        <f t="shared" si="0"/>
        <v>117.19999999999999</v>
      </c>
    </row>
    <row r="23" spans="1:29" x14ac:dyDescent="0.25">
      <c r="A23" s="42" t="s">
        <v>135</v>
      </c>
      <c r="B23" s="42"/>
      <c r="C23" s="42"/>
      <c r="D23" s="42"/>
      <c r="E23" s="42">
        <f>109.768+2-40</f>
        <v>71.768000000000001</v>
      </c>
      <c r="F23" s="42"/>
      <c r="G23" s="2"/>
      <c r="H23" s="2"/>
      <c r="I23" s="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>
        <v>15.709</v>
      </c>
      <c r="W23" s="42"/>
      <c r="X23" s="42"/>
      <c r="Y23" s="42"/>
      <c r="Z23" s="42"/>
      <c r="AA23" s="42"/>
      <c r="AB23" s="42"/>
      <c r="AC23" s="35">
        <f t="shared" si="0"/>
        <v>87.477000000000004</v>
      </c>
    </row>
    <row r="24" spans="1:29" x14ac:dyDescent="0.25">
      <c r="A24" s="42" t="s">
        <v>180</v>
      </c>
      <c r="B24" s="42"/>
      <c r="C24" s="42"/>
      <c r="D24" s="42"/>
      <c r="E24" s="42"/>
      <c r="F24" s="42">
        <v>98.949999999999989</v>
      </c>
      <c r="G24" s="2">
        <v>9.6519999999999992</v>
      </c>
      <c r="H24" s="2"/>
      <c r="I24" s="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>
        <v>31.7</v>
      </c>
      <c r="AC24" s="35">
        <f t="shared" si="0"/>
        <v>140.30199999999999</v>
      </c>
    </row>
    <row r="25" spans="1:29" x14ac:dyDescent="0.25">
      <c r="A25" s="42" t="s">
        <v>123</v>
      </c>
      <c r="B25" s="42"/>
      <c r="C25" s="42"/>
      <c r="D25" s="42"/>
      <c r="E25" s="42"/>
      <c r="F25" s="42"/>
      <c r="G25" s="2">
        <v>116.69200000000001</v>
      </c>
      <c r="H25" s="2"/>
      <c r="I25" s="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35">
        <f t="shared" si="0"/>
        <v>116.69200000000001</v>
      </c>
    </row>
    <row r="26" spans="1:29" x14ac:dyDescent="0.25">
      <c r="A26" s="42" t="s">
        <v>151</v>
      </c>
      <c r="B26" s="42"/>
      <c r="C26" s="42"/>
      <c r="D26" s="42"/>
      <c r="E26" s="42"/>
      <c r="F26" s="42"/>
      <c r="G26" s="2">
        <v>51.945999999999998</v>
      </c>
      <c r="H26" s="2">
        <v>182.06</v>
      </c>
      <c r="I26" s="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35">
        <f t="shared" si="0"/>
        <v>234.006</v>
      </c>
    </row>
    <row r="27" spans="1:29" x14ac:dyDescent="0.25">
      <c r="A27" s="42" t="s">
        <v>168</v>
      </c>
      <c r="B27" s="42"/>
      <c r="C27" s="42"/>
      <c r="D27" s="42"/>
      <c r="E27" s="42"/>
      <c r="F27" s="42"/>
      <c r="G27" s="2"/>
      <c r="H27" s="2"/>
      <c r="I27" s="2"/>
      <c r="J27" s="42"/>
      <c r="K27" s="42">
        <v>41.256</v>
      </c>
      <c r="L27" s="42">
        <v>16.488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35">
        <f t="shared" si="0"/>
        <v>57.744</v>
      </c>
    </row>
    <row r="28" spans="1:29" x14ac:dyDescent="0.25">
      <c r="A28" s="42" t="s">
        <v>173</v>
      </c>
      <c r="B28" s="42"/>
      <c r="C28" s="42"/>
      <c r="D28" s="42"/>
      <c r="E28" s="42"/>
      <c r="F28" s="42"/>
      <c r="G28" s="2"/>
      <c r="H28" s="2"/>
      <c r="I28" s="2"/>
      <c r="J28" s="42">
        <v>16.846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5">
        <f t="shared" si="0"/>
        <v>16.846</v>
      </c>
    </row>
    <row r="29" spans="1:29" x14ac:dyDescent="0.25">
      <c r="A29" s="42" t="s">
        <v>182</v>
      </c>
      <c r="B29" s="42"/>
      <c r="C29" s="42">
        <f>110.708+20</f>
        <v>130.708</v>
      </c>
      <c r="D29" s="42"/>
      <c r="E29" s="42"/>
      <c r="F29" s="42"/>
      <c r="G29" s="2"/>
      <c r="H29" s="2"/>
      <c r="I29" s="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>
        <v>56.897000000000006</v>
      </c>
      <c r="AB29" s="42"/>
      <c r="AC29" s="35">
        <f t="shared" si="0"/>
        <v>187.60500000000002</v>
      </c>
    </row>
    <row r="30" spans="1:29" x14ac:dyDescent="0.25">
      <c r="A30" s="42" t="s">
        <v>201</v>
      </c>
      <c r="B30" s="42"/>
      <c r="C30" s="42"/>
      <c r="D30" s="42"/>
      <c r="E30" s="42"/>
      <c r="F30" s="42"/>
      <c r="G30" s="2"/>
      <c r="H30" s="2"/>
      <c r="I30" s="2">
        <v>61.47</v>
      </c>
      <c r="J30" s="42"/>
      <c r="K30" s="42"/>
      <c r="L30" s="42"/>
      <c r="M30" s="42"/>
      <c r="N30" s="42"/>
      <c r="O30" s="42"/>
      <c r="P30" s="42"/>
      <c r="Q30" s="42">
        <v>14.855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5">
        <f t="shared" si="0"/>
        <v>76.325000000000003</v>
      </c>
    </row>
    <row r="31" spans="1:29" x14ac:dyDescent="0.25">
      <c r="A31" s="42" t="s">
        <v>145</v>
      </c>
      <c r="B31" s="42"/>
      <c r="C31" s="42"/>
      <c r="D31" s="42"/>
      <c r="E31" s="42"/>
      <c r="F31" s="42"/>
      <c r="G31" s="2"/>
      <c r="H31" s="2"/>
      <c r="I31" s="2">
        <v>153.19</v>
      </c>
      <c r="J31" s="42"/>
      <c r="K31" s="42"/>
      <c r="L31" s="42"/>
      <c r="M31" s="42"/>
      <c r="N31" s="42"/>
      <c r="O31" s="42"/>
      <c r="P31" s="42"/>
      <c r="Q31" s="42">
        <v>16.75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35">
        <f t="shared" si="0"/>
        <v>169.94</v>
      </c>
    </row>
    <row r="32" spans="1:29" x14ac:dyDescent="0.25">
      <c r="A32" s="42" t="s">
        <v>219</v>
      </c>
      <c r="B32" s="42"/>
      <c r="C32" s="42"/>
      <c r="D32" s="42"/>
      <c r="E32" s="42"/>
      <c r="F32" s="42">
        <v>123.33999999999999</v>
      </c>
      <c r="G32" s="2"/>
      <c r="H32" s="2"/>
      <c r="I32" s="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35">
        <f t="shared" si="0"/>
        <v>123.33999999999999</v>
      </c>
    </row>
    <row r="33" spans="1:29" x14ac:dyDescent="0.25">
      <c r="A33" s="42" t="s">
        <v>196</v>
      </c>
      <c r="B33" s="42"/>
      <c r="C33" s="42"/>
      <c r="D33" s="42"/>
      <c r="E33" s="42"/>
      <c r="F33" s="42"/>
      <c r="G33" s="2">
        <v>146.34799999999998</v>
      </c>
      <c r="H33" s="2"/>
      <c r="I33" s="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35">
        <f t="shared" si="0"/>
        <v>146.34799999999998</v>
      </c>
    </row>
    <row r="34" spans="1:29" x14ac:dyDescent="0.25">
      <c r="A34" s="42" t="s">
        <v>154</v>
      </c>
      <c r="B34" s="42"/>
      <c r="C34" s="42">
        <v>38.332000000000001</v>
      </c>
      <c r="D34" s="42"/>
      <c r="E34" s="42"/>
      <c r="F34" s="42"/>
      <c r="G34" s="2"/>
      <c r="H34" s="2"/>
      <c r="I34" s="2"/>
      <c r="J34" s="42"/>
      <c r="K34" s="42">
        <v>21.622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>
        <v>15.672000000000001</v>
      </c>
      <c r="AB34" s="42"/>
      <c r="AC34" s="35">
        <f t="shared" si="0"/>
        <v>75.626000000000005</v>
      </c>
    </row>
    <row r="35" spans="1:29" x14ac:dyDescent="0.25">
      <c r="A35" s="42" t="s">
        <v>136</v>
      </c>
      <c r="B35" s="42"/>
      <c r="C35" s="42"/>
      <c r="D35" s="42"/>
      <c r="E35" s="42"/>
      <c r="F35" s="42">
        <v>84.830000000000013</v>
      </c>
      <c r="G35" s="2"/>
      <c r="H35" s="2"/>
      <c r="I35" s="2"/>
      <c r="J35" s="42"/>
      <c r="K35" s="42"/>
      <c r="L35" s="42">
        <f>107.22+20</f>
        <v>127.22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>
        <v>18.594999999999999</v>
      </c>
      <c r="AA35" s="42"/>
      <c r="AB35" s="42"/>
      <c r="AC35" s="35">
        <f t="shared" si="0"/>
        <v>230.64500000000001</v>
      </c>
    </row>
    <row r="36" spans="1:29" x14ac:dyDescent="0.25">
      <c r="A36" s="42" t="s">
        <v>220</v>
      </c>
      <c r="B36" s="42"/>
      <c r="C36" s="42"/>
      <c r="D36" s="42"/>
      <c r="E36" s="42">
        <f>116.821+20.5</f>
        <v>137.321</v>
      </c>
      <c r="F36" s="42"/>
      <c r="G36" s="2"/>
      <c r="H36" s="2"/>
      <c r="I36" s="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>
        <v>14.000999999999999</v>
      </c>
      <c r="W36" s="42"/>
      <c r="X36" s="42"/>
      <c r="Y36" s="42"/>
      <c r="Z36" s="42"/>
      <c r="AA36" s="42"/>
      <c r="AB36" s="42"/>
      <c r="AC36" s="35">
        <f t="shared" si="0"/>
        <v>151.322</v>
      </c>
    </row>
    <row r="37" spans="1:29" x14ac:dyDescent="0.25">
      <c r="A37" s="42" t="s">
        <v>159</v>
      </c>
      <c r="B37" s="42"/>
      <c r="C37" s="42"/>
      <c r="D37" s="42"/>
      <c r="E37" s="42"/>
      <c r="F37" s="42">
        <v>121.75000000000003</v>
      </c>
      <c r="G37" s="2"/>
      <c r="H37" s="2"/>
      <c r="I37" s="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35">
        <f t="shared" si="0"/>
        <v>121.75000000000003</v>
      </c>
    </row>
    <row r="38" spans="1:29" x14ac:dyDescent="0.25">
      <c r="A38" s="42" t="s">
        <v>193</v>
      </c>
      <c r="B38" s="42"/>
      <c r="C38" s="42"/>
      <c r="D38" s="42"/>
      <c r="E38" s="42"/>
      <c r="F38" s="42"/>
      <c r="G38" s="2"/>
      <c r="H38" s="2"/>
      <c r="I38" s="2"/>
      <c r="J38" s="42">
        <v>171.99299999999999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35">
        <f t="shared" si="0"/>
        <v>171.99299999999999</v>
      </c>
    </row>
    <row r="39" spans="1:29" x14ac:dyDescent="0.25">
      <c r="A39" s="42" t="s">
        <v>251</v>
      </c>
      <c r="B39" s="42"/>
      <c r="C39" s="42"/>
      <c r="D39" s="42"/>
      <c r="E39" s="42"/>
      <c r="F39" s="42"/>
      <c r="G39" s="2"/>
      <c r="H39" s="2"/>
      <c r="I39" s="2"/>
      <c r="J39" s="42"/>
      <c r="K39" s="42"/>
      <c r="L39" s="42">
        <v>21.321999999999999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35">
        <f t="shared" si="0"/>
        <v>21.321999999999999</v>
      </c>
    </row>
    <row r="40" spans="1:29" x14ac:dyDescent="0.25">
      <c r="A40" s="42" t="s">
        <v>188</v>
      </c>
      <c r="B40" s="42"/>
      <c r="C40" s="42"/>
      <c r="D40" s="42"/>
      <c r="E40" s="42"/>
      <c r="F40" s="42"/>
      <c r="G40" s="2"/>
      <c r="H40" s="2"/>
      <c r="I40" s="2">
        <v>151.32</v>
      </c>
      <c r="J40" s="42"/>
      <c r="K40" s="42"/>
      <c r="L40" s="42"/>
      <c r="M40" s="42"/>
      <c r="N40" s="42"/>
      <c r="O40" s="42"/>
      <c r="P40" s="42"/>
      <c r="Q40" s="42">
        <v>18.170000000000002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5">
        <f t="shared" si="0"/>
        <v>169.49</v>
      </c>
    </row>
    <row r="41" spans="1:29" x14ac:dyDescent="0.25">
      <c r="A41" s="42" t="s">
        <v>121</v>
      </c>
      <c r="B41" s="42"/>
      <c r="C41" s="42"/>
      <c r="D41" s="42"/>
      <c r="E41" s="42"/>
      <c r="F41" s="42"/>
      <c r="G41" s="2"/>
      <c r="H41" s="2"/>
      <c r="I41" s="2"/>
      <c r="J41" s="42"/>
      <c r="K41" s="42"/>
      <c r="L41" s="42"/>
      <c r="M41" s="42">
        <v>124.93</v>
      </c>
      <c r="N41" s="42"/>
      <c r="O41" s="42"/>
      <c r="P41" s="42"/>
      <c r="Q41" s="42"/>
      <c r="R41" s="42"/>
      <c r="S41" s="42"/>
      <c r="T41" s="42"/>
      <c r="U41" s="42"/>
      <c r="V41" s="42"/>
      <c r="W41" s="42">
        <v>38.96</v>
      </c>
      <c r="X41" s="42"/>
      <c r="Y41" s="42"/>
      <c r="Z41" s="42"/>
      <c r="AA41" s="42"/>
      <c r="AB41" s="42"/>
      <c r="AC41" s="35">
        <f t="shared" si="0"/>
        <v>163.89000000000001</v>
      </c>
    </row>
    <row r="42" spans="1:29" x14ac:dyDescent="0.25">
      <c r="A42" s="42" t="s">
        <v>152</v>
      </c>
      <c r="B42" s="42"/>
      <c r="C42" s="42"/>
      <c r="D42" s="42"/>
      <c r="E42" s="42"/>
      <c r="F42" s="42"/>
      <c r="G42" s="2"/>
      <c r="H42" s="2"/>
      <c r="I42" s="2"/>
      <c r="J42" s="42">
        <v>166.203</v>
      </c>
      <c r="K42" s="42"/>
      <c r="L42" s="42"/>
      <c r="M42" s="42">
        <v>10.32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35">
        <f t="shared" si="0"/>
        <v>176.523</v>
      </c>
    </row>
    <row r="43" spans="1:29" x14ac:dyDescent="0.25">
      <c r="A43" s="42" t="s">
        <v>175</v>
      </c>
      <c r="B43" s="42"/>
      <c r="C43" s="42"/>
      <c r="D43" s="42"/>
      <c r="E43" s="42"/>
      <c r="F43" s="42"/>
      <c r="G43" s="2"/>
      <c r="H43" s="2"/>
      <c r="I43" s="2"/>
      <c r="J43" s="42"/>
      <c r="K43" s="42">
        <v>182.13299999999998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35">
        <f t="shared" si="0"/>
        <v>182.13299999999998</v>
      </c>
    </row>
    <row r="44" spans="1:29" x14ac:dyDescent="0.25">
      <c r="A44" s="42" t="s">
        <v>130</v>
      </c>
      <c r="B44" s="42"/>
      <c r="C44" s="42"/>
      <c r="D44" s="42"/>
      <c r="E44" s="42"/>
      <c r="F44" s="42"/>
      <c r="G44" s="2"/>
      <c r="H44" s="2"/>
      <c r="I44" s="2">
        <v>123.05799999999999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>
        <v>26.2</v>
      </c>
      <c r="AC44" s="35">
        <f t="shared" si="0"/>
        <v>149.25799999999998</v>
      </c>
    </row>
    <row r="45" spans="1:29" x14ac:dyDescent="0.25">
      <c r="A45" s="42" t="s">
        <v>160</v>
      </c>
      <c r="B45" s="42">
        <v>86.234999999999999</v>
      </c>
      <c r="C45" s="42">
        <v>32.108000000000004</v>
      </c>
      <c r="D45" s="42"/>
      <c r="E45" s="42"/>
      <c r="F45" s="42"/>
      <c r="G45" s="2"/>
      <c r="H45" s="2"/>
      <c r="I45" s="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35">
        <f t="shared" si="0"/>
        <v>118.343</v>
      </c>
    </row>
    <row r="46" spans="1:29" x14ac:dyDescent="0.25">
      <c r="A46" s="42" t="s">
        <v>170</v>
      </c>
      <c r="B46" s="42"/>
      <c r="C46" s="42"/>
      <c r="D46" s="42"/>
      <c r="E46" s="42"/>
      <c r="F46" s="42"/>
      <c r="G46" s="2"/>
      <c r="H46" s="2"/>
      <c r="I46" s="2"/>
      <c r="J46" s="42">
        <v>160.14200000000002</v>
      </c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35">
        <f t="shared" si="0"/>
        <v>160.14200000000002</v>
      </c>
    </row>
    <row r="47" spans="1:29" x14ac:dyDescent="0.25">
      <c r="A47" s="42" t="s">
        <v>155</v>
      </c>
      <c r="B47" s="42"/>
      <c r="C47" s="42"/>
      <c r="D47" s="42"/>
      <c r="E47" s="42"/>
      <c r="F47" s="42"/>
      <c r="G47" s="2"/>
      <c r="H47" s="2"/>
      <c r="I47" s="2"/>
      <c r="J47" s="42"/>
      <c r="K47" s="42"/>
      <c r="L47" s="42"/>
      <c r="M47" s="42"/>
      <c r="N47" s="42">
        <v>135.88999999999999</v>
      </c>
      <c r="O47" s="42"/>
      <c r="P47" s="42"/>
      <c r="Q47" s="42"/>
      <c r="R47" s="42"/>
      <c r="S47" s="42">
        <v>19.740000000000002</v>
      </c>
      <c r="T47" s="42"/>
      <c r="U47" s="42"/>
      <c r="V47" s="42"/>
      <c r="W47" s="42"/>
      <c r="X47" s="42"/>
      <c r="Y47" s="42"/>
      <c r="Z47" s="42"/>
      <c r="AA47" s="42"/>
      <c r="AB47" s="42"/>
      <c r="AC47" s="35">
        <f t="shared" si="0"/>
        <v>155.63</v>
      </c>
    </row>
    <row r="48" spans="1:29" x14ac:dyDescent="0.25">
      <c r="A48" s="42" t="s">
        <v>221</v>
      </c>
      <c r="B48" s="42"/>
      <c r="C48" s="42">
        <v>9.8239999999999998</v>
      </c>
      <c r="D48" s="42"/>
      <c r="E48" s="42"/>
      <c r="F48" s="42"/>
      <c r="G48" s="2"/>
      <c r="H48" s="2"/>
      <c r="I48" s="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35">
        <f t="shared" si="0"/>
        <v>9.8239999999999998</v>
      </c>
    </row>
    <row r="49" spans="1:29" x14ac:dyDescent="0.25">
      <c r="A49" s="42" t="s">
        <v>174</v>
      </c>
      <c r="B49" s="42"/>
      <c r="C49" s="42"/>
      <c r="D49" s="42"/>
      <c r="E49" s="42"/>
      <c r="F49" s="42"/>
      <c r="G49" s="2"/>
      <c r="H49" s="2"/>
      <c r="I49" s="79">
        <v>151.05000000000001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35">
        <f t="shared" si="0"/>
        <v>151.05000000000001</v>
      </c>
    </row>
    <row r="50" spans="1:29" x14ac:dyDescent="0.25">
      <c r="A50" s="42" t="s">
        <v>187</v>
      </c>
      <c r="B50" s="42"/>
      <c r="C50" s="42"/>
      <c r="D50" s="42"/>
      <c r="E50" s="42"/>
      <c r="F50" s="42"/>
      <c r="G50" s="2"/>
      <c r="H50" s="2"/>
      <c r="I50" s="2">
        <v>155.66</v>
      </c>
      <c r="J50" s="42"/>
      <c r="K50" s="42"/>
      <c r="L50" s="42"/>
      <c r="M50" s="42"/>
      <c r="N50" s="42"/>
      <c r="O50" s="42"/>
      <c r="P50" s="42"/>
      <c r="Q50" s="42">
        <v>21.664000000000001</v>
      </c>
      <c r="R50" s="42">
        <v>4.5940000000000003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35">
        <f t="shared" si="0"/>
        <v>181.91800000000001</v>
      </c>
    </row>
    <row r="51" spans="1:29" x14ac:dyDescent="0.25">
      <c r="A51" s="42" t="s">
        <v>191</v>
      </c>
      <c r="B51" s="42"/>
      <c r="C51" s="42"/>
      <c r="D51" s="42"/>
      <c r="E51" s="42"/>
      <c r="F51" s="42"/>
      <c r="G51" s="2"/>
      <c r="H51" s="2"/>
      <c r="I51" s="2"/>
      <c r="J51" s="42">
        <v>186.78600000000003</v>
      </c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35">
        <f t="shared" si="0"/>
        <v>186.78600000000003</v>
      </c>
    </row>
    <row r="52" spans="1:29" x14ac:dyDescent="0.25">
      <c r="A52" s="42" t="s">
        <v>194</v>
      </c>
      <c r="B52" s="42">
        <v>68.653999999999996</v>
      </c>
      <c r="C52" s="42"/>
      <c r="D52" s="42"/>
      <c r="E52" s="42">
        <v>175.56500000000003</v>
      </c>
      <c r="F52" s="42"/>
      <c r="G52" s="2"/>
      <c r="H52" s="2"/>
      <c r="I52" s="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>
        <v>4.5030000000000001</v>
      </c>
      <c r="W52" s="42"/>
      <c r="X52" s="42">
        <v>52.135000000000005</v>
      </c>
      <c r="Y52" s="42"/>
      <c r="Z52" s="42"/>
      <c r="AA52" s="42"/>
      <c r="AB52" s="42"/>
      <c r="AC52" s="35">
        <f t="shared" si="0"/>
        <v>300.85700000000003</v>
      </c>
    </row>
    <row r="53" spans="1:29" x14ac:dyDescent="0.25">
      <c r="A53" s="42" t="s">
        <v>192</v>
      </c>
      <c r="B53" s="42"/>
      <c r="C53" s="42">
        <v>30.445</v>
      </c>
      <c r="D53" s="42"/>
      <c r="E53" s="42"/>
      <c r="F53" s="42"/>
      <c r="G53" s="2"/>
      <c r="H53" s="2"/>
      <c r="I53" s="2"/>
      <c r="J53" s="42"/>
      <c r="K53" s="42"/>
      <c r="L53" s="42">
        <v>95.394000000000005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35">
        <f t="shared" si="0"/>
        <v>125.839</v>
      </c>
    </row>
    <row r="54" spans="1:29" x14ac:dyDescent="0.25">
      <c r="A54" s="42" t="s">
        <v>143</v>
      </c>
      <c r="B54" s="42"/>
      <c r="C54" s="42"/>
      <c r="D54" s="42"/>
      <c r="E54" s="42"/>
      <c r="F54" s="42"/>
      <c r="G54" s="2"/>
      <c r="H54" s="2"/>
      <c r="I54" s="2">
        <v>109.85</v>
      </c>
      <c r="J54" s="42"/>
      <c r="K54" s="42"/>
      <c r="L54" s="42"/>
      <c r="M54" s="42"/>
      <c r="N54" s="42"/>
      <c r="O54" s="42"/>
      <c r="P54" s="42"/>
      <c r="Q54" s="42">
        <v>7.8319999999999999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35">
        <f t="shared" si="0"/>
        <v>117.68199999999999</v>
      </c>
    </row>
    <row r="55" spans="1:29" x14ac:dyDescent="0.25">
      <c r="A55" s="42" t="s">
        <v>146</v>
      </c>
      <c r="B55" s="42"/>
      <c r="C55" s="42"/>
      <c r="D55" s="42"/>
      <c r="E55" s="42"/>
      <c r="F55" s="42">
        <v>21.560000000000002</v>
      </c>
      <c r="G55" s="2"/>
      <c r="H55" s="2"/>
      <c r="I55" s="2"/>
      <c r="J55" s="42"/>
      <c r="K55" s="42"/>
      <c r="L55" s="42"/>
      <c r="M55" s="42">
        <v>155.38000000000002</v>
      </c>
      <c r="N55" s="42"/>
      <c r="O55" s="42"/>
      <c r="P55" s="42"/>
      <c r="Q55" s="42"/>
      <c r="R55" s="42"/>
      <c r="S55" s="42"/>
      <c r="T55" s="42"/>
      <c r="U55" s="42"/>
      <c r="V55" s="42"/>
      <c r="W55" s="42">
        <v>21.302</v>
      </c>
      <c r="X55" s="42"/>
      <c r="Y55" s="42"/>
      <c r="Z55" s="42"/>
      <c r="AA55" s="42"/>
      <c r="AB55" s="42"/>
      <c r="AC55" s="35">
        <f t="shared" si="0"/>
        <v>198.24200000000002</v>
      </c>
    </row>
    <row r="56" spans="1:29" x14ac:dyDescent="0.25">
      <c r="A56" s="42" t="s">
        <v>133</v>
      </c>
      <c r="B56" s="42"/>
      <c r="C56" s="42"/>
      <c r="D56" s="42"/>
      <c r="E56" s="42"/>
      <c r="F56" s="42"/>
      <c r="G56" s="2"/>
      <c r="H56" s="2"/>
      <c r="I56" s="2"/>
      <c r="J56" s="42"/>
      <c r="K56" s="42"/>
      <c r="L56" s="42"/>
      <c r="M56" s="42">
        <v>120</v>
      </c>
      <c r="N56" s="42"/>
      <c r="O56" s="42"/>
      <c r="P56" s="42"/>
      <c r="Q56" s="42"/>
      <c r="R56" s="42"/>
      <c r="S56" s="42"/>
      <c r="T56" s="42"/>
      <c r="U56" s="42"/>
      <c r="V56" s="42"/>
      <c r="W56" s="42">
        <v>16.341999999999999</v>
      </c>
      <c r="X56" s="42"/>
      <c r="Y56" s="42"/>
      <c r="Z56" s="42"/>
      <c r="AA56" s="42"/>
      <c r="AB56" s="42"/>
      <c r="AC56" s="35">
        <f t="shared" si="0"/>
        <v>136.34199999999998</v>
      </c>
    </row>
    <row r="57" spans="1:29" x14ac:dyDescent="0.25">
      <c r="A57" s="42" t="s">
        <v>140</v>
      </c>
      <c r="B57" s="42"/>
      <c r="C57" s="42"/>
      <c r="D57" s="42"/>
      <c r="E57" s="42"/>
      <c r="F57" s="42"/>
      <c r="G57" s="2">
        <v>17.7</v>
      </c>
      <c r="H57" s="2"/>
      <c r="I57" s="2">
        <v>121.44</v>
      </c>
      <c r="J57" s="42"/>
      <c r="K57" s="42"/>
      <c r="L57" s="42"/>
      <c r="M57" s="42"/>
      <c r="N57" s="42"/>
      <c r="O57" s="42"/>
      <c r="P57" s="42"/>
      <c r="Q57" s="42">
        <v>8.5860000000000003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35">
        <f t="shared" si="0"/>
        <v>147.726</v>
      </c>
    </row>
    <row r="58" spans="1:29" x14ac:dyDescent="0.25">
      <c r="A58" s="42" t="s">
        <v>222</v>
      </c>
      <c r="B58" s="42"/>
      <c r="C58" s="42"/>
      <c r="D58" s="42"/>
      <c r="E58" s="42"/>
      <c r="F58" s="42"/>
      <c r="G58" s="2"/>
      <c r="H58" s="2"/>
      <c r="I58" s="2"/>
      <c r="J58" s="42"/>
      <c r="K58" s="42"/>
      <c r="L58" s="42"/>
      <c r="M58" s="42"/>
      <c r="N58" s="42"/>
      <c r="O58" s="42">
        <v>106.63999999999999</v>
      </c>
      <c r="P58" s="42"/>
      <c r="Q58" s="42"/>
      <c r="R58" s="42"/>
      <c r="S58" s="42"/>
      <c r="T58" s="42">
        <v>9.34</v>
      </c>
      <c r="U58" s="42"/>
      <c r="V58" s="42"/>
      <c r="W58" s="42"/>
      <c r="X58" s="42"/>
      <c r="Y58" s="42"/>
      <c r="Z58" s="42"/>
      <c r="AA58" s="42"/>
      <c r="AB58" s="42"/>
      <c r="AC58" s="35">
        <f t="shared" si="0"/>
        <v>115.97999999999999</v>
      </c>
    </row>
    <row r="59" spans="1:29" x14ac:dyDescent="0.25">
      <c r="A59" s="42" t="s">
        <v>162</v>
      </c>
      <c r="B59" s="42"/>
      <c r="C59" s="42"/>
      <c r="D59" s="42"/>
      <c r="E59" s="42"/>
      <c r="F59" s="42"/>
      <c r="G59" s="2"/>
      <c r="H59" s="2"/>
      <c r="I59" s="2">
        <v>183.34</v>
      </c>
      <c r="J59" s="42"/>
      <c r="K59" s="42"/>
      <c r="L59" s="42"/>
      <c r="M59" s="42"/>
      <c r="N59" s="42"/>
      <c r="O59" s="42"/>
      <c r="P59" s="42"/>
      <c r="Q59" s="42">
        <v>14.282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35">
        <f t="shared" si="0"/>
        <v>197.62200000000001</v>
      </c>
    </row>
    <row r="60" spans="1:29" x14ac:dyDescent="0.25">
      <c r="A60" s="42" t="s">
        <v>223</v>
      </c>
      <c r="B60" s="42"/>
      <c r="C60" s="42"/>
      <c r="D60" s="42"/>
      <c r="E60" s="42"/>
      <c r="F60" s="42"/>
      <c r="G60" s="2">
        <v>128</v>
      </c>
      <c r="H60" s="2"/>
      <c r="I60" s="2"/>
      <c r="J60" s="42"/>
      <c r="K60" s="42"/>
      <c r="L60" s="42"/>
      <c r="M60" s="42"/>
      <c r="N60" s="42"/>
      <c r="O60" s="42"/>
      <c r="P60" s="42"/>
      <c r="Q60" s="42"/>
      <c r="R60" s="42">
        <v>4.806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35">
        <f t="shared" si="0"/>
        <v>132.80600000000001</v>
      </c>
    </row>
    <row r="61" spans="1:29" x14ac:dyDescent="0.25">
      <c r="A61" s="42" t="s">
        <v>184</v>
      </c>
      <c r="B61" s="42"/>
      <c r="C61" s="42"/>
      <c r="D61" s="42"/>
      <c r="E61" s="42"/>
      <c r="F61" s="42"/>
      <c r="G61" s="2"/>
      <c r="H61" s="2"/>
      <c r="I61" s="2"/>
      <c r="J61" s="42"/>
      <c r="K61" s="42"/>
      <c r="L61" s="42"/>
      <c r="M61" s="42"/>
      <c r="N61" s="42"/>
      <c r="O61" s="42"/>
      <c r="P61" s="42">
        <v>89.968999999999994</v>
      </c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35">
        <f t="shared" si="0"/>
        <v>89.968999999999994</v>
      </c>
    </row>
    <row r="62" spans="1:29" x14ac:dyDescent="0.25">
      <c r="A62" s="42" t="s">
        <v>148</v>
      </c>
      <c r="B62" s="42"/>
      <c r="C62" s="42"/>
      <c r="D62" s="42"/>
      <c r="E62" s="42"/>
      <c r="F62" s="42">
        <v>190.69999999999993</v>
      </c>
      <c r="G62" s="2"/>
      <c r="H62" s="2"/>
      <c r="I62" s="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35">
        <f t="shared" si="0"/>
        <v>190.69999999999993</v>
      </c>
    </row>
    <row r="63" spans="1:29" x14ac:dyDescent="0.25">
      <c r="A63" s="42" t="s">
        <v>167</v>
      </c>
      <c r="B63" s="42"/>
      <c r="C63" s="42"/>
      <c r="D63" s="42"/>
      <c r="E63" s="42"/>
      <c r="F63" s="42">
        <v>149.05000000000001</v>
      </c>
      <c r="G63" s="2"/>
      <c r="H63" s="2"/>
      <c r="I63" s="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>
        <v>10.809999999999999</v>
      </c>
      <c r="AC63" s="35">
        <f t="shared" si="0"/>
        <v>159.86000000000001</v>
      </c>
    </row>
    <row r="64" spans="1:29" x14ac:dyDescent="0.25">
      <c r="A64" s="42" t="s">
        <v>200</v>
      </c>
      <c r="B64" s="42"/>
      <c r="C64" s="42"/>
      <c r="D64" s="42"/>
      <c r="E64" s="42"/>
      <c r="F64" s="42"/>
      <c r="G64" s="2"/>
      <c r="H64" s="2"/>
      <c r="I64" s="2"/>
      <c r="J64" s="42">
        <v>133.12599999999998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35">
        <f t="shared" si="0"/>
        <v>133.12599999999998</v>
      </c>
    </row>
    <row r="65" spans="1:29" s="17" customFormat="1" x14ac:dyDescent="0.25">
      <c r="A65" s="42" t="s">
        <v>131</v>
      </c>
      <c r="B65" s="42"/>
      <c r="C65" s="42"/>
      <c r="D65" s="42"/>
      <c r="E65" s="42"/>
      <c r="F65" s="42">
        <v>100</v>
      </c>
      <c r="G65" s="2"/>
      <c r="H65" s="2"/>
      <c r="I65" s="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35"/>
    </row>
    <row r="66" spans="1:29" x14ac:dyDescent="0.25">
      <c r="A66" s="42" t="s">
        <v>199</v>
      </c>
      <c r="B66" s="42">
        <v>120.14699999999999</v>
      </c>
      <c r="C66" s="42"/>
      <c r="D66" s="42"/>
      <c r="E66" s="42"/>
      <c r="F66" s="42"/>
      <c r="G66" s="2"/>
      <c r="H66" s="2"/>
      <c r="I66" s="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>
        <v>78.899999999999991</v>
      </c>
      <c r="Y66" s="42"/>
      <c r="Z66" s="42"/>
      <c r="AA66" s="42"/>
      <c r="AB66" s="42"/>
      <c r="AC66" s="35">
        <f t="shared" ref="AC66:AC103" si="1">SUM(B66:AB66)</f>
        <v>199.04699999999997</v>
      </c>
    </row>
    <row r="67" spans="1:29" x14ac:dyDescent="0.25">
      <c r="A67" s="42" t="s">
        <v>225</v>
      </c>
      <c r="B67" s="42"/>
      <c r="C67" s="42"/>
      <c r="D67" s="42"/>
      <c r="E67" s="42"/>
      <c r="F67" s="42"/>
      <c r="G67" s="2"/>
      <c r="H67" s="2"/>
      <c r="I67" s="2">
        <v>137.28</v>
      </c>
      <c r="J67" s="42"/>
      <c r="K67" s="42"/>
      <c r="L67" s="42"/>
      <c r="M67" s="42"/>
      <c r="N67" s="42"/>
      <c r="O67" s="42"/>
      <c r="P67" s="42"/>
      <c r="Q67" s="42">
        <v>8.4090000000000007</v>
      </c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35">
        <f t="shared" si="1"/>
        <v>145.68899999999999</v>
      </c>
    </row>
    <row r="68" spans="1:29" x14ac:dyDescent="0.25">
      <c r="A68" s="42" t="s">
        <v>226</v>
      </c>
      <c r="B68" s="42"/>
      <c r="C68" s="42"/>
      <c r="D68" s="42"/>
      <c r="E68" s="42"/>
      <c r="F68" s="42">
        <v>169.48</v>
      </c>
      <c r="G68" s="2"/>
      <c r="H68" s="2"/>
      <c r="I68" s="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35">
        <f t="shared" si="1"/>
        <v>169.48</v>
      </c>
    </row>
    <row r="69" spans="1:29" x14ac:dyDescent="0.25">
      <c r="A69" s="42" t="s">
        <v>169</v>
      </c>
      <c r="B69" s="42"/>
      <c r="C69" s="42"/>
      <c r="D69" s="42"/>
      <c r="E69" s="42"/>
      <c r="F69" s="42"/>
      <c r="G69" s="2">
        <v>167.1</v>
      </c>
      <c r="H69" s="2"/>
      <c r="I69" s="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35">
        <f t="shared" si="1"/>
        <v>167.1</v>
      </c>
    </row>
    <row r="70" spans="1:29" x14ac:dyDescent="0.25">
      <c r="A70" s="42" t="s">
        <v>120</v>
      </c>
      <c r="B70" s="42"/>
      <c r="C70" s="42"/>
      <c r="D70" s="42"/>
      <c r="E70" s="42"/>
      <c r="F70" s="42"/>
      <c r="G70" s="2"/>
      <c r="H70" s="2"/>
      <c r="I70" s="2">
        <v>150.1</v>
      </c>
      <c r="J70" s="42"/>
      <c r="K70" s="42"/>
      <c r="L70" s="42">
        <v>6.7670000000000003</v>
      </c>
      <c r="M70" s="42"/>
      <c r="N70" s="42"/>
      <c r="O70" s="42"/>
      <c r="P70" s="42"/>
      <c r="Q70" s="42">
        <v>11.59</v>
      </c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35">
        <f t="shared" si="1"/>
        <v>168.45699999999999</v>
      </c>
    </row>
    <row r="71" spans="1:29" x14ac:dyDescent="0.25">
      <c r="A71" s="42" t="s">
        <v>124</v>
      </c>
      <c r="B71" s="42"/>
      <c r="C71" s="42"/>
      <c r="D71" s="42"/>
      <c r="E71" s="42"/>
      <c r="F71" s="42"/>
      <c r="G71" s="2"/>
      <c r="H71" s="2"/>
      <c r="I71" s="2">
        <v>56.948</v>
      </c>
      <c r="J71" s="42"/>
      <c r="K71" s="42">
        <v>6.9160000000000004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35">
        <f t="shared" si="1"/>
        <v>63.864000000000004</v>
      </c>
    </row>
    <row r="72" spans="1:29" x14ac:dyDescent="0.25">
      <c r="A72" s="42" t="s">
        <v>177</v>
      </c>
      <c r="B72" s="42"/>
      <c r="C72" s="42"/>
      <c r="D72" s="42"/>
      <c r="E72" s="42"/>
      <c r="F72" s="42"/>
      <c r="G72" s="2"/>
      <c r="H72" s="2"/>
      <c r="I72" s="2"/>
      <c r="J72" s="42"/>
      <c r="K72" s="42"/>
      <c r="L72" s="42"/>
      <c r="M72" s="42"/>
      <c r="N72" s="42"/>
      <c r="O72" s="42"/>
      <c r="P72" s="42">
        <v>149.21899999999999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>
        <v>15</v>
      </c>
      <c r="AC72" s="35">
        <f t="shared" si="1"/>
        <v>164.21899999999999</v>
      </c>
    </row>
    <row r="73" spans="1:29" x14ac:dyDescent="0.25">
      <c r="A73" s="42" t="s">
        <v>178</v>
      </c>
      <c r="B73" s="42"/>
      <c r="C73" s="42"/>
      <c r="D73" s="42"/>
      <c r="E73" s="42"/>
      <c r="F73" s="42">
        <v>173.63</v>
      </c>
      <c r="G73" s="2"/>
      <c r="H73" s="2"/>
      <c r="I73" s="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35">
        <f t="shared" si="1"/>
        <v>173.63</v>
      </c>
    </row>
    <row r="74" spans="1:29" x14ac:dyDescent="0.25">
      <c r="A74" s="42" t="s">
        <v>126</v>
      </c>
      <c r="B74" s="42"/>
      <c r="C74" s="42"/>
      <c r="D74" s="42"/>
      <c r="E74" s="42"/>
      <c r="F74" s="42"/>
      <c r="G74" s="2"/>
      <c r="H74" s="2"/>
      <c r="I74" s="79">
        <v>124.62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35">
        <f t="shared" si="1"/>
        <v>124.62</v>
      </c>
    </row>
    <row r="75" spans="1:29" x14ac:dyDescent="0.25">
      <c r="A75" s="42" t="s">
        <v>227</v>
      </c>
      <c r="B75" s="42"/>
      <c r="C75" s="42"/>
      <c r="D75" s="42"/>
      <c r="E75" s="42">
        <f>103.73+11</f>
        <v>114.73</v>
      </c>
      <c r="F75" s="42"/>
      <c r="G75" s="2"/>
      <c r="H75" s="2"/>
      <c r="I75" s="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35">
        <f t="shared" si="1"/>
        <v>114.73</v>
      </c>
    </row>
    <row r="76" spans="1:29" x14ac:dyDescent="0.25">
      <c r="A76" s="42" t="s">
        <v>186</v>
      </c>
      <c r="B76" s="42"/>
      <c r="C76" s="42"/>
      <c r="D76" s="42"/>
      <c r="E76" s="42"/>
      <c r="F76" s="42"/>
      <c r="G76" s="2"/>
      <c r="H76" s="2"/>
      <c r="I76" s="2">
        <v>168.34</v>
      </c>
      <c r="J76" s="42"/>
      <c r="K76" s="42"/>
      <c r="L76" s="42"/>
      <c r="M76" s="42"/>
      <c r="N76" s="42"/>
      <c r="O76" s="42"/>
      <c r="P76" s="42"/>
      <c r="Q76" s="42">
        <v>6</v>
      </c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35">
        <f t="shared" si="1"/>
        <v>174.34</v>
      </c>
    </row>
    <row r="77" spans="1:29" x14ac:dyDescent="0.25">
      <c r="A77" s="42" t="s">
        <v>195</v>
      </c>
      <c r="B77" s="42"/>
      <c r="C77" s="42"/>
      <c r="D77" s="42"/>
      <c r="E77" s="42"/>
      <c r="F77" s="42"/>
      <c r="G77" s="2"/>
      <c r="H77" s="2"/>
      <c r="I77" s="2"/>
      <c r="J77" s="42"/>
      <c r="K77" s="42"/>
      <c r="L77" s="42"/>
      <c r="M77" s="42"/>
      <c r="N77" s="42"/>
      <c r="O77" s="42">
        <v>94.8</v>
      </c>
      <c r="P77" s="42"/>
      <c r="Q77" s="42"/>
      <c r="R77" s="42"/>
      <c r="S77" s="42"/>
      <c r="T77" s="42">
        <v>29.979999999999997</v>
      </c>
      <c r="U77" s="42"/>
      <c r="V77" s="42"/>
      <c r="W77" s="42"/>
      <c r="X77" s="42"/>
      <c r="Y77" s="42"/>
      <c r="Z77" s="42"/>
      <c r="AA77" s="42"/>
      <c r="AB77" s="42"/>
      <c r="AC77" s="35">
        <f t="shared" si="1"/>
        <v>124.78</v>
      </c>
    </row>
    <row r="78" spans="1:29" x14ac:dyDescent="0.25">
      <c r="A78" s="42" t="s">
        <v>165</v>
      </c>
      <c r="B78" s="42"/>
      <c r="C78" s="42"/>
      <c r="D78" s="42"/>
      <c r="E78" s="42"/>
      <c r="F78" s="42">
        <v>119.63999999999999</v>
      </c>
      <c r="G78" s="2"/>
      <c r="H78" s="2"/>
      <c r="I78" s="2"/>
      <c r="J78" s="42"/>
      <c r="K78" s="42"/>
      <c r="L78" s="42">
        <v>14.641999999999999</v>
      </c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35">
        <f t="shared" si="1"/>
        <v>134.28199999999998</v>
      </c>
    </row>
    <row r="79" spans="1:29" x14ac:dyDescent="0.25">
      <c r="A79" s="42" t="s">
        <v>137</v>
      </c>
      <c r="B79" s="42"/>
      <c r="C79" s="42"/>
      <c r="D79" s="42"/>
      <c r="E79" s="42"/>
      <c r="F79" s="42"/>
      <c r="G79" s="2"/>
      <c r="H79" s="2"/>
      <c r="I79" s="2"/>
      <c r="J79" s="42"/>
      <c r="K79" s="42"/>
      <c r="L79" s="42"/>
      <c r="M79" s="42"/>
      <c r="N79" s="42">
        <v>154.83000000000001</v>
      </c>
      <c r="O79" s="42"/>
      <c r="P79" s="42"/>
      <c r="Q79" s="42"/>
      <c r="R79" s="42"/>
      <c r="S79" s="42">
        <v>15.75</v>
      </c>
      <c r="T79" s="42"/>
      <c r="U79" s="42"/>
      <c r="V79" s="42"/>
      <c r="W79" s="42"/>
      <c r="X79" s="42"/>
      <c r="Y79" s="42"/>
      <c r="Z79" s="42"/>
      <c r="AA79" s="42"/>
      <c r="AB79" s="42"/>
      <c r="AC79" s="35">
        <f t="shared" si="1"/>
        <v>170.58</v>
      </c>
    </row>
    <row r="80" spans="1:29" x14ac:dyDescent="0.25">
      <c r="A80" s="42" t="s">
        <v>141</v>
      </c>
      <c r="B80" s="42"/>
      <c r="C80" s="42"/>
      <c r="D80" s="42"/>
      <c r="E80" s="42"/>
      <c r="F80" s="42"/>
      <c r="G80" s="2">
        <v>27.42</v>
      </c>
      <c r="H80" s="2"/>
      <c r="I80" s="2">
        <v>64.875999999999991</v>
      </c>
      <c r="J80" s="42"/>
      <c r="K80" s="42"/>
      <c r="L80" s="42"/>
      <c r="M80" s="42"/>
      <c r="N80" s="42"/>
      <c r="O80" s="42"/>
      <c r="P80" s="42"/>
      <c r="Q80" s="42"/>
      <c r="R80" s="42">
        <v>9.6120000000000001</v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35">
        <f t="shared" si="1"/>
        <v>101.90799999999999</v>
      </c>
    </row>
    <row r="81" spans="1:29" x14ac:dyDescent="0.25">
      <c r="A81" s="42" t="s">
        <v>203</v>
      </c>
      <c r="B81" s="42"/>
      <c r="C81" s="42"/>
      <c r="D81" s="42">
        <v>42.138000000000005</v>
      </c>
      <c r="E81" s="42"/>
      <c r="F81" s="42"/>
      <c r="G81" s="2"/>
      <c r="H81" s="2"/>
      <c r="I81" s="2"/>
      <c r="J81" s="42"/>
      <c r="K81" s="42"/>
      <c r="L81" s="42">
        <v>17.667000000000002</v>
      </c>
      <c r="M81" s="42"/>
      <c r="N81" s="42"/>
      <c r="O81" s="42"/>
      <c r="P81" s="42">
        <v>80.861000000000004</v>
      </c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35">
        <f t="shared" si="1"/>
        <v>140.666</v>
      </c>
    </row>
    <row r="82" spans="1:29" x14ac:dyDescent="0.25">
      <c r="A82" s="42" t="s">
        <v>202</v>
      </c>
      <c r="B82" s="42"/>
      <c r="C82" s="42"/>
      <c r="D82" s="42">
        <f>146.656+45.5</f>
        <v>192.15600000000001</v>
      </c>
      <c r="E82" s="42"/>
      <c r="F82" s="42"/>
      <c r="G82" s="2"/>
      <c r="H82" s="2"/>
      <c r="I82" s="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>
        <v>28.571999999999999</v>
      </c>
      <c r="V82" s="42"/>
      <c r="W82" s="42"/>
      <c r="X82" s="42"/>
      <c r="Y82" s="42"/>
      <c r="Z82" s="42"/>
      <c r="AA82" s="42"/>
      <c r="AB82" s="42"/>
      <c r="AC82" s="35">
        <f t="shared" si="1"/>
        <v>220.72800000000001</v>
      </c>
    </row>
    <row r="83" spans="1:29" x14ac:dyDescent="0.25">
      <c r="A83" s="42" t="s">
        <v>164</v>
      </c>
      <c r="B83" s="42"/>
      <c r="C83" s="42"/>
      <c r="D83" s="42"/>
      <c r="E83" s="42"/>
      <c r="F83" s="42"/>
      <c r="G83" s="2"/>
      <c r="H83" s="2"/>
      <c r="I83" s="2"/>
      <c r="J83" s="42"/>
      <c r="K83" s="42">
        <v>16.273</v>
      </c>
      <c r="L83" s="42"/>
      <c r="M83" s="42"/>
      <c r="N83" s="42"/>
      <c r="O83" s="42"/>
      <c r="P83" s="42">
        <v>117.13699999999999</v>
      </c>
      <c r="Q83" s="42"/>
      <c r="R83" s="42"/>
      <c r="S83" s="42"/>
      <c r="T83" s="42"/>
      <c r="U83" s="42"/>
      <c r="V83" s="42"/>
      <c r="W83" s="42"/>
      <c r="X83" s="42"/>
      <c r="Y83" s="42">
        <v>18.000999999999998</v>
      </c>
      <c r="Z83" s="42"/>
      <c r="AA83" s="42"/>
      <c r="AB83" s="42"/>
      <c r="AC83" s="35">
        <f t="shared" si="1"/>
        <v>151.411</v>
      </c>
    </row>
    <row r="84" spans="1:29" x14ac:dyDescent="0.25">
      <c r="A84" s="42" t="s">
        <v>138</v>
      </c>
      <c r="B84" s="42"/>
      <c r="C84" s="42"/>
      <c r="D84" s="42">
        <f>99.021+20.5</f>
        <v>119.521</v>
      </c>
      <c r="E84" s="42"/>
      <c r="F84" s="42"/>
      <c r="G84" s="2"/>
      <c r="H84" s="2"/>
      <c r="I84" s="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>
        <v>7.0179999999999998</v>
      </c>
      <c r="V84" s="42"/>
      <c r="W84" s="42"/>
      <c r="X84" s="42"/>
      <c r="Y84" s="42"/>
      <c r="Z84" s="42"/>
      <c r="AA84" s="42"/>
      <c r="AB84" s="42"/>
      <c r="AC84" s="35">
        <f t="shared" si="1"/>
        <v>126.539</v>
      </c>
    </row>
    <row r="85" spans="1:29" x14ac:dyDescent="0.25">
      <c r="A85" s="42" t="s">
        <v>190</v>
      </c>
      <c r="B85" s="42"/>
      <c r="C85" s="42"/>
      <c r="D85" s="42"/>
      <c r="E85" s="42"/>
      <c r="F85" s="42">
        <v>214.44</v>
      </c>
      <c r="G85" s="2"/>
      <c r="H85" s="2"/>
      <c r="I85" s="2"/>
      <c r="J85" s="42"/>
      <c r="K85" s="42"/>
      <c r="L85" s="42">
        <v>48.167000000000002</v>
      </c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35">
        <f t="shared" si="1"/>
        <v>262.60699999999997</v>
      </c>
    </row>
    <row r="86" spans="1:29" x14ac:dyDescent="0.25">
      <c r="A86" s="42" t="s">
        <v>166</v>
      </c>
      <c r="B86" s="42"/>
      <c r="C86" s="42"/>
      <c r="D86" s="42"/>
      <c r="E86" s="42"/>
      <c r="F86" s="42"/>
      <c r="G86" s="2">
        <v>12.151999999999999</v>
      </c>
      <c r="H86" s="2"/>
      <c r="I86" s="2">
        <v>58.706999999999994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35">
        <f t="shared" si="1"/>
        <v>70.858999999999995</v>
      </c>
    </row>
    <row r="87" spans="1:29" x14ac:dyDescent="0.25">
      <c r="A87" s="42" t="s">
        <v>179</v>
      </c>
      <c r="B87" s="42"/>
      <c r="C87" s="42"/>
      <c r="D87" s="42"/>
      <c r="E87" s="42"/>
      <c r="F87" s="42"/>
      <c r="G87" s="2"/>
      <c r="H87" s="2"/>
      <c r="I87" s="2"/>
      <c r="J87" s="42"/>
      <c r="K87" s="42"/>
      <c r="L87" s="42"/>
      <c r="M87" s="42">
        <v>85.52000000000001</v>
      </c>
      <c r="N87" s="42"/>
      <c r="O87" s="42"/>
      <c r="P87" s="42"/>
      <c r="Q87" s="42"/>
      <c r="R87" s="42"/>
      <c r="S87" s="42"/>
      <c r="T87" s="42"/>
      <c r="U87" s="42"/>
      <c r="V87" s="42"/>
      <c r="W87" s="42">
        <v>31.666</v>
      </c>
      <c r="X87" s="42"/>
      <c r="Y87" s="42"/>
      <c r="Z87" s="42"/>
      <c r="AA87" s="42"/>
      <c r="AB87" s="42"/>
      <c r="AC87" s="35">
        <f t="shared" si="1"/>
        <v>117.18600000000001</v>
      </c>
    </row>
    <row r="88" spans="1:29" x14ac:dyDescent="0.25">
      <c r="A88" s="42" t="s">
        <v>228</v>
      </c>
      <c r="B88" s="42"/>
      <c r="C88" s="42"/>
      <c r="D88" s="42"/>
      <c r="E88" s="42"/>
      <c r="F88" s="42">
        <v>194.44</v>
      </c>
      <c r="G88" s="2"/>
      <c r="H88" s="2"/>
      <c r="I88" s="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35">
        <f t="shared" si="1"/>
        <v>194.44</v>
      </c>
    </row>
    <row r="89" spans="1:29" x14ac:dyDescent="0.25">
      <c r="A89" s="42" t="s">
        <v>181</v>
      </c>
      <c r="B89" s="42"/>
      <c r="C89" s="42"/>
      <c r="D89" s="42"/>
      <c r="E89" s="42"/>
      <c r="F89" s="42"/>
      <c r="G89" s="2">
        <v>48.86</v>
      </c>
      <c r="H89" s="2">
        <v>173.6</v>
      </c>
      <c r="I89" s="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35">
        <f t="shared" si="1"/>
        <v>222.45999999999998</v>
      </c>
    </row>
    <row r="90" spans="1:29" x14ac:dyDescent="0.25">
      <c r="A90" s="42" t="s">
        <v>129</v>
      </c>
      <c r="B90" s="42"/>
      <c r="C90" s="42"/>
      <c r="D90" s="42"/>
      <c r="E90" s="42"/>
      <c r="F90" s="42">
        <v>125.88</v>
      </c>
      <c r="G90" s="2"/>
      <c r="H90" s="2"/>
      <c r="I90" s="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35">
        <f t="shared" si="1"/>
        <v>125.88</v>
      </c>
    </row>
    <row r="91" spans="1:29" x14ac:dyDescent="0.25">
      <c r="A91" s="42" t="s">
        <v>161</v>
      </c>
      <c r="B91" s="42"/>
      <c r="C91" s="42"/>
      <c r="D91" s="42"/>
      <c r="E91" s="42"/>
      <c r="F91" s="42">
        <v>176.04</v>
      </c>
      <c r="G91" s="2"/>
      <c r="H91" s="2"/>
      <c r="I91" s="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35">
        <f t="shared" si="1"/>
        <v>176.04</v>
      </c>
    </row>
    <row r="92" spans="1:29" x14ac:dyDescent="0.25">
      <c r="A92" s="42" t="s">
        <v>163</v>
      </c>
      <c r="B92" s="42"/>
      <c r="C92" s="42"/>
      <c r="D92" s="42"/>
      <c r="E92" s="42"/>
      <c r="F92" s="42"/>
      <c r="G92" s="2"/>
      <c r="H92" s="2"/>
      <c r="I92" s="2"/>
      <c r="J92" s="42"/>
      <c r="K92" s="42"/>
      <c r="L92" s="42"/>
      <c r="M92" s="42"/>
      <c r="N92" s="42"/>
      <c r="O92" s="42"/>
      <c r="P92" s="42">
        <v>65.652999999999992</v>
      </c>
      <c r="Q92" s="42"/>
      <c r="R92" s="42"/>
      <c r="S92" s="42"/>
      <c r="T92" s="42"/>
      <c r="U92" s="42"/>
      <c r="V92" s="42"/>
      <c r="W92" s="42"/>
      <c r="X92" s="42"/>
      <c r="Y92" s="42">
        <v>5.9710000000000001</v>
      </c>
      <c r="Z92" s="42"/>
      <c r="AA92" s="42"/>
      <c r="AB92" s="42"/>
      <c r="AC92" s="35">
        <f t="shared" si="1"/>
        <v>71.623999999999995</v>
      </c>
    </row>
    <row r="93" spans="1:29" x14ac:dyDescent="0.25">
      <c r="A93" s="42" t="s">
        <v>153</v>
      </c>
      <c r="B93" s="42"/>
      <c r="C93" s="42"/>
      <c r="D93" s="42"/>
      <c r="E93" s="42"/>
      <c r="F93" s="42">
        <v>22.060000000000002</v>
      </c>
      <c r="G93" s="2"/>
      <c r="H93" s="2"/>
      <c r="I93" s="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35">
        <f t="shared" si="1"/>
        <v>22.060000000000002</v>
      </c>
    </row>
    <row r="94" spans="1:29" x14ac:dyDescent="0.25">
      <c r="A94" s="42" t="s">
        <v>157</v>
      </c>
      <c r="B94" s="42"/>
      <c r="C94" s="42"/>
      <c r="D94" s="42"/>
      <c r="E94" s="42"/>
      <c r="F94" s="42"/>
      <c r="G94" s="2"/>
      <c r="H94" s="2"/>
      <c r="I94" s="2"/>
      <c r="J94" s="42"/>
      <c r="K94" s="42">
        <v>23.250000000000007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35">
        <f t="shared" si="1"/>
        <v>23.250000000000007</v>
      </c>
    </row>
    <row r="95" spans="1:29" x14ac:dyDescent="0.25">
      <c r="A95" s="42" t="s">
        <v>144</v>
      </c>
      <c r="B95" s="42"/>
      <c r="C95" s="42"/>
      <c r="D95" s="42"/>
      <c r="E95" s="42"/>
      <c r="F95" s="42"/>
      <c r="G95" s="2"/>
      <c r="H95" s="2"/>
      <c r="I95" s="2"/>
      <c r="J95" s="42"/>
      <c r="K95" s="42">
        <v>32.411999999999999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35">
        <f t="shared" si="1"/>
        <v>32.411999999999999</v>
      </c>
    </row>
    <row r="96" spans="1:29" x14ac:dyDescent="0.25">
      <c r="A96" s="42" t="s">
        <v>132</v>
      </c>
      <c r="B96" s="42"/>
      <c r="C96" s="42"/>
      <c r="D96" s="42"/>
      <c r="E96" s="42"/>
      <c r="F96" s="42"/>
      <c r="G96" s="2"/>
      <c r="H96" s="2"/>
      <c r="I96" s="2"/>
      <c r="J96" s="42">
        <v>153.69500000000002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35">
        <f t="shared" si="1"/>
        <v>153.69500000000002</v>
      </c>
    </row>
    <row r="97" spans="1:29" s="17" customFormat="1" x14ac:dyDescent="0.25">
      <c r="A97" s="42" t="s">
        <v>34</v>
      </c>
      <c r="B97" s="42"/>
      <c r="C97" s="42"/>
      <c r="D97" s="42"/>
      <c r="E97" s="42"/>
      <c r="F97" s="42"/>
      <c r="G97" s="2"/>
      <c r="H97" s="2"/>
      <c r="I97" s="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>
        <f t="shared" si="1"/>
        <v>0</v>
      </c>
    </row>
    <row r="98" spans="1:29" s="17" customFormat="1" x14ac:dyDescent="0.25">
      <c r="A98" s="42" t="s">
        <v>35</v>
      </c>
      <c r="B98" s="42"/>
      <c r="C98" s="42"/>
      <c r="D98" s="42"/>
      <c r="E98" s="42"/>
      <c r="F98" s="42"/>
      <c r="G98" s="2"/>
      <c r="H98" s="2"/>
      <c r="I98" s="2"/>
      <c r="J98" s="2">
        <v>155</v>
      </c>
      <c r="K98" s="2">
        <v>151.5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>
        <f t="shared" si="1"/>
        <v>306.5</v>
      </c>
    </row>
    <row r="99" spans="1:29" s="17" customFormat="1" x14ac:dyDescent="0.25">
      <c r="A99" s="42" t="s">
        <v>40</v>
      </c>
      <c r="B99" s="42"/>
      <c r="C99" s="42"/>
      <c r="D99" s="42"/>
      <c r="E99" s="42"/>
      <c r="F99" s="42"/>
      <c r="G99" s="2"/>
      <c r="H99" s="2"/>
      <c r="I99" s="2"/>
      <c r="J99" s="42"/>
      <c r="K99" s="42"/>
      <c r="L99" s="42"/>
      <c r="M99" s="42">
        <v>75</v>
      </c>
      <c r="N99" s="42">
        <v>56</v>
      </c>
      <c r="O99" s="42"/>
      <c r="P99" s="42">
        <v>87</v>
      </c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>
        <f t="shared" si="1"/>
        <v>218</v>
      </c>
    </row>
    <row r="100" spans="1:29" s="17" customFormat="1" x14ac:dyDescent="0.25">
      <c r="A100" s="42" t="s">
        <v>55</v>
      </c>
      <c r="B100" s="42">
        <v>27</v>
      </c>
      <c r="C100" s="42">
        <v>32</v>
      </c>
      <c r="D100" s="42"/>
      <c r="E100" s="42"/>
      <c r="F100" s="42"/>
      <c r="G100" s="2"/>
      <c r="H100" s="2"/>
      <c r="I100" s="2"/>
      <c r="J100" s="42"/>
      <c r="K100" s="42"/>
      <c r="L100" s="42">
        <v>42</v>
      </c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>
        <v>13</v>
      </c>
      <c r="Y100" s="42"/>
      <c r="Z100" s="42"/>
      <c r="AA100" s="42"/>
      <c r="AB100" s="42"/>
      <c r="AC100" s="42">
        <f t="shared" si="1"/>
        <v>114</v>
      </c>
    </row>
    <row r="101" spans="1:29" s="17" customFormat="1" x14ac:dyDescent="0.25">
      <c r="A101" s="42" t="s">
        <v>62</v>
      </c>
      <c r="B101" s="42"/>
      <c r="C101" s="42"/>
      <c r="D101" s="42"/>
      <c r="E101" s="42"/>
      <c r="F101" s="42"/>
      <c r="G101" s="2">
        <v>192.7</v>
      </c>
      <c r="H101" s="2">
        <v>49.21</v>
      </c>
      <c r="I101" s="2">
        <v>268.39999999999998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>
        <f t="shared" si="1"/>
        <v>510.30999999999995</v>
      </c>
    </row>
    <row r="102" spans="1:29" s="17" customFormat="1" x14ac:dyDescent="0.25">
      <c r="A102" s="42" t="s">
        <v>229</v>
      </c>
      <c r="B102" s="42"/>
      <c r="C102" s="42"/>
      <c r="D102" s="42"/>
      <c r="E102" s="42"/>
      <c r="F102" s="42">
        <v>302</v>
      </c>
      <c r="G102" s="2"/>
      <c r="H102" s="2"/>
      <c r="I102" s="2"/>
      <c r="J102" s="42"/>
      <c r="K102" s="42"/>
      <c r="L102" s="42"/>
      <c r="M102" s="42"/>
      <c r="N102" s="42"/>
      <c r="O102" s="42">
        <v>27</v>
      </c>
      <c r="P102" s="42"/>
      <c r="Q102" s="42"/>
      <c r="R102" s="42"/>
      <c r="S102" s="42"/>
      <c r="T102" s="42">
        <v>11</v>
      </c>
      <c r="U102" s="42"/>
      <c r="V102" s="42"/>
      <c r="W102" s="42"/>
      <c r="X102" s="42"/>
      <c r="Y102" s="42"/>
      <c r="Z102" s="42"/>
      <c r="AA102" s="42"/>
      <c r="AB102" s="42">
        <v>12</v>
      </c>
      <c r="AC102" s="42">
        <f t="shared" si="1"/>
        <v>352</v>
      </c>
    </row>
    <row r="103" spans="1:29" s="17" customFormat="1" x14ac:dyDescent="0.25">
      <c r="A103" s="42" t="s">
        <v>52</v>
      </c>
      <c r="B103" s="42"/>
      <c r="C103" s="42"/>
      <c r="D103" s="42"/>
      <c r="E103" s="42"/>
      <c r="F103" s="42"/>
      <c r="G103" s="2"/>
      <c r="H103" s="2"/>
      <c r="I103" s="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>
        <f t="shared" si="1"/>
        <v>0</v>
      </c>
    </row>
    <row r="104" spans="1:29" x14ac:dyDescent="0.25">
      <c r="A104" s="43" t="s">
        <v>216</v>
      </c>
      <c r="B104" s="43">
        <f>SUM(B2:B103)</f>
        <v>302.036</v>
      </c>
      <c r="C104" s="43">
        <f t="shared" ref="C104:AB104" si="2">SUM(C2:C103)</f>
        <v>393.7</v>
      </c>
      <c r="D104" s="43">
        <f t="shared" si="2"/>
        <v>508.25400000000002</v>
      </c>
      <c r="E104" s="43">
        <f t="shared" si="2"/>
        <v>650.05700000000002</v>
      </c>
      <c r="F104" s="43">
        <f t="shared" si="2"/>
        <v>2804.58</v>
      </c>
      <c r="G104" s="43">
        <f t="shared" si="2"/>
        <v>1968.693</v>
      </c>
      <c r="H104" s="43">
        <f t="shared" si="2"/>
        <v>484.92</v>
      </c>
      <c r="I104" s="79">
        <f t="shared" si="2"/>
        <v>2557.8620000000001</v>
      </c>
      <c r="J104" s="43">
        <f>SUM(J2:J103)</f>
        <v>1246.675</v>
      </c>
      <c r="K104" s="43">
        <f t="shared" si="2"/>
        <v>475.36199999999997</v>
      </c>
      <c r="L104" s="43">
        <f t="shared" si="2"/>
        <v>487.54399999999998</v>
      </c>
      <c r="M104" s="43">
        <f t="shared" si="2"/>
        <v>729.45</v>
      </c>
      <c r="N104" s="43">
        <f t="shared" si="2"/>
        <v>346.72</v>
      </c>
      <c r="O104" s="43">
        <f t="shared" si="2"/>
        <v>337.63</v>
      </c>
      <c r="P104" s="43">
        <f t="shared" si="2"/>
        <v>658.01</v>
      </c>
      <c r="Q104" s="43">
        <f t="shared" si="2"/>
        <v>146.09799999999998</v>
      </c>
      <c r="R104" s="43">
        <f t="shared" si="2"/>
        <v>88.149999999999991</v>
      </c>
      <c r="S104" s="43">
        <f t="shared" si="2"/>
        <v>35.49</v>
      </c>
      <c r="T104" s="43">
        <f t="shared" si="2"/>
        <v>97.489999999999981</v>
      </c>
      <c r="U104" s="43">
        <f t="shared" si="2"/>
        <v>42.607999999999997</v>
      </c>
      <c r="V104" s="43">
        <f t="shared" si="2"/>
        <v>38.213000000000001</v>
      </c>
      <c r="W104" s="43">
        <f t="shared" si="2"/>
        <v>116.14100000000001</v>
      </c>
      <c r="X104" s="43">
        <f t="shared" si="2"/>
        <v>144.035</v>
      </c>
      <c r="Y104" s="43">
        <f t="shared" si="2"/>
        <v>23.971999999999998</v>
      </c>
      <c r="Z104" s="43">
        <f t="shared" si="2"/>
        <v>45.12</v>
      </c>
      <c r="AA104" s="43">
        <f t="shared" si="2"/>
        <v>72.569000000000003</v>
      </c>
      <c r="AB104" s="43">
        <f t="shared" si="2"/>
        <v>95.71</v>
      </c>
      <c r="AC104" s="78">
        <f>SUM(B104:AB104)</f>
        <v>14897.088999999996</v>
      </c>
    </row>
    <row r="105" spans="1:29" x14ac:dyDescent="0.25">
      <c r="A105" s="43" t="s">
        <v>94</v>
      </c>
      <c r="B105" s="43"/>
      <c r="C105" s="43"/>
      <c r="D105" s="43"/>
      <c r="E105" s="43"/>
      <c r="F105" s="43"/>
      <c r="G105" s="43">
        <v>0</v>
      </c>
      <c r="H105" s="43">
        <v>0</v>
      </c>
      <c r="I105" s="79">
        <v>435.02</v>
      </c>
      <c r="J105" s="43"/>
      <c r="K105" s="43"/>
      <c r="L105" s="43"/>
      <c r="M105" s="43">
        <v>18.55</v>
      </c>
      <c r="N105" s="43">
        <v>5.84</v>
      </c>
      <c r="O105" s="43">
        <v>8.9</v>
      </c>
      <c r="P105" s="43">
        <v>9</v>
      </c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>
        <v>17.899999999999999</v>
      </c>
      <c r="AC105" s="43"/>
    </row>
  </sheetData>
  <customSheetViews>
    <customSheetView guid="{DA8006FA-F549-4B7E-8C3D-B376CE1F2F3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  <customSheetView guid="{F0DA5CBD-521B-45E5-999C-010E89D9B2D8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5F1CCD53-A6B6-4801-9001-0C0BEBA8D20D}" showAutoFilter="1" topLeftCell="A67">
      <selection activeCell="I1" sqref="I1:I1048576"/>
      <pageMargins left="0.7" right="0.7" top="0.75" bottom="0.75" header="0.3" footer="0.3"/>
      <autoFilter ref="A1:AM105"/>
    </customSheetView>
    <customSheetView guid="{D364304B-E18C-453B-A624-DE6197120D49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BDA34D52-B4BA-426C-853B-2B50F8AB0C7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  <customSheetView guid="{C66BF055-7613-4DC3-BA99-25F44C751266}" showAutoFilter="1" topLeftCell="A85">
      <selection activeCell="J105" sqref="J105"/>
      <pageMargins left="0.7" right="0.7" top="0.75" bottom="0.75" header="0.3" footer="0.3"/>
      <autoFilter ref="A1:AM105"/>
    </customSheetView>
    <customSheetView guid="{7A751D0E-E1DB-4CA9-844E-987730CC2DF7}">
      <pane xSplit="1" ySplit="1" topLeftCell="J2" activePane="bottomRight" state="frozen"/>
      <selection pane="bottomRight" activeCell="J1" sqref="J1:AC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9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24" bestFit="1" customWidth="1"/>
    <col min="2" max="2" width="13.140625" style="17" customWidth="1"/>
    <col min="3" max="3" width="8.28515625" style="17" customWidth="1"/>
    <col min="4" max="4" width="9.42578125" customWidth="1"/>
    <col min="5" max="5" width="9" customWidth="1"/>
    <col min="6" max="6" width="8.5703125" customWidth="1"/>
    <col min="7" max="8" width="10" customWidth="1"/>
    <col min="9" max="9" width="10" style="4" customWidth="1"/>
    <col min="10" max="19" width="10" customWidth="1"/>
    <col min="20" max="21" width="10" style="4" customWidth="1"/>
    <col min="22" max="24" width="10" customWidth="1"/>
  </cols>
  <sheetData>
    <row r="1" spans="1:35" ht="30" x14ac:dyDescent="0.25">
      <c r="A1" s="80" t="s">
        <v>0</v>
      </c>
      <c r="B1" s="88" t="s">
        <v>283</v>
      </c>
      <c r="C1" s="88" t="s">
        <v>83</v>
      </c>
      <c r="D1" s="81" t="s">
        <v>284</v>
      </c>
      <c r="E1" s="81" t="s">
        <v>259</v>
      </c>
      <c r="F1" s="81" t="s">
        <v>274</v>
      </c>
      <c r="G1" s="81" t="s">
        <v>275</v>
      </c>
      <c r="H1" s="81" t="s">
        <v>260</v>
      </c>
      <c r="I1" s="81" t="s">
        <v>276</v>
      </c>
      <c r="J1" s="81" t="s">
        <v>277</v>
      </c>
      <c r="K1" s="81" t="s">
        <v>261</v>
      </c>
      <c r="L1" s="81" t="s">
        <v>278</v>
      </c>
      <c r="M1" s="81" t="s">
        <v>279</v>
      </c>
      <c r="N1" s="81" t="s">
        <v>262</v>
      </c>
      <c r="O1" s="81" t="s">
        <v>263</v>
      </c>
      <c r="P1" s="81" t="s">
        <v>264</v>
      </c>
      <c r="Q1" s="81" t="s">
        <v>265</v>
      </c>
      <c r="R1" s="81" t="s">
        <v>266</v>
      </c>
      <c r="S1" s="81" t="s">
        <v>267</v>
      </c>
      <c r="T1" s="81" t="s">
        <v>280</v>
      </c>
      <c r="U1" s="81" t="s">
        <v>281</v>
      </c>
      <c r="V1" s="81" t="s">
        <v>282</v>
      </c>
      <c r="W1" s="81" t="s">
        <v>272</v>
      </c>
      <c r="X1" s="81" t="s">
        <v>216</v>
      </c>
      <c r="AB1" s="67"/>
      <c r="AC1" s="76" t="s">
        <v>3</v>
      </c>
      <c r="AD1" s="77"/>
      <c r="AE1" s="68"/>
      <c r="AF1" s="68"/>
      <c r="AG1" s="68"/>
      <c r="AH1" s="68"/>
      <c r="AI1" s="69"/>
    </row>
    <row r="2" spans="1:35" x14ac:dyDescent="0.25">
      <c r="A2" s="82" t="s">
        <v>172</v>
      </c>
      <c r="B2" s="82">
        <v>27</v>
      </c>
      <c r="C2" s="82"/>
      <c r="D2" s="83"/>
      <c r="E2" s="83"/>
      <c r="F2" s="83"/>
      <c r="G2" s="83"/>
      <c r="H2" s="83"/>
      <c r="I2" s="7"/>
      <c r="J2" s="83"/>
      <c r="K2" s="83"/>
      <c r="L2" s="83"/>
      <c r="M2" s="83"/>
      <c r="N2" s="83">
        <v>164.15300000000002</v>
      </c>
      <c r="O2" s="83"/>
      <c r="P2" s="83"/>
      <c r="Q2" s="83"/>
      <c r="R2" s="83"/>
      <c r="S2" s="83"/>
      <c r="T2" s="7"/>
      <c r="U2" s="7"/>
      <c r="V2" s="83"/>
      <c r="W2" s="83"/>
      <c r="X2" s="83">
        <f t="shared" ref="X2:X33" si="0">SUM(B2:W2)</f>
        <v>191.15300000000002</v>
      </c>
      <c r="AB2" s="70"/>
      <c r="AC2" s="53" t="s">
        <v>5</v>
      </c>
      <c r="AD2" s="53" t="s">
        <v>6</v>
      </c>
      <c r="AE2" s="53" t="s">
        <v>119</v>
      </c>
      <c r="AF2" s="53" t="s">
        <v>7</v>
      </c>
      <c r="AG2" s="53" t="s">
        <v>74</v>
      </c>
      <c r="AH2" s="53" t="s">
        <v>103</v>
      </c>
      <c r="AI2" s="55" t="s">
        <v>8</v>
      </c>
    </row>
    <row r="3" spans="1:35" x14ac:dyDescent="0.25">
      <c r="A3" s="82" t="s">
        <v>128</v>
      </c>
      <c r="B3" s="82"/>
      <c r="C3" s="82"/>
      <c r="D3" s="83"/>
      <c r="E3" s="83"/>
      <c r="F3" s="83"/>
      <c r="G3" s="83"/>
      <c r="H3" s="83"/>
      <c r="I3" s="7">
        <v>109.47</v>
      </c>
      <c r="J3" s="83"/>
      <c r="K3" s="83">
        <v>101.13199999999999</v>
      </c>
      <c r="L3" s="83"/>
      <c r="M3" s="83"/>
      <c r="N3" s="83"/>
      <c r="O3" s="83"/>
      <c r="P3" s="83"/>
      <c r="Q3" s="83"/>
      <c r="R3" s="83"/>
      <c r="S3" s="83"/>
      <c r="T3" s="7"/>
      <c r="U3" s="7"/>
      <c r="V3" s="83"/>
      <c r="W3" s="83">
        <v>2.5</v>
      </c>
      <c r="X3" s="83">
        <f t="shared" si="0"/>
        <v>213.10199999999998</v>
      </c>
      <c r="AB3" s="70" t="s">
        <v>249</v>
      </c>
      <c r="AC3" s="66" t="s">
        <v>71</v>
      </c>
      <c r="AD3" s="66" t="s">
        <v>71</v>
      </c>
      <c r="AE3" s="66" t="s">
        <v>71</v>
      </c>
      <c r="AF3" s="66" t="s">
        <v>71</v>
      </c>
      <c r="AG3" s="66" t="s">
        <v>71</v>
      </c>
      <c r="AH3" s="66" t="s">
        <v>71</v>
      </c>
      <c r="AI3" s="71" t="s">
        <v>285</v>
      </c>
    </row>
    <row r="4" spans="1:35" ht="15.75" thickBot="1" x14ac:dyDescent="0.3">
      <c r="A4" s="82" t="s">
        <v>134</v>
      </c>
      <c r="B4" s="82">
        <v>36.5</v>
      </c>
      <c r="C4" s="82"/>
      <c r="D4" s="83"/>
      <c r="E4" s="83">
        <v>142.095</v>
      </c>
      <c r="F4" s="83"/>
      <c r="G4" s="83"/>
      <c r="H4" s="83"/>
      <c r="I4" s="7"/>
      <c r="J4" s="83"/>
      <c r="K4" s="83"/>
      <c r="L4" s="83"/>
      <c r="M4" s="83"/>
      <c r="N4" s="83"/>
      <c r="O4" s="83"/>
      <c r="P4" s="83"/>
      <c r="Q4" s="83"/>
      <c r="R4" s="83"/>
      <c r="S4" s="83"/>
      <c r="T4" s="7"/>
      <c r="U4" s="7"/>
      <c r="V4" s="83"/>
      <c r="W4" s="83">
        <v>14.75</v>
      </c>
      <c r="X4" s="83">
        <f t="shared" si="0"/>
        <v>193.345</v>
      </c>
      <c r="AB4" s="72" t="s">
        <v>250</v>
      </c>
      <c r="AC4" s="74" t="s">
        <v>71</v>
      </c>
      <c r="AD4" s="74" t="s">
        <v>71</v>
      </c>
      <c r="AE4" s="74" t="s">
        <v>71</v>
      </c>
      <c r="AF4" s="74" t="s">
        <v>71</v>
      </c>
      <c r="AG4" s="74" t="s">
        <v>71</v>
      </c>
      <c r="AH4" s="74"/>
      <c r="AI4" s="75" t="s">
        <v>71</v>
      </c>
    </row>
    <row r="5" spans="1:35" x14ac:dyDescent="0.25">
      <c r="A5" s="82" t="s">
        <v>139</v>
      </c>
      <c r="B5" s="82">
        <v>38</v>
      </c>
      <c r="C5" s="82"/>
      <c r="D5" s="83">
        <v>17.95</v>
      </c>
      <c r="E5" s="83">
        <v>111.03399999999998</v>
      </c>
      <c r="F5" s="83"/>
      <c r="G5" s="83"/>
      <c r="H5" s="83"/>
      <c r="I5" s="7"/>
      <c r="J5" s="83"/>
      <c r="K5" s="83"/>
      <c r="L5" s="83"/>
      <c r="M5" s="83"/>
      <c r="N5" s="83"/>
      <c r="O5" s="83"/>
      <c r="P5" s="83"/>
      <c r="Q5" s="83"/>
      <c r="R5" s="83"/>
      <c r="S5" s="83"/>
      <c r="T5" s="7"/>
      <c r="U5" s="7"/>
      <c r="V5" s="83"/>
      <c r="W5" s="83">
        <v>5.33</v>
      </c>
      <c r="X5" s="83">
        <f t="shared" si="0"/>
        <v>172.31399999999999</v>
      </c>
    </row>
    <row r="6" spans="1:35" x14ac:dyDescent="0.25">
      <c r="A6" s="82" t="s">
        <v>122</v>
      </c>
      <c r="B6" s="82">
        <v>71.400000000000006</v>
      </c>
      <c r="C6" s="82"/>
      <c r="D6" s="83"/>
      <c r="E6" s="83"/>
      <c r="F6" s="83"/>
      <c r="G6" s="83"/>
      <c r="H6" s="83"/>
      <c r="I6" s="7"/>
      <c r="J6" s="83"/>
      <c r="K6" s="83"/>
      <c r="L6" s="83"/>
      <c r="M6" s="83"/>
      <c r="N6" s="83"/>
      <c r="O6" s="83"/>
      <c r="P6" s="83"/>
      <c r="Q6" s="83"/>
      <c r="R6" s="83">
        <v>164.66100000000006</v>
      </c>
      <c r="S6" s="83"/>
      <c r="T6" s="7"/>
      <c r="U6" s="7"/>
      <c r="V6" s="83"/>
      <c r="W6" s="83">
        <v>13</v>
      </c>
      <c r="X6" s="83">
        <f t="shared" si="0"/>
        <v>249.06100000000006</v>
      </c>
    </row>
    <row r="7" spans="1:35" x14ac:dyDescent="0.25">
      <c r="A7" s="82" t="s">
        <v>217</v>
      </c>
      <c r="B7" s="82"/>
      <c r="C7" s="82"/>
      <c r="D7" s="83"/>
      <c r="E7" s="83">
        <v>91.364000000000004</v>
      </c>
      <c r="F7" s="83"/>
      <c r="G7" s="83"/>
      <c r="H7" s="83"/>
      <c r="I7" s="7"/>
      <c r="J7" s="83"/>
      <c r="K7" s="83"/>
      <c r="L7" s="83"/>
      <c r="M7" s="83"/>
      <c r="N7" s="83"/>
      <c r="O7" s="83"/>
      <c r="P7" s="83"/>
      <c r="Q7" s="83"/>
      <c r="R7" s="83"/>
      <c r="S7" s="83"/>
      <c r="T7" s="7"/>
      <c r="U7" s="7"/>
      <c r="V7" s="83"/>
      <c r="W7" s="83">
        <v>6.5</v>
      </c>
      <c r="X7" s="83">
        <f t="shared" si="0"/>
        <v>97.864000000000004</v>
      </c>
    </row>
    <row r="8" spans="1:35" s="17" customFormat="1" x14ac:dyDescent="0.25">
      <c r="A8" s="82" t="s">
        <v>150</v>
      </c>
      <c r="B8" s="82"/>
      <c r="C8" s="82"/>
      <c r="D8" s="83"/>
      <c r="E8" s="83"/>
      <c r="F8" s="83"/>
      <c r="G8" s="83"/>
      <c r="H8" s="83"/>
      <c r="I8" s="7"/>
      <c r="J8" s="83"/>
      <c r="K8" s="83"/>
      <c r="L8" s="83"/>
      <c r="M8" s="83"/>
      <c r="N8" s="83"/>
      <c r="O8" s="83"/>
      <c r="P8" s="83"/>
      <c r="Q8" s="83"/>
      <c r="R8" s="83"/>
      <c r="S8" s="83"/>
      <c r="T8" s="7"/>
      <c r="U8" s="7"/>
      <c r="V8" s="83"/>
      <c r="W8" s="83"/>
      <c r="X8" s="83">
        <f t="shared" si="0"/>
        <v>0</v>
      </c>
    </row>
    <row r="9" spans="1:35" x14ac:dyDescent="0.25">
      <c r="A9" s="82" t="s">
        <v>125</v>
      </c>
      <c r="B9" s="82"/>
      <c r="C9" s="82"/>
      <c r="D9" s="89">
        <v>50.17</v>
      </c>
      <c r="E9" s="83"/>
      <c r="F9" s="83"/>
      <c r="G9" s="83"/>
      <c r="H9" s="83"/>
      <c r="I9" s="7"/>
      <c r="J9" s="83"/>
      <c r="K9" s="83"/>
      <c r="L9" s="83"/>
      <c r="M9" s="83"/>
      <c r="N9" s="83"/>
      <c r="O9" s="83"/>
      <c r="P9" s="83"/>
      <c r="Q9" s="83"/>
      <c r="R9" s="83"/>
      <c r="S9" s="83"/>
      <c r="T9" s="7"/>
      <c r="U9" s="7"/>
      <c r="V9" s="83"/>
      <c r="W9" s="83">
        <v>12</v>
      </c>
      <c r="X9" s="83">
        <f t="shared" si="0"/>
        <v>62.17</v>
      </c>
    </row>
    <row r="10" spans="1:35" x14ac:dyDescent="0.25">
      <c r="A10" s="82" t="s">
        <v>158</v>
      </c>
      <c r="B10" s="82">
        <v>7.3</v>
      </c>
      <c r="C10" s="82"/>
      <c r="D10" s="83"/>
      <c r="E10" s="83"/>
      <c r="F10" s="83"/>
      <c r="G10" s="83"/>
      <c r="H10" s="83"/>
      <c r="I10" s="7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7"/>
      <c r="U10" s="7"/>
      <c r="V10" s="83"/>
      <c r="W10" s="83">
        <v>12</v>
      </c>
      <c r="X10" s="83">
        <f t="shared" si="0"/>
        <v>19.3</v>
      </c>
    </row>
    <row r="11" spans="1:35" x14ac:dyDescent="0.25">
      <c r="A11" s="82" t="s">
        <v>189</v>
      </c>
      <c r="B11" s="82"/>
      <c r="C11" s="82"/>
      <c r="D11" s="83"/>
      <c r="E11" s="83"/>
      <c r="F11" s="83"/>
      <c r="G11" s="83"/>
      <c r="H11" s="83"/>
      <c r="I11" s="7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7"/>
      <c r="U11" s="7">
        <v>172.03</v>
      </c>
      <c r="V11" s="83"/>
      <c r="W11" s="83">
        <v>25</v>
      </c>
      <c r="X11" s="83">
        <f t="shared" si="0"/>
        <v>197.03</v>
      </c>
    </row>
    <row r="12" spans="1:35" x14ac:dyDescent="0.25">
      <c r="A12" s="82" t="s">
        <v>185</v>
      </c>
      <c r="B12" s="82"/>
      <c r="C12" s="82"/>
      <c r="D12" s="83"/>
      <c r="E12" s="83"/>
      <c r="F12" s="83"/>
      <c r="G12" s="83"/>
      <c r="H12" s="83"/>
      <c r="I12" s="7"/>
      <c r="J12" s="83"/>
      <c r="K12" s="83"/>
      <c r="L12" s="83">
        <v>34.125</v>
      </c>
      <c r="M12" s="83"/>
      <c r="N12" s="83"/>
      <c r="O12" s="83">
        <v>149.63</v>
      </c>
      <c r="P12" s="83"/>
      <c r="Q12" s="83"/>
      <c r="R12" s="83"/>
      <c r="S12" s="83"/>
      <c r="T12" s="7"/>
      <c r="U12" s="7"/>
      <c r="V12" s="83"/>
      <c r="W12" s="83">
        <v>1.4966666666666668</v>
      </c>
      <c r="X12" s="83">
        <f t="shared" si="0"/>
        <v>185.25166666666667</v>
      </c>
    </row>
    <row r="13" spans="1:35" x14ac:dyDescent="0.25">
      <c r="A13" s="82" t="s">
        <v>149</v>
      </c>
      <c r="B13" s="82"/>
      <c r="C13" s="82"/>
      <c r="D13" s="83"/>
      <c r="E13" s="83">
        <v>100</v>
      </c>
      <c r="F13" s="83"/>
      <c r="G13" s="83"/>
      <c r="H13" s="83"/>
      <c r="I13" s="7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7"/>
      <c r="U13" s="7"/>
      <c r="V13" s="83"/>
      <c r="W13" s="83">
        <v>15.5</v>
      </c>
      <c r="X13" s="83">
        <f t="shared" si="0"/>
        <v>115.5</v>
      </c>
    </row>
    <row r="14" spans="1:35" x14ac:dyDescent="0.25">
      <c r="A14" s="82" t="s">
        <v>197</v>
      </c>
      <c r="B14" s="82">
        <v>26.6</v>
      </c>
      <c r="C14" s="82"/>
      <c r="D14" s="83">
        <v>71.617999999999995</v>
      </c>
      <c r="E14" s="83">
        <v>20</v>
      </c>
      <c r="F14" s="83">
        <v>18.494</v>
      </c>
      <c r="G14" s="83"/>
      <c r="H14" s="83"/>
      <c r="I14" s="7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7"/>
      <c r="U14" s="7"/>
      <c r="V14" s="83"/>
      <c r="W14" s="83">
        <v>1.75</v>
      </c>
      <c r="X14" s="83">
        <f t="shared" si="0"/>
        <v>138.46199999999999</v>
      </c>
    </row>
    <row r="15" spans="1:35" x14ac:dyDescent="0.25">
      <c r="A15" s="82" t="s">
        <v>198</v>
      </c>
      <c r="B15" s="82">
        <v>3</v>
      </c>
      <c r="C15" s="82"/>
      <c r="D15" s="83">
        <v>16.972999999999999</v>
      </c>
      <c r="E15" s="83">
        <v>137.63</v>
      </c>
      <c r="F15" s="83"/>
      <c r="G15" s="83"/>
      <c r="H15" s="83"/>
      <c r="I15" s="7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7"/>
      <c r="U15" s="7"/>
      <c r="V15" s="83"/>
      <c r="W15" s="83">
        <v>7.08</v>
      </c>
      <c r="X15" s="83">
        <f t="shared" si="0"/>
        <v>164.68300000000002</v>
      </c>
    </row>
    <row r="16" spans="1:35" x14ac:dyDescent="0.25">
      <c r="A16" s="82" t="s">
        <v>147</v>
      </c>
      <c r="B16" s="82"/>
      <c r="C16" s="82"/>
      <c r="D16" s="83"/>
      <c r="E16" s="83"/>
      <c r="F16" s="83"/>
      <c r="G16" s="83"/>
      <c r="H16" s="83"/>
      <c r="I16" s="7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7">
        <v>35.010000000000005</v>
      </c>
      <c r="U16" s="7"/>
      <c r="V16" s="83"/>
      <c r="W16" s="83">
        <v>4</v>
      </c>
      <c r="X16" s="83">
        <f t="shared" si="0"/>
        <v>39.010000000000005</v>
      </c>
    </row>
    <row r="17" spans="1:24" x14ac:dyDescent="0.25">
      <c r="A17" s="82" t="s">
        <v>142</v>
      </c>
      <c r="B17" s="82"/>
      <c r="C17" s="82"/>
      <c r="D17" s="83"/>
      <c r="E17" s="83"/>
      <c r="F17" s="83"/>
      <c r="G17" s="83"/>
      <c r="H17" s="83"/>
      <c r="I17" s="7">
        <v>106.35</v>
      </c>
      <c r="J17" s="83"/>
      <c r="K17" s="83"/>
      <c r="L17" s="83"/>
      <c r="M17" s="83"/>
      <c r="N17" s="83"/>
      <c r="O17" s="83"/>
      <c r="P17" s="83"/>
      <c r="Q17" s="83">
        <v>34.700000000000003</v>
      </c>
      <c r="R17" s="83"/>
      <c r="S17" s="83"/>
      <c r="T17" s="7"/>
      <c r="U17" s="7">
        <v>85.31</v>
      </c>
      <c r="V17" s="83"/>
      <c r="W17" s="83">
        <v>13</v>
      </c>
      <c r="X17" s="83">
        <f t="shared" si="0"/>
        <v>239.36</v>
      </c>
    </row>
    <row r="18" spans="1:24" x14ac:dyDescent="0.25">
      <c r="A18" s="82" t="s">
        <v>273</v>
      </c>
      <c r="B18" s="82">
        <v>2.2999999999999998</v>
      </c>
      <c r="C18" s="82"/>
      <c r="D18" s="83"/>
      <c r="E18" s="83"/>
      <c r="F18" s="83"/>
      <c r="G18" s="83"/>
      <c r="H18" s="83"/>
      <c r="I18" s="7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7">
        <v>16.829999999999998</v>
      </c>
      <c r="U18" s="7"/>
      <c r="V18" s="83"/>
      <c r="W18" s="83">
        <v>9</v>
      </c>
      <c r="X18" s="83">
        <f t="shared" si="0"/>
        <v>28.13</v>
      </c>
    </row>
    <row r="19" spans="1:24" x14ac:dyDescent="0.25">
      <c r="A19" s="82" t="s">
        <v>218</v>
      </c>
      <c r="B19" s="82">
        <v>21.5</v>
      </c>
      <c r="C19" s="82"/>
      <c r="D19" s="83">
        <v>72.284999999999997</v>
      </c>
      <c r="E19" s="83"/>
      <c r="F19" s="83"/>
      <c r="G19" s="83"/>
      <c r="H19" s="83"/>
      <c r="I19" s="7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7"/>
      <c r="U19" s="7"/>
      <c r="V19" s="83"/>
      <c r="W19" s="83">
        <v>28.5</v>
      </c>
      <c r="X19" s="83">
        <f t="shared" si="0"/>
        <v>122.285</v>
      </c>
    </row>
    <row r="20" spans="1:24" x14ac:dyDescent="0.25">
      <c r="A20" s="82" t="s">
        <v>156</v>
      </c>
      <c r="B20" s="82"/>
      <c r="C20" s="82"/>
      <c r="D20" s="83"/>
      <c r="E20" s="83">
        <v>80.341999999999999</v>
      </c>
      <c r="F20" s="83"/>
      <c r="G20" s="83"/>
      <c r="H20" s="83"/>
      <c r="I20" s="7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7"/>
      <c r="U20" s="7"/>
      <c r="V20" s="83"/>
      <c r="W20" s="83">
        <v>0.67</v>
      </c>
      <c r="X20" s="83">
        <f t="shared" si="0"/>
        <v>81.012</v>
      </c>
    </row>
    <row r="21" spans="1:24" x14ac:dyDescent="0.25">
      <c r="A21" s="82" t="s">
        <v>171</v>
      </c>
      <c r="B21" s="82"/>
      <c r="C21" s="82"/>
      <c r="D21" s="83">
        <v>188.58</v>
      </c>
      <c r="E21" s="83"/>
      <c r="F21" s="83"/>
      <c r="G21" s="83"/>
      <c r="H21" s="83"/>
      <c r="I21" s="7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7"/>
      <c r="U21" s="7"/>
      <c r="V21" s="83"/>
      <c r="W21" s="83">
        <v>7.25</v>
      </c>
      <c r="X21" s="83">
        <f t="shared" si="0"/>
        <v>195.83</v>
      </c>
    </row>
    <row r="22" spans="1:24" x14ac:dyDescent="0.25">
      <c r="A22" s="82" t="s">
        <v>176</v>
      </c>
      <c r="B22" s="82"/>
      <c r="C22" s="82"/>
      <c r="D22" s="83"/>
      <c r="E22" s="83"/>
      <c r="F22" s="83"/>
      <c r="G22" s="83"/>
      <c r="H22" s="83"/>
      <c r="I22" s="7">
        <v>195.64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7"/>
      <c r="U22" s="7"/>
      <c r="V22" s="83"/>
      <c r="W22" s="83">
        <v>20.5</v>
      </c>
      <c r="X22" s="83">
        <f t="shared" si="0"/>
        <v>216.14</v>
      </c>
    </row>
    <row r="23" spans="1:24" x14ac:dyDescent="0.25">
      <c r="A23" s="82" t="s">
        <v>114</v>
      </c>
      <c r="B23" s="82"/>
      <c r="C23" s="82"/>
      <c r="D23" s="83">
        <v>16.009</v>
      </c>
      <c r="E23" s="83">
        <v>10.077999999999999</v>
      </c>
      <c r="F23" s="83">
        <v>43.08</v>
      </c>
      <c r="G23" s="83"/>
      <c r="H23" s="83"/>
      <c r="I23" s="7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7"/>
      <c r="U23" s="7"/>
      <c r="V23" s="83"/>
      <c r="W23" s="83">
        <v>6.5</v>
      </c>
      <c r="X23" s="83">
        <f t="shared" si="0"/>
        <v>75.667000000000002</v>
      </c>
    </row>
    <row r="24" spans="1:24" x14ac:dyDescent="0.25">
      <c r="A24" s="82" t="s">
        <v>183</v>
      </c>
      <c r="B24" s="82"/>
      <c r="C24" s="82"/>
      <c r="D24" s="83">
        <v>49.549000000000007</v>
      </c>
      <c r="E24" s="83"/>
      <c r="F24" s="83">
        <v>38.144999999999996</v>
      </c>
      <c r="G24" s="83"/>
      <c r="H24" s="83"/>
      <c r="I24" s="7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7"/>
      <c r="U24" s="7"/>
      <c r="V24" s="83"/>
      <c r="W24" s="83"/>
      <c r="X24" s="83">
        <f t="shared" si="0"/>
        <v>87.694000000000003</v>
      </c>
    </row>
    <row r="25" spans="1:24" x14ac:dyDescent="0.25">
      <c r="A25" s="82" t="s">
        <v>135</v>
      </c>
      <c r="B25" s="82"/>
      <c r="C25" s="82"/>
      <c r="D25" s="83"/>
      <c r="E25" s="83"/>
      <c r="F25" s="83"/>
      <c r="G25" s="83"/>
      <c r="H25" s="83"/>
      <c r="I25" s="7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7">
        <v>171.29999999999998</v>
      </c>
      <c r="U25" s="7"/>
      <c r="V25" s="83"/>
      <c r="W25" s="83">
        <v>19.170000000000002</v>
      </c>
      <c r="X25" s="83">
        <f t="shared" si="0"/>
        <v>190.46999999999997</v>
      </c>
    </row>
    <row r="26" spans="1:24" x14ac:dyDescent="0.25">
      <c r="A26" s="82" t="s">
        <v>180</v>
      </c>
      <c r="B26" s="82"/>
      <c r="C26" s="82"/>
      <c r="D26" s="83"/>
      <c r="E26" s="83"/>
      <c r="F26" s="83"/>
      <c r="G26" s="83"/>
      <c r="H26" s="83"/>
      <c r="I26" s="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7">
        <v>164.91</v>
      </c>
      <c r="U26" s="7"/>
      <c r="V26" s="83"/>
      <c r="W26" s="83">
        <v>23</v>
      </c>
      <c r="X26" s="83">
        <f t="shared" si="0"/>
        <v>187.91</v>
      </c>
    </row>
    <row r="27" spans="1:24" x14ac:dyDescent="0.25">
      <c r="A27" s="82" t="s">
        <v>123</v>
      </c>
      <c r="B27" s="82"/>
      <c r="C27" s="82"/>
      <c r="D27" s="83">
        <v>15.545</v>
      </c>
      <c r="E27" s="83">
        <v>130.851</v>
      </c>
      <c r="F27" s="83"/>
      <c r="G27" s="83"/>
      <c r="H27" s="83"/>
      <c r="I27" s="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7"/>
      <c r="U27" s="7"/>
      <c r="V27" s="83"/>
      <c r="W27" s="83">
        <v>8.42</v>
      </c>
      <c r="X27" s="83">
        <f t="shared" si="0"/>
        <v>154.81599999999997</v>
      </c>
    </row>
    <row r="28" spans="1:24" x14ac:dyDescent="0.25">
      <c r="A28" s="82" t="s">
        <v>151</v>
      </c>
      <c r="B28" s="82"/>
      <c r="C28" s="82"/>
      <c r="D28" s="83">
        <v>38.664000000000001</v>
      </c>
      <c r="E28" s="83"/>
      <c r="F28" s="83">
        <v>126</v>
      </c>
      <c r="G28" s="83"/>
      <c r="H28" s="83"/>
      <c r="I28" s="7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7"/>
      <c r="U28" s="7"/>
      <c r="V28" s="83"/>
      <c r="W28" s="83">
        <v>14.75</v>
      </c>
      <c r="X28" s="83">
        <f t="shared" si="0"/>
        <v>179.41399999999999</v>
      </c>
    </row>
    <row r="29" spans="1:24" x14ac:dyDescent="0.25">
      <c r="A29" s="82" t="s">
        <v>168</v>
      </c>
      <c r="B29" s="82"/>
      <c r="C29" s="82"/>
      <c r="D29" s="83"/>
      <c r="E29" s="83"/>
      <c r="F29" s="83"/>
      <c r="G29" s="83"/>
      <c r="H29" s="83"/>
      <c r="I29" s="7"/>
      <c r="J29" s="83"/>
      <c r="K29" s="83"/>
      <c r="L29" s="83"/>
      <c r="M29" s="83">
        <f>153.733+29+10</f>
        <v>192.733</v>
      </c>
      <c r="N29" s="83"/>
      <c r="O29" s="83"/>
      <c r="P29" s="83"/>
      <c r="Q29" s="83"/>
      <c r="R29" s="83"/>
      <c r="S29" s="83"/>
      <c r="T29" s="7"/>
      <c r="U29" s="7"/>
      <c r="V29" s="83"/>
      <c r="W29" s="83"/>
      <c r="X29" s="83">
        <f t="shared" si="0"/>
        <v>192.733</v>
      </c>
    </row>
    <row r="30" spans="1:24" x14ac:dyDescent="0.25">
      <c r="A30" s="82" t="s">
        <v>173</v>
      </c>
      <c r="B30" s="82"/>
      <c r="C30" s="82"/>
      <c r="D30" s="83"/>
      <c r="E30" s="83"/>
      <c r="F30" s="83"/>
      <c r="G30" s="83"/>
      <c r="H30" s="83"/>
      <c r="I30" s="7"/>
      <c r="J30" s="83"/>
      <c r="K30" s="83"/>
      <c r="L30" s="83">
        <v>188.33100000000005</v>
      </c>
      <c r="M30" s="83"/>
      <c r="N30" s="83"/>
      <c r="O30" s="83"/>
      <c r="P30" s="83"/>
      <c r="Q30" s="83"/>
      <c r="R30" s="83"/>
      <c r="S30" s="83"/>
      <c r="T30" s="7"/>
      <c r="U30" s="7"/>
      <c r="V30" s="83"/>
      <c r="W30" s="83">
        <v>4.67</v>
      </c>
      <c r="X30" s="83">
        <f t="shared" si="0"/>
        <v>193.00100000000003</v>
      </c>
    </row>
    <row r="31" spans="1:24" x14ac:dyDescent="0.25">
      <c r="A31" s="82" t="s">
        <v>182</v>
      </c>
      <c r="B31" s="82"/>
      <c r="C31" s="82"/>
      <c r="D31" s="83"/>
      <c r="E31" s="83"/>
      <c r="F31" s="83"/>
      <c r="G31" s="83"/>
      <c r="H31" s="83"/>
      <c r="I31" s="7"/>
      <c r="J31" s="83"/>
      <c r="K31" s="83"/>
      <c r="L31" s="83"/>
      <c r="M31" s="83"/>
      <c r="N31" s="83"/>
      <c r="O31" s="83"/>
      <c r="P31" s="83"/>
      <c r="Q31" s="83"/>
      <c r="R31" s="83"/>
      <c r="S31" s="83">
        <f>146.09+50</f>
        <v>196.09</v>
      </c>
      <c r="T31" s="7"/>
      <c r="U31" s="7"/>
      <c r="V31" s="83"/>
      <c r="W31" s="83">
        <v>14.17</v>
      </c>
      <c r="X31" s="83">
        <f t="shared" si="0"/>
        <v>210.26</v>
      </c>
    </row>
    <row r="32" spans="1:24" x14ac:dyDescent="0.25">
      <c r="A32" s="82" t="s">
        <v>201</v>
      </c>
      <c r="B32" s="82"/>
      <c r="C32" s="82"/>
      <c r="D32" s="83">
        <v>67.207999999999998</v>
      </c>
      <c r="E32" s="83"/>
      <c r="F32" s="83"/>
      <c r="G32" s="83"/>
      <c r="H32" s="83"/>
      <c r="I32" s="7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7"/>
      <c r="U32" s="7"/>
      <c r="V32" s="83"/>
      <c r="W32" s="83"/>
      <c r="X32" s="83">
        <f t="shared" si="0"/>
        <v>67.207999999999998</v>
      </c>
    </row>
    <row r="33" spans="1:24" x14ac:dyDescent="0.25">
      <c r="A33" s="82" t="s">
        <v>145</v>
      </c>
      <c r="B33" s="82"/>
      <c r="C33" s="82"/>
      <c r="D33" s="83">
        <v>118.25</v>
      </c>
      <c r="E33" s="83"/>
      <c r="F33" s="83"/>
      <c r="G33" s="83"/>
      <c r="H33" s="83"/>
      <c r="I33" s="7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7"/>
      <c r="U33" s="7"/>
      <c r="V33" s="83"/>
      <c r="W33" s="83">
        <v>8.75</v>
      </c>
      <c r="X33" s="83">
        <f t="shared" si="0"/>
        <v>127</v>
      </c>
    </row>
    <row r="34" spans="1:24" x14ac:dyDescent="0.25">
      <c r="A34" s="82" t="s">
        <v>219</v>
      </c>
      <c r="B34" s="82">
        <v>8</v>
      </c>
      <c r="C34" s="82"/>
      <c r="D34" s="83"/>
      <c r="E34" s="83"/>
      <c r="F34" s="83"/>
      <c r="G34" s="83"/>
      <c r="H34" s="83"/>
      <c r="I34" s="7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7">
        <v>16.13</v>
      </c>
      <c r="U34" s="7">
        <v>15.739999999999998</v>
      </c>
      <c r="V34" s="83"/>
      <c r="W34" s="83">
        <v>10.5</v>
      </c>
      <c r="X34" s="83">
        <f t="shared" ref="X34:X65" si="1">SUM(B34:W34)</f>
        <v>50.37</v>
      </c>
    </row>
    <row r="35" spans="1:24" x14ac:dyDescent="0.25">
      <c r="A35" s="82" t="s">
        <v>196</v>
      </c>
      <c r="B35" s="82"/>
      <c r="C35" s="82"/>
      <c r="D35" s="83">
        <v>18.564</v>
      </c>
      <c r="E35" s="83">
        <v>94.926999999999992</v>
      </c>
      <c r="F35" s="83"/>
      <c r="G35" s="83"/>
      <c r="H35" s="83"/>
      <c r="I35" s="7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7"/>
      <c r="U35" s="7"/>
      <c r="V35" s="83"/>
      <c r="W35" s="83">
        <v>12</v>
      </c>
      <c r="X35" s="83">
        <f t="shared" si="1"/>
        <v>125.49099999999999</v>
      </c>
    </row>
    <row r="36" spans="1:24" x14ac:dyDescent="0.25">
      <c r="A36" s="82" t="s">
        <v>154</v>
      </c>
      <c r="B36" s="82">
        <v>13.9</v>
      </c>
      <c r="C36" s="82"/>
      <c r="D36" s="83"/>
      <c r="E36" s="83"/>
      <c r="F36" s="83"/>
      <c r="G36" s="83"/>
      <c r="H36" s="83"/>
      <c r="I36" s="7"/>
      <c r="J36" s="83"/>
      <c r="K36" s="83"/>
      <c r="L36" s="83"/>
      <c r="M36" s="83"/>
      <c r="N36" s="83"/>
      <c r="O36" s="83"/>
      <c r="P36" s="83"/>
      <c r="Q36" s="83"/>
      <c r="R36" s="83"/>
      <c r="S36" s="83">
        <v>89.06</v>
      </c>
      <c r="T36" s="7"/>
      <c r="U36" s="7"/>
      <c r="V36" s="83"/>
      <c r="W36" s="83">
        <v>15</v>
      </c>
      <c r="X36" s="83">
        <f t="shared" si="1"/>
        <v>117.96000000000001</v>
      </c>
    </row>
    <row r="37" spans="1:24" x14ac:dyDescent="0.25">
      <c r="A37" s="82" t="s">
        <v>136</v>
      </c>
      <c r="B37" s="82"/>
      <c r="C37" s="82"/>
      <c r="D37" s="83"/>
      <c r="E37" s="83"/>
      <c r="F37" s="83"/>
      <c r="G37" s="83"/>
      <c r="H37" s="83"/>
      <c r="I37" s="7"/>
      <c r="J37" s="83"/>
      <c r="K37" s="83"/>
      <c r="L37" s="83"/>
      <c r="M37" s="83"/>
      <c r="N37" s="83"/>
      <c r="O37" s="83"/>
      <c r="P37" s="83"/>
      <c r="Q37" s="83"/>
      <c r="R37" s="83">
        <v>231.97399999999996</v>
      </c>
      <c r="S37" s="83">
        <v>7.0579999999999998</v>
      </c>
      <c r="T37" s="7"/>
      <c r="U37" s="7"/>
      <c r="V37" s="83"/>
      <c r="W37" s="83">
        <v>6.59</v>
      </c>
      <c r="X37" s="83">
        <f t="shared" si="1"/>
        <v>245.62199999999996</v>
      </c>
    </row>
    <row r="38" spans="1:24" x14ac:dyDescent="0.25">
      <c r="A38" s="82" t="s">
        <v>220</v>
      </c>
      <c r="B38" s="82">
        <v>10.6</v>
      </c>
      <c r="C38" s="82"/>
      <c r="D38" s="83"/>
      <c r="E38" s="83"/>
      <c r="F38" s="83"/>
      <c r="G38" s="83"/>
      <c r="H38" s="83"/>
      <c r="I38" s="7"/>
      <c r="J38" s="83"/>
      <c r="K38" s="83"/>
      <c r="L38" s="83"/>
      <c r="M38" s="83"/>
      <c r="N38" s="83">
        <v>177.62</v>
      </c>
      <c r="O38" s="83"/>
      <c r="P38" s="83"/>
      <c r="Q38" s="83"/>
      <c r="R38" s="83"/>
      <c r="S38" s="83"/>
      <c r="T38" s="7"/>
      <c r="U38" s="7"/>
      <c r="V38" s="83"/>
      <c r="W38" s="83"/>
      <c r="X38" s="83">
        <f t="shared" si="1"/>
        <v>188.22</v>
      </c>
    </row>
    <row r="39" spans="1:24" x14ac:dyDescent="0.25">
      <c r="A39" s="82" t="s">
        <v>159</v>
      </c>
      <c r="B39" s="82">
        <v>22.2</v>
      </c>
      <c r="C39" s="82"/>
      <c r="D39" s="83"/>
      <c r="E39" s="83"/>
      <c r="F39" s="83"/>
      <c r="G39" s="83"/>
      <c r="H39" s="83"/>
      <c r="I39" s="7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7">
        <v>95.93</v>
      </c>
      <c r="U39" s="7">
        <v>19.36</v>
      </c>
      <c r="V39" s="83"/>
      <c r="W39" s="83">
        <v>32</v>
      </c>
      <c r="X39" s="83">
        <f t="shared" si="1"/>
        <v>169.49</v>
      </c>
    </row>
    <row r="40" spans="1:24" x14ac:dyDescent="0.25">
      <c r="A40" s="82" t="s">
        <v>193</v>
      </c>
      <c r="B40" s="82"/>
      <c r="C40" s="82"/>
      <c r="D40" s="83"/>
      <c r="E40" s="83"/>
      <c r="F40" s="83"/>
      <c r="G40" s="83"/>
      <c r="H40" s="83"/>
      <c r="I40" s="7"/>
      <c r="J40" s="83">
        <v>134.92699999999999</v>
      </c>
      <c r="K40" s="83"/>
      <c r="L40" s="83"/>
      <c r="M40" s="83"/>
      <c r="N40" s="83"/>
      <c r="O40" s="83"/>
      <c r="P40" s="83"/>
      <c r="Q40" s="83"/>
      <c r="R40" s="83"/>
      <c r="S40" s="83"/>
      <c r="T40" s="7"/>
      <c r="U40" s="7"/>
      <c r="V40" s="83"/>
      <c r="W40" s="83">
        <v>5</v>
      </c>
      <c r="X40" s="83">
        <f t="shared" si="1"/>
        <v>139.92699999999999</v>
      </c>
    </row>
    <row r="41" spans="1:24" x14ac:dyDescent="0.25">
      <c r="A41" s="82" t="s">
        <v>251</v>
      </c>
      <c r="B41" s="82"/>
      <c r="C41" s="82"/>
      <c r="D41" s="83"/>
      <c r="E41" s="83"/>
      <c r="F41" s="83"/>
      <c r="G41" s="83"/>
      <c r="H41" s="83"/>
      <c r="I41" s="7">
        <v>60.37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7"/>
      <c r="U41" s="7"/>
      <c r="V41" s="83"/>
      <c r="W41" s="83">
        <v>26</v>
      </c>
      <c r="X41" s="83">
        <f t="shared" si="1"/>
        <v>86.37</v>
      </c>
    </row>
    <row r="42" spans="1:24" x14ac:dyDescent="0.25">
      <c r="A42" s="82" t="s">
        <v>188</v>
      </c>
      <c r="B42" s="82"/>
      <c r="C42" s="82"/>
      <c r="D42" s="83">
        <v>66.116</v>
      </c>
      <c r="E42" s="83"/>
      <c r="F42" s="83"/>
      <c r="G42" s="83"/>
      <c r="H42" s="83"/>
      <c r="I42" s="7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7"/>
      <c r="U42" s="7"/>
      <c r="V42" s="83"/>
      <c r="W42" s="83">
        <v>8.17</v>
      </c>
      <c r="X42" s="83">
        <f t="shared" si="1"/>
        <v>74.286000000000001</v>
      </c>
    </row>
    <row r="43" spans="1:24" x14ac:dyDescent="0.25">
      <c r="A43" s="82" t="s">
        <v>121</v>
      </c>
      <c r="B43" s="82"/>
      <c r="C43" s="82"/>
      <c r="D43" s="83"/>
      <c r="E43" s="83"/>
      <c r="F43" s="83"/>
      <c r="G43" s="83"/>
      <c r="H43" s="83"/>
      <c r="I43" s="7"/>
      <c r="J43" s="83"/>
      <c r="K43" s="83"/>
      <c r="L43" s="83"/>
      <c r="M43" s="83"/>
      <c r="N43" s="83"/>
      <c r="O43" s="83">
        <v>188.59</v>
      </c>
      <c r="P43" s="83"/>
      <c r="Q43" s="83"/>
      <c r="R43" s="83"/>
      <c r="S43" s="83"/>
      <c r="T43" s="7"/>
      <c r="U43" s="7"/>
      <c r="V43" s="83"/>
      <c r="W43" s="83">
        <v>12.17</v>
      </c>
      <c r="X43" s="83">
        <f t="shared" si="1"/>
        <v>200.76</v>
      </c>
    </row>
    <row r="44" spans="1:24" x14ac:dyDescent="0.25">
      <c r="A44" s="82" t="s">
        <v>152</v>
      </c>
      <c r="B44" s="82"/>
      <c r="C44" s="82"/>
      <c r="D44" s="83"/>
      <c r="E44" s="83"/>
      <c r="F44" s="83"/>
      <c r="G44" s="83"/>
      <c r="H44" s="83"/>
      <c r="I44" s="7"/>
      <c r="J44" s="83">
        <v>68.768000000000001</v>
      </c>
      <c r="K44" s="83"/>
      <c r="L44" s="83"/>
      <c r="M44" s="83"/>
      <c r="N44" s="83"/>
      <c r="O44" s="83"/>
      <c r="P44" s="83"/>
      <c r="Q44" s="83"/>
      <c r="R44" s="83"/>
      <c r="S44" s="83"/>
      <c r="T44" s="7"/>
      <c r="U44" s="7"/>
      <c r="V44" s="83"/>
      <c r="W44" s="83">
        <v>3.5</v>
      </c>
      <c r="X44" s="83">
        <f t="shared" si="1"/>
        <v>72.268000000000001</v>
      </c>
    </row>
    <row r="45" spans="1:24" x14ac:dyDescent="0.25">
      <c r="A45" s="82" t="s">
        <v>175</v>
      </c>
      <c r="B45" s="82"/>
      <c r="C45" s="82"/>
      <c r="D45" s="83"/>
      <c r="E45" s="83"/>
      <c r="F45" s="83"/>
      <c r="G45" s="83"/>
      <c r="H45" s="83"/>
      <c r="I45" s="7"/>
      <c r="J45" s="83"/>
      <c r="K45" s="83"/>
      <c r="L45" s="83"/>
      <c r="M45" s="83">
        <v>153.44500000000002</v>
      </c>
      <c r="N45" s="83"/>
      <c r="O45" s="83"/>
      <c r="P45" s="83"/>
      <c r="Q45" s="83"/>
      <c r="R45" s="83"/>
      <c r="S45" s="83"/>
      <c r="T45" s="7"/>
      <c r="U45" s="7"/>
      <c r="V45" s="83">
        <v>4.5</v>
      </c>
      <c r="W45" s="83"/>
      <c r="X45" s="83">
        <f t="shared" si="1"/>
        <v>157.94500000000002</v>
      </c>
    </row>
    <row r="46" spans="1:24" x14ac:dyDescent="0.25">
      <c r="A46" s="82" t="s">
        <v>130</v>
      </c>
      <c r="B46" s="82"/>
      <c r="C46" s="82"/>
      <c r="D46" s="83"/>
      <c r="E46" s="83"/>
      <c r="F46" s="83"/>
      <c r="G46" s="83"/>
      <c r="H46" s="83"/>
      <c r="I46" s="7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7">
        <v>207.96</v>
      </c>
      <c r="U46" s="7"/>
      <c r="V46" s="83"/>
      <c r="W46" s="83">
        <v>8.17</v>
      </c>
      <c r="X46" s="83">
        <f t="shared" si="1"/>
        <v>216.13</v>
      </c>
    </row>
    <row r="47" spans="1:24" x14ac:dyDescent="0.25">
      <c r="A47" s="82" t="s">
        <v>160</v>
      </c>
      <c r="B47" s="82">
        <v>18.600000000000001</v>
      </c>
      <c r="C47" s="82"/>
      <c r="D47" s="83"/>
      <c r="E47" s="83"/>
      <c r="F47" s="83"/>
      <c r="G47" s="83"/>
      <c r="H47" s="83"/>
      <c r="I47" s="7"/>
      <c r="J47" s="83"/>
      <c r="K47" s="83"/>
      <c r="L47" s="83"/>
      <c r="M47" s="83"/>
      <c r="N47" s="83"/>
      <c r="O47" s="83"/>
      <c r="P47" s="83">
        <v>101.51899999999999</v>
      </c>
      <c r="Q47" s="83"/>
      <c r="R47" s="83"/>
      <c r="S47" s="83"/>
      <c r="T47" s="7"/>
      <c r="U47" s="7"/>
      <c r="V47" s="83"/>
      <c r="W47" s="83">
        <v>12</v>
      </c>
      <c r="X47" s="83">
        <f t="shared" si="1"/>
        <v>132.119</v>
      </c>
    </row>
    <row r="48" spans="1:24" x14ac:dyDescent="0.25">
      <c r="A48" s="82" t="s">
        <v>170</v>
      </c>
      <c r="B48" s="82"/>
      <c r="C48" s="82"/>
      <c r="D48" s="83"/>
      <c r="E48" s="83"/>
      <c r="F48" s="83"/>
      <c r="G48" s="83"/>
      <c r="H48" s="83"/>
      <c r="I48" s="7"/>
      <c r="J48" s="83">
        <f>130.285+30</f>
        <v>160.285</v>
      </c>
      <c r="K48" s="83"/>
      <c r="L48" s="83"/>
      <c r="M48" s="83"/>
      <c r="N48" s="83"/>
      <c r="O48" s="83"/>
      <c r="P48" s="83"/>
      <c r="Q48" s="83"/>
      <c r="R48" s="83"/>
      <c r="S48" s="83"/>
      <c r="T48" s="7"/>
      <c r="U48" s="7"/>
      <c r="V48" s="83"/>
      <c r="W48" s="83">
        <v>1.5</v>
      </c>
      <c r="X48" s="83">
        <f t="shared" si="1"/>
        <v>161.785</v>
      </c>
    </row>
    <row r="49" spans="1:24" x14ac:dyDescent="0.25">
      <c r="A49" s="82" t="s">
        <v>155</v>
      </c>
      <c r="B49" s="82"/>
      <c r="C49" s="82"/>
      <c r="D49" s="83"/>
      <c r="E49" s="83"/>
      <c r="F49" s="83"/>
      <c r="G49" s="83"/>
      <c r="H49" s="83">
        <v>177.41600000000005</v>
      </c>
      <c r="I49" s="7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7"/>
      <c r="U49" s="7"/>
      <c r="V49" s="83"/>
      <c r="W49" s="83">
        <v>5.75</v>
      </c>
      <c r="X49" s="83">
        <f t="shared" si="1"/>
        <v>183.16600000000005</v>
      </c>
    </row>
    <row r="50" spans="1:24" x14ac:dyDescent="0.25">
      <c r="A50" s="82" t="s">
        <v>221</v>
      </c>
      <c r="B50" s="82">
        <v>12.9</v>
      </c>
      <c r="C50" s="82"/>
      <c r="D50" s="83"/>
      <c r="E50" s="83"/>
      <c r="F50" s="83"/>
      <c r="G50" s="83"/>
      <c r="H50" s="83"/>
      <c r="I50" s="7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7">
        <v>36.020000000000003</v>
      </c>
      <c r="U50" s="7"/>
      <c r="V50" s="83"/>
      <c r="W50" s="83">
        <v>11.99</v>
      </c>
      <c r="X50" s="83">
        <f t="shared" si="1"/>
        <v>60.910000000000004</v>
      </c>
    </row>
    <row r="51" spans="1:24" x14ac:dyDescent="0.25">
      <c r="A51" s="82" t="s">
        <v>174</v>
      </c>
      <c r="B51" s="82"/>
      <c r="C51" s="82"/>
      <c r="D51" s="83">
        <v>113.41599999999998</v>
      </c>
      <c r="E51" s="83"/>
      <c r="F51" s="83"/>
      <c r="G51" s="83"/>
      <c r="H51" s="83"/>
      <c r="I51" s="7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7"/>
      <c r="U51" s="7"/>
      <c r="V51" s="83"/>
      <c r="W51" s="83">
        <v>17.8</v>
      </c>
      <c r="X51" s="83">
        <f t="shared" si="1"/>
        <v>131.21599999999998</v>
      </c>
    </row>
    <row r="52" spans="1:24" x14ac:dyDescent="0.25">
      <c r="A52" s="82" t="s">
        <v>187</v>
      </c>
      <c r="B52" s="82">
        <v>33.6</v>
      </c>
      <c r="C52" s="82"/>
      <c r="D52" s="83">
        <v>39.505000000000003</v>
      </c>
      <c r="E52" s="83">
        <v>60.160000000000004</v>
      </c>
      <c r="F52" s="83"/>
      <c r="G52" s="83"/>
      <c r="H52" s="83"/>
      <c r="I52" s="7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7"/>
      <c r="U52" s="7"/>
      <c r="V52" s="83"/>
      <c r="W52" s="83">
        <v>4</v>
      </c>
      <c r="X52" s="83">
        <f t="shared" si="1"/>
        <v>137.26500000000001</v>
      </c>
    </row>
    <row r="53" spans="1:24" x14ac:dyDescent="0.25">
      <c r="A53" s="82" t="s">
        <v>191</v>
      </c>
      <c r="B53" s="82"/>
      <c r="C53" s="82"/>
      <c r="D53" s="83"/>
      <c r="E53" s="83"/>
      <c r="F53" s="83"/>
      <c r="G53" s="83"/>
      <c r="H53" s="83"/>
      <c r="I53" s="7"/>
      <c r="J53" s="83">
        <v>131.285</v>
      </c>
      <c r="K53" s="83"/>
      <c r="L53" s="83"/>
      <c r="M53" s="83"/>
      <c r="N53" s="83"/>
      <c r="O53" s="83"/>
      <c r="P53" s="83"/>
      <c r="Q53" s="83"/>
      <c r="R53" s="83"/>
      <c r="S53" s="83"/>
      <c r="T53" s="7"/>
      <c r="U53" s="7"/>
      <c r="V53" s="83"/>
      <c r="W53" s="83">
        <v>17.5</v>
      </c>
      <c r="X53" s="83">
        <f t="shared" si="1"/>
        <v>148.785</v>
      </c>
    </row>
    <row r="54" spans="1:24" x14ac:dyDescent="0.25">
      <c r="A54" s="82" t="s">
        <v>194</v>
      </c>
      <c r="B54" s="82">
        <v>31.8</v>
      </c>
      <c r="C54" s="82"/>
      <c r="D54" s="83"/>
      <c r="E54" s="83"/>
      <c r="F54" s="83"/>
      <c r="G54" s="83"/>
      <c r="H54" s="83"/>
      <c r="I54" s="7"/>
      <c r="J54" s="83"/>
      <c r="K54" s="83"/>
      <c r="L54" s="83"/>
      <c r="M54" s="83"/>
      <c r="N54" s="83">
        <v>184.06300000000002</v>
      </c>
      <c r="O54" s="83"/>
      <c r="P54" s="83"/>
      <c r="Q54" s="83"/>
      <c r="R54" s="83"/>
      <c r="S54" s="83"/>
      <c r="T54" s="7"/>
      <c r="U54" s="7"/>
      <c r="V54" s="83"/>
      <c r="W54" s="83">
        <v>22</v>
      </c>
      <c r="X54" s="83">
        <f t="shared" si="1"/>
        <v>237.86300000000003</v>
      </c>
    </row>
    <row r="55" spans="1:24" x14ac:dyDescent="0.25">
      <c r="A55" s="82" t="s">
        <v>192</v>
      </c>
      <c r="B55" s="82"/>
      <c r="C55" s="82"/>
      <c r="D55" s="83"/>
      <c r="E55" s="83"/>
      <c r="F55" s="83"/>
      <c r="G55" s="83"/>
      <c r="H55" s="83"/>
      <c r="I55" s="7"/>
      <c r="J55" s="83"/>
      <c r="K55" s="83"/>
      <c r="L55" s="83"/>
      <c r="M55" s="83"/>
      <c r="N55" s="83"/>
      <c r="O55" s="83"/>
      <c r="P55" s="83"/>
      <c r="Q55" s="83"/>
      <c r="R55" s="83"/>
      <c r="S55" s="83">
        <v>90.18</v>
      </c>
      <c r="T55" s="7"/>
      <c r="U55" s="7"/>
      <c r="V55" s="83"/>
      <c r="W55" s="83">
        <v>8</v>
      </c>
      <c r="X55" s="83">
        <f t="shared" si="1"/>
        <v>98.18</v>
      </c>
    </row>
    <row r="56" spans="1:24" x14ac:dyDescent="0.25">
      <c r="A56" s="82" t="s">
        <v>143</v>
      </c>
      <c r="B56" s="82"/>
      <c r="C56" s="82"/>
      <c r="D56" s="83">
        <v>143.779</v>
      </c>
      <c r="E56" s="83"/>
      <c r="F56" s="83"/>
      <c r="G56" s="83">
        <v>11.5</v>
      </c>
      <c r="H56" s="83"/>
      <c r="I56" s="7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7"/>
      <c r="U56" s="7"/>
      <c r="V56" s="83"/>
      <c r="W56" s="83">
        <v>4.5</v>
      </c>
      <c r="X56" s="83">
        <f t="shared" si="1"/>
        <v>159.779</v>
      </c>
    </row>
    <row r="57" spans="1:24" x14ac:dyDescent="0.25">
      <c r="A57" s="82" t="s">
        <v>146</v>
      </c>
      <c r="B57" s="82">
        <v>20</v>
      </c>
      <c r="C57" s="82"/>
      <c r="D57" s="83"/>
      <c r="E57" s="83"/>
      <c r="F57" s="83"/>
      <c r="G57" s="83"/>
      <c r="H57" s="83"/>
      <c r="I57" s="7"/>
      <c r="J57" s="83"/>
      <c r="K57" s="83"/>
      <c r="L57" s="83"/>
      <c r="M57" s="83"/>
      <c r="N57" s="83"/>
      <c r="O57" s="83">
        <v>146</v>
      </c>
      <c r="P57" s="83"/>
      <c r="Q57" s="83"/>
      <c r="R57" s="83"/>
      <c r="S57" s="83"/>
      <c r="T57" s="7"/>
      <c r="U57" s="7"/>
      <c r="V57" s="83"/>
      <c r="W57" s="83">
        <v>35.5</v>
      </c>
      <c r="X57" s="83">
        <f t="shared" si="1"/>
        <v>201.5</v>
      </c>
    </row>
    <row r="58" spans="1:24" x14ac:dyDescent="0.25">
      <c r="A58" s="82" t="s">
        <v>133</v>
      </c>
      <c r="B58" s="82"/>
      <c r="C58" s="82"/>
      <c r="D58" s="83"/>
      <c r="E58" s="83"/>
      <c r="F58" s="83"/>
      <c r="G58" s="83"/>
      <c r="H58" s="83"/>
      <c r="I58" s="7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7">
        <v>149.33000000000001</v>
      </c>
      <c r="U58" s="7"/>
      <c r="V58" s="83"/>
      <c r="W58" s="83">
        <v>22</v>
      </c>
      <c r="X58" s="83">
        <f t="shared" si="1"/>
        <v>171.33</v>
      </c>
    </row>
    <row r="59" spans="1:24" x14ac:dyDescent="0.25">
      <c r="A59" s="82" t="s">
        <v>140</v>
      </c>
      <c r="B59" s="82"/>
      <c r="C59" s="82"/>
      <c r="D59" s="83">
        <v>124.47199999999999</v>
      </c>
      <c r="E59" s="83"/>
      <c r="F59" s="83"/>
      <c r="G59" s="83">
        <v>11.5</v>
      </c>
      <c r="H59" s="83"/>
      <c r="I59" s="7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7"/>
      <c r="U59" s="7"/>
      <c r="V59" s="83"/>
      <c r="W59" s="83">
        <v>21</v>
      </c>
      <c r="X59" s="83">
        <f t="shared" si="1"/>
        <v>156.97199999999998</v>
      </c>
    </row>
    <row r="60" spans="1:24" x14ac:dyDescent="0.25">
      <c r="A60" s="82" t="s">
        <v>222</v>
      </c>
      <c r="B60" s="82"/>
      <c r="C60" s="82"/>
      <c r="D60" s="83"/>
      <c r="E60" s="83"/>
      <c r="F60" s="83"/>
      <c r="G60" s="83"/>
      <c r="H60" s="83"/>
      <c r="I60" s="7">
        <v>284.58700000000005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7"/>
      <c r="U60" s="7"/>
      <c r="V60" s="83"/>
      <c r="W60" s="83">
        <v>8</v>
      </c>
      <c r="X60" s="83">
        <f t="shared" si="1"/>
        <v>292.58700000000005</v>
      </c>
    </row>
    <row r="61" spans="1:24" x14ac:dyDescent="0.25">
      <c r="A61" s="82" t="s">
        <v>162</v>
      </c>
      <c r="B61" s="82"/>
      <c r="C61" s="82"/>
      <c r="D61" s="83">
        <v>138.58000000000001</v>
      </c>
      <c r="E61" s="83"/>
      <c r="F61" s="83"/>
      <c r="G61" s="83"/>
      <c r="H61" s="83"/>
      <c r="I61" s="7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7"/>
      <c r="U61" s="7"/>
      <c r="V61" s="83"/>
      <c r="W61" s="83">
        <v>16.829999999999998</v>
      </c>
      <c r="X61" s="83">
        <f t="shared" si="1"/>
        <v>155.41000000000003</v>
      </c>
    </row>
    <row r="62" spans="1:24" x14ac:dyDescent="0.25">
      <c r="A62" s="82" t="s">
        <v>223</v>
      </c>
      <c r="B62" s="82"/>
      <c r="C62" s="82"/>
      <c r="D62" s="83"/>
      <c r="E62" s="83">
        <v>74.057000000000002</v>
      </c>
      <c r="F62" s="83"/>
      <c r="G62" s="83"/>
      <c r="H62" s="83"/>
      <c r="I62" s="7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7"/>
      <c r="U62" s="7"/>
      <c r="V62" s="83"/>
      <c r="W62" s="83">
        <v>8.5</v>
      </c>
      <c r="X62" s="83">
        <f t="shared" si="1"/>
        <v>82.557000000000002</v>
      </c>
    </row>
    <row r="63" spans="1:24" x14ac:dyDescent="0.25">
      <c r="A63" s="82" t="s">
        <v>184</v>
      </c>
      <c r="B63" s="82"/>
      <c r="C63" s="82"/>
      <c r="D63" s="83"/>
      <c r="E63" s="83"/>
      <c r="F63" s="83"/>
      <c r="G63" s="83"/>
      <c r="H63" s="83"/>
      <c r="I63" s="7"/>
      <c r="J63" s="83"/>
      <c r="K63" s="83"/>
      <c r="L63" s="83"/>
      <c r="M63" s="83"/>
      <c r="N63" s="83"/>
      <c r="O63" s="83"/>
      <c r="P63" s="83"/>
      <c r="Q63" s="83">
        <v>226.48999999999998</v>
      </c>
      <c r="R63" s="83"/>
      <c r="S63" s="83"/>
      <c r="T63" s="7"/>
      <c r="U63" s="7"/>
      <c r="V63" s="83"/>
      <c r="W63" s="83">
        <v>5.5</v>
      </c>
      <c r="X63" s="83">
        <f t="shared" si="1"/>
        <v>231.98999999999998</v>
      </c>
    </row>
    <row r="64" spans="1:24" x14ac:dyDescent="0.25">
      <c r="A64" s="82" t="s">
        <v>148</v>
      </c>
      <c r="B64" s="82"/>
      <c r="C64" s="82"/>
      <c r="D64" s="83"/>
      <c r="E64" s="83"/>
      <c r="F64" s="83"/>
      <c r="G64" s="83"/>
      <c r="H64" s="83"/>
      <c r="I64" s="7">
        <v>127.815</v>
      </c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7"/>
      <c r="U64" s="7">
        <v>57.930000000000007</v>
      </c>
      <c r="V64" s="83"/>
      <c r="W64" s="83">
        <v>4.5</v>
      </c>
      <c r="X64" s="83">
        <f t="shared" si="1"/>
        <v>190.245</v>
      </c>
    </row>
    <row r="65" spans="1:24" x14ac:dyDescent="0.25">
      <c r="A65" s="82" t="s">
        <v>167</v>
      </c>
      <c r="B65" s="82"/>
      <c r="C65" s="82"/>
      <c r="D65" s="83"/>
      <c r="E65" s="83"/>
      <c r="F65" s="83"/>
      <c r="G65" s="83"/>
      <c r="H65" s="83"/>
      <c r="I65" s="7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7">
        <v>151.27000000000001</v>
      </c>
      <c r="U65" s="7"/>
      <c r="V65" s="83"/>
      <c r="W65" s="83">
        <v>22</v>
      </c>
      <c r="X65" s="83">
        <f t="shared" si="1"/>
        <v>173.27</v>
      </c>
    </row>
    <row r="66" spans="1:24" x14ac:dyDescent="0.25">
      <c r="A66" s="82" t="s">
        <v>200</v>
      </c>
      <c r="B66" s="82"/>
      <c r="C66" s="82"/>
      <c r="D66" s="83"/>
      <c r="E66" s="83"/>
      <c r="F66" s="83"/>
      <c r="G66" s="83"/>
      <c r="H66" s="83"/>
      <c r="I66" s="7"/>
      <c r="J66" s="83">
        <f>100.964+50</f>
        <v>150.964</v>
      </c>
      <c r="K66" s="83"/>
      <c r="L66" s="83"/>
      <c r="M66" s="83"/>
      <c r="N66" s="83"/>
      <c r="O66" s="83"/>
      <c r="P66" s="83"/>
      <c r="Q66" s="83"/>
      <c r="R66" s="83"/>
      <c r="S66" s="83"/>
      <c r="T66" s="7"/>
      <c r="U66" s="7"/>
      <c r="V66" s="83"/>
      <c r="W66" s="83">
        <v>0</v>
      </c>
      <c r="X66" s="83">
        <f t="shared" ref="X66:X97" si="2">SUM(B66:W66)</f>
        <v>150.964</v>
      </c>
    </row>
    <row r="67" spans="1:24" x14ac:dyDescent="0.25">
      <c r="A67" s="82" t="s">
        <v>199</v>
      </c>
      <c r="B67" s="82"/>
      <c r="C67" s="82"/>
      <c r="D67" s="83"/>
      <c r="E67" s="83"/>
      <c r="F67" s="83"/>
      <c r="G67" s="83"/>
      <c r="H67" s="83"/>
      <c r="I67" s="7"/>
      <c r="J67" s="83"/>
      <c r="K67" s="83"/>
      <c r="L67" s="83"/>
      <c r="M67" s="83"/>
      <c r="N67" s="83"/>
      <c r="O67" s="83"/>
      <c r="P67" s="83">
        <v>129.79700000000003</v>
      </c>
      <c r="Q67" s="83"/>
      <c r="R67" s="83"/>
      <c r="S67" s="83"/>
      <c r="T67" s="7"/>
      <c r="U67" s="7"/>
      <c r="V67" s="83"/>
      <c r="W67" s="83">
        <v>25.17</v>
      </c>
      <c r="X67" s="83">
        <f t="shared" si="2"/>
        <v>154.96700000000004</v>
      </c>
    </row>
    <row r="68" spans="1:24" x14ac:dyDescent="0.25">
      <c r="A68" s="82" t="s">
        <v>225</v>
      </c>
      <c r="B68" s="82">
        <v>22</v>
      </c>
      <c r="C68" s="82"/>
      <c r="D68" s="83">
        <v>145.12699999999998</v>
      </c>
      <c r="E68" s="83"/>
      <c r="F68" s="83"/>
      <c r="G68" s="83"/>
      <c r="H68" s="83"/>
      <c r="I68" s="7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7"/>
      <c r="U68" s="7"/>
      <c r="V68" s="83"/>
      <c r="W68" s="83">
        <v>21.17</v>
      </c>
      <c r="X68" s="83">
        <f t="shared" si="2"/>
        <v>188.29699999999997</v>
      </c>
    </row>
    <row r="69" spans="1:24" x14ac:dyDescent="0.25">
      <c r="A69" s="82" t="s">
        <v>226</v>
      </c>
      <c r="B69" s="82">
        <v>14.1</v>
      </c>
      <c r="C69" s="82"/>
      <c r="D69" s="83"/>
      <c r="E69" s="83"/>
      <c r="F69" s="83"/>
      <c r="G69" s="83"/>
      <c r="H69" s="83"/>
      <c r="I69" s="7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7">
        <v>40.269999999999996</v>
      </c>
      <c r="U69" s="7">
        <v>31.01</v>
      </c>
      <c r="V69" s="83"/>
      <c r="W69" s="83">
        <v>19.329999999999998</v>
      </c>
      <c r="X69" s="83">
        <f t="shared" si="2"/>
        <v>104.71</v>
      </c>
    </row>
    <row r="70" spans="1:24" x14ac:dyDescent="0.25">
      <c r="A70" s="82" t="s">
        <v>169</v>
      </c>
      <c r="B70" s="82"/>
      <c r="C70" s="82">
        <v>70</v>
      </c>
      <c r="D70" s="83">
        <v>16.135999999999999</v>
      </c>
      <c r="E70" s="83">
        <v>152.36199999999999</v>
      </c>
      <c r="F70" s="83"/>
      <c r="G70" s="83"/>
      <c r="H70" s="83"/>
      <c r="I70" s="7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7"/>
      <c r="U70" s="7"/>
      <c r="V70" s="83"/>
      <c r="W70" s="83">
        <v>10.75</v>
      </c>
      <c r="X70" s="83">
        <f t="shared" si="2"/>
        <v>249.24799999999999</v>
      </c>
    </row>
    <row r="71" spans="1:24" x14ac:dyDescent="0.25">
      <c r="A71" s="82" t="s">
        <v>120</v>
      </c>
      <c r="B71" s="82"/>
      <c r="C71" s="82"/>
      <c r="D71" s="83">
        <v>102.637</v>
      </c>
      <c r="E71" s="83"/>
      <c r="F71" s="83"/>
      <c r="G71" s="83"/>
      <c r="H71" s="83"/>
      <c r="I71" s="7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7"/>
      <c r="U71" s="7"/>
      <c r="V71" s="83"/>
      <c r="W71" s="83">
        <v>31</v>
      </c>
      <c r="X71" s="83">
        <f t="shared" si="2"/>
        <v>133.637</v>
      </c>
    </row>
    <row r="72" spans="1:24" x14ac:dyDescent="0.25">
      <c r="A72" s="82" t="s">
        <v>124</v>
      </c>
      <c r="B72" s="82"/>
      <c r="C72" s="82"/>
      <c r="D72" s="83"/>
      <c r="E72" s="83"/>
      <c r="F72" s="83"/>
      <c r="G72" s="83"/>
      <c r="H72" s="83"/>
      <c r="I72" s="7"/>
      <c r="J72" s="83"/>
      <c r="K72" s="83"/>
      <c r="L72" s="83">
        <f>107.626+25</f>
        <v>132.626</v>
      </c>
      <c r="M72" s="83"/>
      <c r="N72" s="83"/>
      <c r="O72" s="83"/>
      <c r="P72" s="83"/>
      <c r="Q72" s="83"/>
      <c r="R72" s="83"/>
      <c r="S72" s="83"/>
      <c r="T72" s="7"/>
      <c r="U72" s="7"/>
      <c r="V72" s="83"/>
      <c r="W72" s="83">
        <v>24.75</v>
      </c>
      <c r="X72" s="83">
        <f t="shared" si="2"/>
        <v>157.376</v>
      </c>
    </row>
    <row r="73" spans="1:24" x14ac:dyDescent="0.25">
      <c r="A73" s="82" t="s">
        <v>177</v>
      </c>
      <c r="B73" s="82"/>
      <c r="C73" s="82"/>
      <c r="D73" s="83"/>
      <c r="E73" s="83"/>
      <c r="F73" s="83"/>
      <c r="G73" s="83"/>
      <c r="H73" s="83"/>
      <c r="I73" s="7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7">
        <v>252.39</v>
      </c>
      <c r="U73" s="7"/>
      <c r="V73" s="83"/>
      <c r="W73" s="83">
        <v>12.75</v>
      </c>
      <c r="X73" s="83">
        <f t="shared" si="2"/>
        <v>265.14</v>
      </c>
    </row>
    <row r="74" spans="1:24" x14ac:dyDescent="0.25">
      <c r="A74" s="82" t="s">
        <v>178</v>
      </c>
      <c r="B74" s="82">
        <v>2.9</v>
      </c>
      <c r="C74" s="82"/>
      <c r="D74" s="83"/>
      <c r="E74" s="83"/>
      <c r="F74" s="83"/>
      <c r="G74" s="83"/>
      <c r="H74" s="83"/>
      <c r="I74" s="7">
        <v>141.75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7"/>
      <c r="U74" s="7"/>
      <c r="V74" s="83"/>
      <c r="W74" s="83">
        <v>2.75</v>
      </c>
      <c r="X74" s="83">
        <f t="shared" si="2"/>
        <v>147.4</v>
      </c>
    </row>
    <row r="75" spans="1:24" x14ac:dyDescent="0.25">
      <c r="A75" s="82" t="s">
        <v>126</v>
      </c>
      <c r="B75" s="82">
        <v>30.6</v>
      </c>
      <c r="C75" s="82"/>
      <c r="D75" s="83">
        <v>132.47400000000002</v>
      </c>
      <c r="E75" s="83"/>
      <c r="F75" s="83"/>
      <c r="G75" s="83"/>
      <c r="H75" s="83"/>
      <c r="I75" s="7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7"/>
      <c r="U75" s="7"/>
      <c r="V75" s="83"/>
      <c r="W75" s="83">
        <v>18.16</v>
      </c>
      <c r="X75" s="83">
        <f t="shared" si="2"/>
        <v>181.23400000000001</v>
      </c>
    </row>
    <row r="76" spans="1:24" s="17" customFormat="1" x14ac:dyDescent="0.25">
      <c r="A76" s="82" t="s">
        <v>227</v>
      </c>
      <c r="B76" s="82">
        <v>74</v>
      </c>
      <c r="C76" s="82"/>
      <c r="D76" s="83"/>
      <c r="E76" s="83"/>
      <c r="F76" s="83"/>
      <c r="G76" s="83"/>
      <c r="H76" s="83"/>
      <c r="I76" s="7"/>
      <c r="J76" s="83"/>
      <c r="K76" s="83"/>
      <c r="L76" s="83"/>
      <c r="M76" s="83"/>
      <c r="N76" s="83">
        <v>40</v>
      </c>
      <c r="O76" s="83"/>
      <c r="P76" s="83"/>
      <c r="Q76" s="83"/>
      <c r="R76" s="83"/>
      <c r="S76" s="83"/>
      <c r="T76" s="7"/>
      <c r="U76" s="7"/>
      <c r="V76" s="83"/>
      <c r="W76" s="83">
        <v>0</v>
      </c>
      <c r="X76" s="83">
        <f t="shared" si="2"/>
        <v>114</v>
      </c>
    </row>
    <row r="77" spans="1:24" x14ac:dyDescent="0.25">
      <c r="A77" s="82" t="s">
        <v>186</v>
      </c>
      <c r="B77" s="82"/>
      <c r="C77" s="82"/>
      <c r="D77" s="83">
        <v>194.35</v>
      </c>
      <c r="E77" s="83"/>
      <c r="F77" s="83"/>
      <c r="G77" s="83"/>
      <c r="H77" s="83"/>
      <c r="I77" s="7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7"/>
      <c r="U77" s="7"/>
      <c r="V77" s="83"/>
      <c r="W77" s="83">
        <v>13.17</v>
      </c>
      <c r="X77" s="83">
        <f t="shared" si="2"/>
        <v>207.51999999999998</v>
      </c>
    </row>
    <row r="78" spans="1:24" x14ac:dyDescent="0.25">
      <c r="A78" s="82" t="s">
        <v>195</v>
      </c>
      <c r="B78" s="82"/>
      <c r="C78" s="82"/>
      <c r="D78" s="83"/>
      <c r="E78" s="83"/>
      <c r="F78" s="83"/>
      <c r="G78" s="83"/>
      <c r="H78" s="83"/>
      <c r="I78" s="7">
        <v>117.74</v>
      </c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7"/>
      <c r="U78" s="7"/>
      <c r="V78" s="83"/>
      <c r="W78" s="83">
        <v>16</v>
      </c>
      <c r="X78" s="83">
        <f t="shared" si="2"/>
        <v>133.74</v>
      </c>
    </row>
    <row r="79" spans="1:24" x14ac:dyDescent="0.25">
      <c r="A79" s="82" t="s">
        <v>165</v>
      </c>
      <c r="B79" s="82"/>
      <c r="C79" s="82"/>
      <c r="D79" s="83"/>
      <c r="E79" s="83"/>
      <c r="F79" s="83"/>
      <c r="G79" s="83"/>
      <c r="H79" s="83"/>
      <c r="I79" s="7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7"/>
      <c r="U79" s="7">
        <v>71.05</v>
      </c>
      <c r="V79" s="83"/>
      <c r="W79" s="83">
        <v>12.67</v>
      </c>
      <c r="X79" s="83">
        <f t="shared" si="2"/>
        <v>83.72</v>
      </c>
    </row>
    <row r="80" spans="1:24" x14ac:dyDescent="0.25">
      <c r="A80" s="82" t="s">
        <v>137</v>
      </c>
      <c r="B80" s="82"/>
      <c r="C80" s="82"/>
      <c r="D80" s="83"/>
      <c r="E80" s="83"/>
      <c r="F80" s="83"/>
      <c r="G80" s="83"/>
      <c r="H80" s="83">
        <v>187.01499999999999</v>
      </c>
      <c r="I80" s="7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7"/>
      <c r="U80" s="7"/>
      <c r="V80" s="83"/>
      <c r="W80" s="83">
        <v>10</v>
      </c>
      <c r="X80" s="83">
        <f t="shared" si="2"/>
        <v>197.01499999999999</v>
      </c>
    </row>
    <row r="81" spans="1:24" x14ac:dyDescent="0.25">
      <c r="A81" s="82" t="s">
        <v>141</v>
      </c>
      <c r="B81" s="82">
        <v>31</v>
      </c>
      <c r="C81" s="82"/>
      <c r="D81" s="83">
        <v>102.02699999999999</v>
      </c>
      <c r="E81" s="83"/>
      <c r="F81" s="83"/>
      <c r="G81" s="83"/>
      <c r="H81" s="83"/>
      <c r="I81" s="7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7"/>
      <c r="U81" s="7"/>
      <c r="V81" s="83"/>
      <c r="W81" s="83">
        <v>14.5</v>
      </c>
      <c r="X81" s="83">
        <f t="shared" si="2"/>
        <v>147.52699999999999</v>
      </c>
    </row>
    <row r="82" spans="1:24" x14ac:dyDescent="0.25">
      <c r="A82" s="82" t="s">
        <v>203</v>
      </c>
      <c r="B82" s="82"/>
      <c r="C82" s="82"/>
      <c r="D82" s="83"/>
      <c r="E82" s="83"/>
      <c r="F82" s="83"/>
      <c r="G82" s="83"/>
      <c r="H82" s="83"/>
      <c r="I82" s="7"/>
      <c r="J82" s="83"/>
      <c r="K82" s="83"/>
      <c r="L82" s="83"/>
      <c r="M82" s="83"/>
      <c r="N82" s="83"/>
      <c r="O82" s="83"/>
      <c r="P82" s="83"/>
      <c r="Q82" s="83">
        <v>251.01</v>
      </c>
      <c r="R82" s="83"/>
      <c r="S82" s="83"/>
      <c r="T82" s="7"/>
      <c r="U82" s="7"/>
      <c r="V82" s="83"/>
      <c r="W82" s="83">
        <v>3.25</v>
      </c>
      <c r="X82" s="83">
        <f t="shared" si="2"/>
        <v>254.26</v>
      </c>
    </row>
    <row r="83" spans="1:24" x14ac:dyDescent="0.25">
      <c r="A83" s="82" t="s">
        <v>202</v>
      </c>
      <c r="B83" s="82">
        <v>70</v>
      </c>
      <c r="C83" s="82"/>
      <c r="D83" s="83"/>
      <c r="E83" s="83"/>
      <c r="F83" s="83"/>
      <c r="G83" s="83"/>
      <c r="H83" s="83"/>
      <c r="I83" s="7"/>
      <c r="J83" s="83"/>
      <c r="K83" s="83">
        <f>122.33+12+25</f>
        <v>159.32999999999998</v>
      </c>
      <c r="L83" s="83"/>
      <c r="M83" s="83"/>
      <c r="N83" s="83"/>
      <c r="O83" s="83"/>
      <c r="P83" s="83"/>
      <c r="Q83" s="83"/>
      <c r="R83" s="83"/>
      <c r="S83" s="83"/>
      <c r="T83" s="7"/>
      <c r="U83" s="7"/>
      <c r="V83" s="83"/>
      <c r="W83" s="83">
        <v>10.58</v>
      </c>
      <c r="X83" s="83">
        <f t="shared" si="2"/>
        <v>239.91</v>
      </c>
    </row>
    <row r="84" spans="1:24" x14ac:dyDescent="0.25">
      <c r="A84" s="82" t="s">
        <v>164</v>
      </c>
      <c r="B84" s="82">
        <v>38.4</v>
      </c>
      <c r="C84" s="82"/>
      <c r="D84" s="83"/>
      <c r="E84" s="83"/>
      <c r="F84" s="83"/>
      <c r="G84" s="83"/>
      <c r="H84" s="83"/>
      <c r="I84" s="7"/>
      <c r="J84" s="83"/>
      <c r="K84" s="83"/>
      <c r="L84" s="83"/>
      <c r="M84" s="83"/>
      <c r="N84" s="83">
        <v>62.266999999999996</v>
      </c>
      <c r="O84" s="83"/>
      <c r="P84" s="83"/>
      <c r="Q84" s="83">
        <v>37.85</v>
      </c>
      <c r="R84" s="83"/>
      <c r="S84" s="83"/>
      <c r="T84" s="7"/>
      <c r="U84" s="7"/>
      <c r="V84" s="83"/>
      <c r="W84" s="83">
        <v>23.25</v>
      </c>
      <c r="X84" s="83">
        <f t="shared" si="2"/>
        <v>161.767</v>
      </c>
    </row>
    <row r="85" spans="1:24" x14ac:dyDescent="0.25">
      <c r="A85" s="82" t="s">
        <v>138</v>
      </c>
      <c r="B85" s="82">
        <v>22.1</v>
      </c>
      <c r="C85" s="82"/>
      <c r="D85" s="83"/>
      <c r="E85" s="83"/>
      <c r="F85" s="83"/>
      <c r="G85" s="83"/>
      <c r="H85" s="83"/>
      <c r="I85" s="7"/>
      <c r="J85" s="83"/>
      <c r="K85" s="83">
        <f>23.74+5+25</f>
        <v>53.739999999999995</v>
      </c>
      <c r="L85" s="83"/>
      <c r="M85" s="83"/>
      <c r="N85" s="83"/>
      <c r="O85" s="83"/>
      <c r="P85" s="83"/>
      <c r="Q85" s="83"/>
      <c r="R85" s="83"/>
      <c r="S85" s="83"/>
      <c r="T85" s="7"/>
      <c r="U85" s="7"/>
      <c r="V85" s="83"/>
      <c r="W85" s="83"/>
      <c r="X85" s="83">
        <f t="shared" si="2"/>
        <v>75.84</v>
      </c>
    </row>
    <row r="86" spans="1:24" x14ac:dyDescent="0.25">
      <c r="A86" s="82" t="s">
        <v>190</v>
      </c>
      <c r="B86" s="82"/>
      <c r="C86" s="82"/>
      <c r="D86" s="83"/>
      <c r="E86" s="83"/>
      <c r="F86" s="83"/>
      <c r="G86" s="83"/>
      <c r="H86" s="83"/>
      <c r="I86" s="7">
        <v>201.66399999999996</v>
      </c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7"/>
      <c r="U86" s="7">
        <v>37.94</v>
      </c>
      <c r="V86" s="83"/>
      <c r="W86" s="83">
        <v>2.5</v>
      </c>
      <c r="X86" s="83">
        <f t="shared" si="2"/>
        <v>242.10399999999996</v>
      </c>
    </row>
    <row r="87" spans="1:24" x14ac:dyDescent="0.25">
      <c r="A87" s="82" t="s">
        <v>166</v>
      </c>
      <c r="B87" s="82"/>
      <c r="C87" s="82"/>
      <c r="D87" s="83">
        <v>91.381</v>
      </c>
      <c r="E87" s="83"/>
      <c r="F87" s="83"/>
      <c r="G87" s="83"/>
      <c r="H87" s="83"/>
      <c r="I87" s="7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7"/>
      <c r="U87" s="7"/>
      <c r="V87" s="83"/>
      <c r="W87" s="83">
        <v>34.58</v>
      </c>
      <c r="X87" s="83">
        <f t="shared" si="2"/>
        <v>125.961</v>
      </c>
    </row>
    <row r="88" spans="1:24" x14ac:dyDescent="0.25">
      <c r="A88" s="82" t="s">
        <v>179</v>
      </c>
      <c r="B88" s="82">
        <v>15.8</v>
      </c>
      <c r="C88" s="82"/>
      <c r="D88" s="83"/>
      <c r="E88" s="83"/>
      <c r="F88" s="83"/>
      <c r="G88" s="83"/>
      <c r="H88" s="83"/>
      <c r="I88" s="7"/>
      <c r="J88" s="83"/>
      <c r="K88" s="83"/>
      <c r="L88" s="83"/>
      <c r="M88" s="83"/>
      <c r="N88" s="83"/>
      <c r="O88" s="83">
        <v>110.45000000000002</v>
      </c>
      <c r="P88" s="83"/>
      <c r="Q88" s="83"/>
      <c r="R88" s="83"/>
      <c r="S88" s="83"/>
      <c r="T88" s="7"/>
      <c r="U88" s="7"/>
      <c r="V88" s="83"/>
      <c r="W88" s="83">
        <v>8.5</v>
      </c>
      <c r="X88" s="83">
        <f t="shared" si="2"/>
        <v>134.75</v>
      </c>
    </row>
    <row r="89" spans="1:24" x14ac:dyDescent="0.25">
      <c r="A89" s="82" t="s">
        <v>228</v>
      </c>
      <c r="B89" s="82"/>
      <c r="C89" s="82"/>
      <c r="D89" s="83"/>
      <c r="E89" s="83"/>
      <c r="F89" s="83"/>
      <c r="G89" s="83"/>
      <c r="H89" s="83"/>
      <c r="I89" s="7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7"/>
      <c r="U89" s="7">
        <v>224.84</v>
      </c>
      <c r="V89" s="83"/>
      <c r="W89" s="83">
        <v>14.5</v>
      </c>
      <c r="X89" s="83">
        <f t="shared" si="2"/>
        <v>239.34</v>
      </c>
    </row>
    <row r="90" spans="1:24" x14ac:dyDescent="0.25">
      <c r="A90" s="82" t="s">
        <v>181</v>
      </c>
      <c r="B90" s="82"/>
      <c r="C90" s="82"/>
      <c r="D90" s="83">
        <v>77.367000000000004</v>
      </c>
      <c r="E90" s="83">
        <v>15.37</v>
      </c>
      <c r="F90" s="83">
        <v>64.771999999999991</v>
      </c>
      <c r="G90" s="83"/>
      <c r="H90" s="83"/>
      <c r="I90" s="7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7"/>
      <c r="U90" s="7"/>
      <c r="V90" s="83"/>
      <c r="W90" s="83">
        <v>1.17</v>
      </c>
      <c r="X90" s="83">
        <f t="shared" si="2"/>
        <v>158.679</v>
      </c>
    </row>
    <row r="91" spans="1:24" x14ac:dyDescent="0.25">
      <c r="A91" s="82" t="s">
        <v>129</v>
      </c>
      <c r="B91" s="82"/>
      <c r="C91" s="82"/>
      <c r="D91" s="83"/>
      <c r="E91" s="83"/>
      <c r="F91" s="83"/>
      <c r="G91" s="83"/>
      <c r="H91" s="83"/>
      <c r="I91" s="7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7"/>
      <c r="U91" s="7">
        <v>163.07</v>
      </c>
      <c r="V91" s="83"/>
      <c r="W91" s="83">
        <v>19</v>
      </c>
      <c r="X91" s="83">
        <f t="shared" si="2"/>
        <v>182.07</v>
      </c>
    </row>
    <row r="92" spans="1:24" x14ac:dyDescent="0.25">
      <c r="A92" s="82" t="s">
        <v>161</v>
      </c>
      <c r="B92" s="82"/>
      <c r="C92" s="82"/>
      <c r="D92" s="83"/>
      <c r="E92" s="83"/>
      <c r="F92" s="83"/>
      <c r="G92" s="83"/>
      <c r="H92" s="83"/>
      <c r="I92" s="7">
        <v>6.47</v>
      </c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7"/>
      <c r="U92" s="7">
        <v>106.39</v>
      </c>
      <c r="V92" s="83"/>
      <c r="W92" s="83">
        <v>8.58</v>
      </c>
      <c r="X92" s="83">
        <f t="shared" si="2"/>
        <v>121.44</v>
      </c>
    </row>
    <row r="93" spans="1:24" x14ac:dyDescent="0.25">
      <c r="A93" s="82" t="s">
        <v>127</v>
      </c>
      <c r="B93" s="82"/>
      <c r="C93" s="82"/>
      <c r="D93" s="83"/>
      <c r="E93" s="83"/>
      <c r="F93" s="83"/>
      <c r="G93" s="83"/>
      <c r="H93" s="83"/>
      <c r="I93" s="7"/>
      <c r="J93" s="83"/>
      <c r="K93" s="83"/>
      <c r="L93" s="83"/>
      <c r="M93" s="83">
        <v>44.271999999999998</v>
      </c>
      <c r="N93" s="83"/>
      <c r="O93" s="83"/>
      <c r="P93" s="83"/>
      <c r="Q93" s="83"/>
      <c r="R93" s="83"/>
      <c r="S93" s="83"/>
      <c r="T93" s="7"/>
      <c r="U93" s="7"/>
      <c r="V93" s="83"/>
      <c r="W93" s="83"/>
      <c r="X93" s="83">
        <f t="shared" si="2"/>
        <v>44.271999999999998</v>
      </c>
    </row>
    <row r="94" spans="1:24" x14ac:dyDescent="0.25">
      <c r="A94" s="82" t="s">
        <v>163</v>
      </c>
      <c r="B94" s="82"/>
      <c r="C94" s="82"/>
      <c r="D94" s="83"/>
      <c r="E94" s="83"/>
      <c r="F94" s="83"/>
      <c r="G94" s="83"/>
      <c r="H94" s="83"/>
      <c r="I94" s="7">
        <v>38.075000000000003</v>
      </c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7"/>
      <c r="U94" s="7"/>
      <c r="V94" s="83"/>
      <c r="W94" s="83">
        <v>4.75</v>
      </c>
      <c r="X94" s="83">
        <f t="shared" si="2"/>
        <v>42.825000000000003</v>
      </c>
    </row>
    <row r="95" spans="1:24" x14ac:dyDescent="0.25">
      <c r="A95" s="82" t="s">
        <v>153</v>
      </c>
      <c r="B95" s="82"/>
      <c r="C95" s="82"/>
      <c r="D95" s="83"/>
      <c r="E95" s="83"/>
      <c r="F95" s="83"/>
      <c r="G95" s="83"/>
      <c r="H95" s="83"/>
      <c r="I95" s="7">
        <v>74.13000000000001</v>
      </c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7"/>
      <c r="U95" s="7"/>
      <c r="V95" s="83"/>
      <c r="W95" s="83">
        <v>7</v>
      </c>
      <c r="X95" s="83">
        <f t="shared" si="2"/>
        <v>81.13000000000001</v>
      </c>
    </row>
    <row r="96" spans="1:24" x14ac:dyDescent="0.25">
      <c r="A96" s="82" t="s">
        <v>157</v>
      </c>
      <c r="B96" s="82"/>
      <c r="C96" s="82"/>
      <c r="D96" s="83"/>
      <c r="E96" s="83"/>
      <c r="F96" s="83"/>
      <c r="G96" s="83"/>
      <c r="H96" s="83"/>
      <c r="I96" s="7"/>
      <c r="J96" s="83">
        <f>107.5+98</f>
        <v>205.5</v>
      </c>
      <c r="K96" s="83"/>
      <c r="L96" s="83">
        <f>83.765</f>
        <v>83.765000000000001</v>
      </c>
      <c r="M96" s="83">
        <f>27+55+14</f>
        <v>96</v>
      </c>
      <c r="N96" s="83"/>
      <c r="O96" s="83"/>
      <c r="P96" s="83"/>
      <c r="Q96" s="83"/>
      <c r="R96" s="83"/>
      <c r="S96" s="83"/>
      <c r="T96" s="7"/>
      <c r="U96" s="7"/>
      <c r="V96" s="83"/>
      <c r="W96" s="83">
        <v>2.5</v>
      </c>
      <c r="X96" s="83">
        <f t="shared" si="2"/>
        <v>387.76499999999999</v>
      </c>
    </row>
    <row r="97" spans="1:24" x14ac:dyDescent="0.25">
      <c r="A97" s="82" t="s">
        <v>144</v>
      </c>
      <c r="B97" s="82"/>
      <c r="C97" s="82"/>
      <c r="D97" s="83"/>
      <c r="E97" s="83"/>
      <c r="F97" s="83"/>
      <c r="G97" s="83"/>
      <c r="H97" s="83"/>
      <c r="I97" s="7"/>
      <c r="J97" s="83"/>
      <c r="K97" s="83"/>
      <c r="L97" s="83"/>
      <c r="M97" s="83">
        <v>124.95700000000001</v>
      </c>
      <c r="N97" s="83"/>
      <c r="O97" s="83"/>
      <c r="P97" s="83"/>
      <c r="Q97" s="83"/>
      <c r="R97" s="83"/>
      <c r="S97" s="83"/>
      <c r="T97" s="7"/>
      <c r="U97" s="7"/>
      <c r="V97" s="83"/>
      <c r="W97" s="83"/>
      <c r="X97" s="83">
        <f t="shared" si="2"/>
        <v>124.95700000000001</v>
      </c>
    </row>
    <row r="98" spans="1:24" x14ac:dyDescent="0.25">
      <c r="A98" s="82" t="s">
        <v>132</v>
      </c>
      <c r="B98" s="82"/>
      <c r="C98" s="82"/>
      <c r="D98" s="83"/>
      <c r="E98" s="83"/>
      <c r="F98" s="83"/>
      <c r="G98" s="83"/>
      <c r="H98" s="83"/>
      <c r="I98" s="7">
        <v>73.680000000000007</v>
      </c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7"/>
      <c r="U98" s="7"/>
      <c r="V98" s="83"/>
      <c r="W98" s="83">
        <v>27</v>
      </c>
      <c r="X98" s="83">
        <f t="shared" ref="X98:X105" si="3">SUM(B98:W98)</f>
        <v>100.68</v>
      </c>
    </row>
    <row r="99" spans="1:24" s="17" customFormat="1" x14ac:dyDescent="0.25">
      <c r="A99" s="82" t="s">
        <v>34</v>
      </c>
      <c r="B99" s="82"/>
      <c r="C99" s="82"/>
      <c r="D99" s="83"/>
      <c r="E99" s="83"/>
      <c r="F99" s="83"/>
      <c r="G99" s="83"/>
      <c r="H99" s="83"/>
      <c r="I99" s="7"/>
      <c r="J99" s="83"/>
      <c r="K99" s="83">
        <v>36</v>
      </c>
      <c r="L99" s="83"/>
      <c r="M99" s="83"/>
      <c r="N99" s="83">
        <v>80</v>
      </c>
      <c r="O99" s="83"/>
      <c r="P99" s="83"/>
      <c r="Q99" s="83"/>
      <c r="R99" s="83"/>
      <c r="S99" s="83"/>
      <c r="T99" s="7"/>
      <c r="U99" s="7"/>
      <c r="V99" s="83"/>
      <c r="W99" s="83"/>
      <c r="X99" s="83">
        <f t="shared" si="3"/>
        <v>116</v>
      </c>
    </row>
    <row r="100" spans="1:24" s="17" customFormat="1" x14ac:dyDescent="0.25">
      <c r="A100" s="82" t="s">
        <v>35</v>
      </c>
      <c r="B100" s="82"/>
      <c r="C100" s="82"/>
      <c r="D100" s="83"/>
      <c r="E100" s="83"/>
      <c r="F100" s="83"/>
      <c r="G100" s="83"/>
      <c r="H100" s="83"/>
      <c r="I100" s="7"/>
      <c r="J100" s="83">
        <v>98</v>
      </c>
      <c r="K100" s="83"/>
      <c r="L100" s="83">
        <v>50</v>
      </c>
      <c r="M100" s="83">
        <v>80</v>
      </c>
      <c r="N100" s="83"/>
      <c r="O100" s="83"/>
      <c r="P100" s="83"/>
      <c r="Q100" s="83"/>
      <c r="R100" s="83"/>
      <c r="S100" s="83"/>
      <c r="T100" s="7"/>
      <c r="U100" s="7"/>
      <c r="V100" s="83"/>
      <c r="W100" s="83"/>
      <c r="X100" s="83">
        <f t="shared" si="3"/>
        <v>228</v>
      </c>
    </row>
    <row r="101" spans="1:24" s="17" customFormat="1" x14ac:dyDescent="0.25">
      <c r="A101" s="82" t="s">
        <v>40</v>
      </c>
      <c r="B101" s="82"/>
      <c r="C101" s="82"/>
      <c r="D101" s="83"/>
      <c r="E101" s="83"/>
      <c r="F101" s="83"/>
      <c r="G101" s="83"/>
      <c r="H101" s="83">
        <v>37</v>
      </c>
      <c r="I101" s="7"/>
      <c r="J101" s="83"/>
      <c r="K101" s="83"/>
      <c r="L101" s="83"/>
      <c r="M101" s="83"/>
      <c r="N101" s="83"/>
      <c r="O101" s="83">
        <v>81</v>
      </c>
      <c r="P101" s="83"/>
      <c r="Q101" s="83">
        <v>41</v>
      </c>
      <c r="R101" s="83"/>
      <c r="S101" s="83"/>
      <c r="T101" s="7"/>
      <c r="U101" s="7"/>
      <c r="V101" s="83"/>
      <c r="W101" s="83"/>
      <c r="X101" s="83">
        <f t="shared" si="3"/>
        <v>159</v>
      </c>
    </row>
    <row r="102" spans="1:24" s="17" customFormat="1" x14ac:dyDescent="0.25">
      <c r="A102" s="82" t="s">
        <v>55</v>
      </c>
      <c r="B102" s="82"/>
      <c r="C102" s="82"/>
      <c r="D102" s="83"/>
      <c r="E102" s="83"/>
      <c r="F102" s="83"/>
      <c r="G102" s="83"/>
      <c r="H102" s="83"/>
      <c r="I102" s="7"/>
      <c r="J102" s="83"/>
      <c r="K102" s="83"/>
      <c r="L102" s="83"/>
      <c r="M102" s="83"/>
      <c r="N102" s="83"/>
      <c r="O102" s="83"/>
      <c r="P102" s="83">
        <v>23</v>
      </c>
      <c r="Q102" s="83"/>
      <c r="R102" s="83">
        <v>45</v>
      </c>
      <c r="S102" s="83">
        <v>40</v>
      </c>
      <c r="T102" s="7"/>
      <c r="U102" s="7"/>
      <c r="V102" s="83"/>
      <c r="W102" s="83"/>
      <c r="X102" s="83">
        <f t="shared" si="3"/>
        <v>108</v>
      </c>
    </row>
    <row r="103" spans="1:24" s="17" customFormat="1" x14ac:dyDescent="0.25">
      <c r="A103" s="82" t="s">
        <v>62</v>
      </c>
      <c r="B103" s="82"/>
      <c r="C103" s="82"/>
      <c r="D103" s="83">
        <v>280</v>
      </c>
      <c r="E103" s="83">
        <v>143</v>
      </c>
      <c r="F103" s="83">
        <v>35.93</v>
      </c>
      <c r="G103" s="83"/>
      <c r="H103" s="83"/>
      <c r="I103" s="7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7"/>
      <c r="U103" s="7"/>
      <c r="V103" s="83"/>
      <c r="W103" s="83"/>
      <c r="X103" s="83">
        <f t="shared" si="3"/>
        <v>458.93</v>
      </c>
    </row>
    <row r="104" spans="1:24" s="17" customFormat="1" x14ac:dyDescent="0.25">
      <c r="A104" s="82" t="s">
        <v>229</v>
      </c>
      <c r="B104" s="82"/>
      <c r="C104" s="82"/>
      <c r="D104" s="83"/>
      <c r="E104" s="83"/>
      <c r="F104" s="83"/>
      <c r="G104" s="83"/>
      <c r="H104" s="83"/>
      <c r="I104" s="7">
        <v>181</v>
      </c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7">
        <v>210</v>
      </c>
      <c r="U104" s="7">
        <v>185.55</v>
      </c>
      <c r="V104" s="83"/>
      <c r="W104" s="83"/>
      <c r="X104" s="83">
        <f t="shared" si="3"/>
        <v>576.54999999999995</v>
      </c>
    </row>
    <row r="105" spans="1:24" s="17" customFormat="1" x14ac:dyDescent="0.25">
      <c r="A105" s="82" t="s">
        <v>52</v>
      </c>
      <c r="B105" s="82"/>
      <c r="C105" s="82"/>
      <c r="D105" s="83"/>
      <c r="E105" s="83"/>
      <c r="F105" s="83"/>
      <c r="G105" s="83"/>
      <c r="H105" s="83"/>
      <c r="I105" s="7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7"/>
      <c r="U105" s="7"/>
      <c r="V105" s="83"/>
      <c r="W105" s="83"/>
      <c r="X105" s="83">
        <f t="shared" si="3"/>
        <v>0</v>
      </c>
    </row>
    <row r="106" spans="1:24" x14ac:dyDescent="0.25">
      <c r="A106" s="84" t="s">
        <v>216</v>
      </c>
      <c r="B106" s="84">
        <f>SUM(B2:B105)</f>
        <v>726.1</v>
      </c>
      <c r="C106" s="84"/>
      <c r="D106" s="85">
        <f>SUM(D2:D105)</f>
        <v>2508.7319999999995</v>
      </c>
      <c r="E106" s="85">
        <f t="shared" ref="E106:H106" si="4">SUM(E2:E105)</f>
        <v>1363.2699999999998</v>
      </c>
      <c r="F106" s="85">
        <f t="shared" si="4"/>
        <v>326.42099999999999</v>
      </c>
      <c r="G106" s="85">
        <f t="shared" si="4"/>
        <v>23</v>
      </c>
      <c r="H106" s="85">
        <f t="shared" si="4"/>
        <v>401.43100000000004</v>
      </c>
      <c r="I106" s="85">
        <f t="shared" ref="I106:X106" si="5">SUM(I2:I105)</f>
        <v>1718.7410000000002</v>
      </c>
      <c r="J106" s="85">
        <f t="shared" si="5"/>
        <v>949.72900000000004</v>
      </c>
      <c r="K106" s="85">
        <f t="shared" si="5"/>
        <v>350.202</v>
      </c>
      <c r="L106" s="92">
        <f t="shared" si="5"/>
        <v>488.84700000000004</v>
      </c>
      <c r="M106" s="92">
        <f t="shared" si="5"/>
        <v>691.40700000000004</v>
      </c>
      <c r="N106" s="85">
        <f t="shared" si="5"/>
        <v>708.10300000000007</v>
      </c>
      <c r="O106" s="85">
        <f t="shared" si="5"/>
        <v>675.67000000000007</v>
      </c>
      <c r="P106" s="85">
        <f t="shared" si="5"/>
        <v>254.31600000000003</v>
      </c>
      <c r="Q106" s="85">
        <f t="shared" si="5"/>
        <v>591.05000000000007</v>
      </c>
      <c r="R106" s="85">
        <f t="shared" si="5"/>
        <v>441.63499999999999</v>
      </c>
      <c r="S106" s="85">
        <f t="shared" si="5"/>
        <v>422.38799999999998</v>
      </c>
      <c r="T106" s="85">
        <f t="shared" si="5"/>
        <v>1547.35</v>
      </c>
      <c r="U106" s="85">
        <f t="shared" si="5"/>
        <v>1170.22</v>
      </c>
      <c r="V106" s="85">
        <f t="shared" si="5"/>
        <v>4.5</v>
      </c>
      <c r="W106" s="85">
        <f t="shared" si="5"/>
        <v>1086.5566666666666</v>
      </c>
      <c r="X106" s="85">
        <f t="shared" si="5"/>
        <v>16519.668666666668</v>
      </c>
    </row>
    <row r="107" spans="1:24" s="17" customFormat="1" x14ac:dyDescent="0.25">
      <c r="A107" s="86" t="s">
        <v>94</v>
      </c>
      <c r="B107" s="86"/>
      <c r="C107" s="86"/>
      <c r="D107" s="87">
        <f>2799.5-50-D106</f>
        <v>240.76800000000048</v>
      </c>
      <c r="E107" s="87">
        <f>1430.7-E106</f>
        <v>67.430000000000291</v>
      </c>
      <c r="F107" s="87">
        <f>359.3-F106</f>
        <v>32.879000000000019</v>
      </c>
      <c r="G107" s="87"/>
      <c r="H107" s="87"/>
      <c r="I107" s="90"/>
      <c r="J107" s="87">
        <f>980-J106</f>
        <v>30.270999999999958</v>
      </c>
      <c r="K107" s="87">
        <f>347-K106-42.6+50</f>
        <v>4.1980000000000004</v>
      </c>
      <c r="L107" s="87">
        <f>500-L106</f>
        <v>11.152999999999963</v>
      </c>
      <c r="M107" s="87"/>
      <c r="N107" s="91">
        <f>755-N106-Jan_15!V104</f>
        <v>8.6839999999999336</v>
      </c>
      <c r="O107" s="87">
        <v>21.14</v>
      </c>
      <c r="P107" s="87">
        <v>0</v>
      </c>
      <c r="Q107" s="87"/>
      <c r="R107" s="87">
        <v>13</v>
      </c>
      <c r="S107" s="87">
        <v>200</v>
      </c>
      <c r="T107" s="90"/>
      <c r="U107" s="90"/>
      <c r="V107" s="87"/>
      <c r="W107" s="87"/>
      <c r="X107" s="87">
        <f>SUM(B107:V107)</f>
        <v>629.52300000000059</v>
      </c>
    </row>
    <row r="109" spans="1:24" s="17" customFormat="1" x14ac:dyDescent="0.25">
      <c r="I109" s="4"/>
      <c r="P109" s="17">
        <v>144</v>
      </c>
      <c r="T109" s="4"/>
      <c r="U109" s="4"/>
    </row>
  </sheetData>
  <autoFilter ref="A1:X107"/>
  <customSheetViews>
    <customSheetView guid="{DA8006FA-F549-4B7E-8C3D-B376CE1F2F3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  <customSheetView guid="{F0DA5CBD-521B-45E5-999C-010E89D9B2D8}" showAutoFilter="1">
      <pane xSplit="1" ySplit="1" topLeftCell="K80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5F1CCD53-A6B6-4801-9001-0C0BEBA8D20D}">
      <pane xSplit="1" ySplit="1" topLeftCell="B71" activePane="bottomRight" state="frozen"/>
      <selection pane="bottomRight" activeCell="D107" sqref="D106:D107"/>
      <pageMargins left="0.7" right="0.7" top="0.75" bottom="0.75" header="0.3" footer="0.3"/>
    </customSheetView>
    <customSheetView guid="{D364304B-E18C-453B-A624-DE6197120D49}" showAutoFilter="1">
      <pane xSplit="1" ySplit="1" topLeftCell="K86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BDA34D52-B4BA-426C-853B-2B50F8AB0C7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  <customSheetView guid="{C66BF055-7613-4DC3-BA99-25F44C751266}" showAutoFilter="1">
      <pane xSplit="1" ySplit="1" topLeftCell="B86" activePane="bottomRight" state="frozen"/>
      <selection pane="bottomRight" activeCell="J109" sqref="J109"/>
      <pageMargins left="0.7" right="0.7" top="0.75" bottom="0.75" header="0.3" footer="0.3"/>
      <autoFilter ref="A1:AI109"/>
    </customSheetView>
    <customSheetView guid="{7A751D0E-E1DB-4CA9-844E-987730CC2DF7}">
      <pane xSplit="1" ySplit="1" topLeftCell="B86" activePane="bottomRight" state="frozen"/>
      <selection pane="bottomRight" activeCell="AD95" sqref="AD95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4" bestFit="1" customWidth="1"/>
    <col min="2" max="2" width="10" customWidth="1"/>
    <col min="4" max="4" width="9.7109375" customWidth="1"/>
    <col min="14" max="17" width="9.140625" style="17"/>
    <col min="18" max="18" width="11" style="17" customWidth="1"/>
    <col min="19" max="22" width="9.140625" style="17"/>
  </cols>
  <sheetData>
    <row r="1" spans="1:30" ht="45" x14ac:dyDescent="0.25">
      <c r="A1" s="81" t="s">
        <v>287</v>
      </c>
      <c r="B1" s="81" t="s">
        <v>258</v>
      </c>
      <c r="C1" s="81" t="s">
        <v>275</v>
      </c>
      <c r="D1" s="81" t="s">
        <v>288</v>
      </c>
      <c r="E1" s="93" t="s">
        <v>260</v>
      </c>
      <c r="F1" s="93" t="s">
        <v>276</v>
      </c>
      <c r="G1" s="81" t="s">
        <v>277</v>
      </c>
      <c r="H1" s="93" t="s">
        <v>294</v>
      </c>
      <c r="I1" s="81" t="s">
        <v>278</v>
      </c>
      <c r="J1" s="81" t="s">
        <v>279</v>
      </c>
      <c r="K1" s="93" t="s">
        <v>293</v>
      </c>
      <c r="L1" s="93" t="s">
        <v>295</v>
      </c>
      <c r="M1" s="81" t="s">
        <v>264</v>
      </c>
      <c r="N1" s="81" t="s">
        <v>267</v>
      </c>
      <c r="O1" s="81" t="s">
        <v>281</v>
      </c>
      <c r="P1" s="81" t="s">
        <v>289</v>
      </c>
      <c r="Q1" s="81" t="s">
        <v>282</v>
      </c>
      <c r="R1" s="81" t="s">
        <v>290</v>
      </c>
      <c r="S1" s="81" t="s">
        <v>291</v>
      </c>
      <c r="T1" s="81" t="s">
        <v>292</v>
      </c>
      <c r="U1" s="81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s="17" customFormat="1" x14ac:dyDescent="0.25">
      <c r="A2" s="82" t="s">
        <v>150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>
        <v>100</v>
      </c>
      <c r="U2" s="83">
        <f t="shared" ref="U2:U33" si="0">SUM(B2:T2)</f>
        <v>100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x14ac:dyDescent="0.25">
      <c r="A3" s="82" t="s">
        <v>172</v>
      </c>
      <c r="B3" s="83"/>
      <c r="C3" s="83"/>
      <c r="D3" s="83"/>
      <c r="E3" s="83"/>
      <c r="F3" s="83"/>
      <c r="G3" s="83"/>
      <c r="H3" s="83"/>
      <c r="I3" s="83"/>
      <c r="J3" s="83"/>
      <c r="K3" s="83">
        <v>95.861999999999995</v>
      </c>
      <c r="L3" s="83"/>
      <c r="M3" s="83"/>
      <c r="N3" s="83"/>
      <c r="O3" s="83"/>
      <c r="P3" s="83"/>
      <c r="Q3" s="83"/>
      <c r="R3" s="83"/>
      <c r="S3" s="83"/>
      <c r="T3" s="83"/>
      <c r="U3" s="83">
        <f t="shared" si="0"/>
        <v>95.861999999999995</v>
      </c>
      <c r="W3" s="70" t="s">
        <v>249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66" t="s">
        <v>71</v>
      </c>
      <c r="AD3" s="71" t="s">
        <v>286</v>
      </c>
    </row>
    <row r="4" spans="1:30" ht="15.75" thickBot="1" x14ac:dyDescent="0.3">
      <c r="A4" s="82" t="s">
        <v>128</v>
      </c>
      <c r="B4" s="83"/>
      <c r="C4" s="83"/>
      <c r="D4" s="83"/>
      <c r="E4" s="83"/>
      <c r="F4" s="83">
        <v>41.219000000000001</v>
      </c>
      <c r="G4" s="83"/>
      <c r="H4" s="83">
        <f>84.257+7</f>
        <v>91.257000000000005</v>
      </c>
      <c r="I4" s="83"/>
      <c r="J4" s="83"/>
      <c r="K4" s="83">
        <v>8</v>
      </c>
      <c r="L4" s="83"/>
      <c r="M4" s="83"/>
      <c r="N4" s="83"/>
      <c r="O4" s="83"/>
      <c r="P4" s="83"/>
      <c r="Q4" s="83"/>
      <c r="R4" s="83"/>
      <c r="S4" s="83">
        <v>12.33</v>
      </c>
      <c r="T4" s="83"/>
      <c r="U4" s="83">
        <f t="shared" si="0"/>
        <v>152.80600000000001</v>
      </c>
      <c r="W4" s="72" t="s">
        <v>250</v>
      </c>
      <c r="X4" s="74" t="s">
        <v>71</v>
      </c>
      <c r="Y4" s="74" t="s">
        <v>71</v>
      </c>
      <c r="Z4" s="74" t="s">
        <v>71</v>
      </c>
      <c r="AA4" s="74" t="s">
        <v>71</v>
      </c>
      <c r="AB4" s="74" t="s">
        <v>71</v>
      </c>
      <c r="AC4" s="74" t="s">
        <v>71</v>
      </c>
      <c r="AD4" s="75" t="s">
        <v>71</v>
      </c>
    </row>
    <row r="5" spans="1:30" x14ac:dyDescent="0.25">
      <c r="A5" s="82" t="s">
        <v>134</v>
      </c>
      <c r="B5" s="83">
        <v>17.963999999999999</v>
      </c>
      <c r="C5" s="83"/>
      <c r="D5" s="83">
        <v>65.061999999999998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>
        <v>38.83</v>
      </c>
      <c r="S5" s="83">
        <v>12.5</v>
      </c>
      <c r="T5" s="83"/>
      <c r="U5" s="83">
        <f t="shared" si="0"/>
        <v>134.35599999999999</v>
      </c>
    </row>
    <row r="6" spans="1:30" x14ac:dyDescent="0.25">
      <c r="A6" s="82" t="s">
        <v>139</v>
      </c>
      <c r="B6" s="83">
        <v>20.75</v>
      </c>
      <c r="C6" s="83"/>
      <c r="D6" s="83">
        <v>116.17900000000002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v>3.25</v>
      </c>
      <c r="T6" s="83">
        <v>8.4</v>
      </c>
      <c r="U6" s="83">
        <f t="shared" si="0"/>
        <v>148.57900000000004</v>
      </c>
    </row>
    <row r="7" spans="1:30" x14ac:dyDescent="0.25">
      <c r="A7" s="82" t="s">
        <v>122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>
        <v>66.67</v>
      </c>
      <c r="Q7" s="83"/>
      <c r="R7" s="83"/>
      <c r="S7" s="83">
        <v>35.75</v>
      </c>
      <c r="T7" s="83"/>
      <c r="U7" s="83">
        <f t="shared" si="0"/>
        <v>102.42</v>
      </c>
    </row>
    <row r="8" spans="1:30" x14ac:dyDescent="0.25">
      <c r="A8" s="82" t="s">
        <v>217</v>
      </c>
      <c r="B8" s="83"/>
      <c r="C8" s="83"/>
      <c r="D8" s="83">
        <v>93.393000000000001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>
        <v>22.75</v>
      </c>
      <c r="S8" s="83">
        <v>0.5</v>
      </c>
      <c r="T8" s="83">
        <v>2.8</v>
      </c>
      <c r="U8" s="83">
        <f t="shared" si="0"/>
        <v>119.443</v>
      </c>
    </row>
    <row r="9" spans="1:30" x14ac:dyDescent="0.25">
      <c r="A9" s="82" t="s">
        <v>125</v>
      </c>
      <c r="B9" s="83">
        <v>25.045000000000002</v>
      </c>
      <c r="C9" s="83">
        <v>77.856999999999999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v>5</v>
      </c>
      <c r="T9" s="83"/>
      <c r="U9" s="83">
        <f t="shared" si="0"/>
        <v>107.902</v>
      </c>
    </row>
    <row r="10" spans="1:30" x14ac:dyDescent="0.25">
      <c r="A10" s="82" t="s">
        <v>158</v>
      </c>
      <c r="B10" s="83"/>
      <c r="C10" s="83"/>
      <c r="D10" s="83"/>
      <c r="E10" s="83"/>
      <c r="F10" s="83"/>
      <c r="G10" s="83">
        <v>51.35</v>
      </c>
      <c r="H10" s="83"/>
      <c r="I10" s="83"/>
      <c r="J10" s="83">
        <v>14.132999999999999</v>
      </c>
      <c r="K10" s="83"/>
      <c r="L10" s="83"/>
      <c r="M10" s="83"/>
      <c r="N10" s="83"/>
      <c r="O10" s="83"/>
      <c r="P10" s="83"/>
      <c r="Q10" s="83"/>
      <c r="R10" s="83"/>
      <c r="S10" s="83"/>
      <c r="T10" s="83">
        <v>7.4</v>
      </c>
      <c r="U10" s="83">
        <f t="shared" si="0"/>
        <v>72.88300000000001</v>
      </c>
    </row>
    <row r="11" spans="1:30" x14ac:dyDescent="0.25">
      <c r="A11" s="82" t="s">
        <v>189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150.44</v>
      </c>
      <c r="P11" s="83"/>
      <c r="Q11" s="83"/>
      <c r="R11" s="83"/>
      <c r="S11" s="83">
        <v>26.42</v>
      </c>
      <c r="T11" s="83"/>
      <c r="U11" s="83">
        <f t="shared" si="0"/>
        <v>176.86</v>
      </c>
    </row>
    <row r="12" spans="1:30" x14ac:dyDescent="0.25">
      <c r="A12" s="82" t="s">
        <v>185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>
        <v>17.82</v>
      </c>
      <c r="Q12" s="83"/>
      <c r="R12" s="83"/>
      <c r="S12" s="83">
        <v>31.5</v>
      </c>
      <c r="T12" s="83"/>
      <c r="U12" s="83">
        <f t="shared" si="0"/>
        <v>49.32</v>
      </c>
    </row>
    <row r="13" spans="1:30" x14ac:dyDescent="0.25">
      <c r="A13" s="82" t="s">
        <v>149</v>
      </c>
      <c r="B13" s="83"/>
      <c r="C13" s="83">
        <v>8.1909999999999989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>
        <v>5</v>
      </c>
      <c r="T13" s="83"/>
      <c r="U13" s="83">
        <f t="shared" si="0"/>
        <v>13.190999999999999</v>
      </c>
    </row>
    <row r="14" spans="1:30" x14ac:dyDescent="0.25">
      <c r="A14" s="82" t="s">
        <v>197</v>
      </c>
      <c r="B14" s="83">
        <v>161.61000000000001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>
        <v>13</v>
      </c>
      <c r="T14" s="83">
        <v>10.1</v>
      </c>
      <c r="U14" s="83">
        <f t="shared" si="0"/>
        <v>184.71</v>
      </c>
    </row>
    <row r="15" spans="1:30" x14ac:dyDescent="0.25">
      <c r="A15" s="82" t="s">
        <v>198</v>
      </c>
      <c r="B15" s="83">
        <v>18.12</v>
      </c>
      <c r="C15" s="83"/>
      <c r="D15" s="83">
        <v>46.388999999999996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>
        <v>26.83</v>
      </c>
      <c r="S15" s="83">
        <v>2.5</v>
      </c>
      <c r="T15" s="83"/>
      <c r="U15" s="83">
        <f t="shared" si="0"/>
        <v>93.838999999999999</v>
      </c>
    </row>
    <row r="16" spans="1:30" x14ac:dyDescent="0.25">
      <c r="A16" s="82" t="s">
        <v>147</v>
      </c>
      <c r="B16" s="83"/>
      <c r="C16" s="83"/>
      <c r="D16" s="83"/>
      <c r="E16" s="83"/>
      <c r="F16" s="83"/>
      <c r="G16" s="83"/>
      <c r="H16" s="83"/>
      <c r="I16" s="83"/>
      <c r="J16" s="83">
        <v>127.753</v>
      </c>
      <c r="K16" s="83"/>
      <c r="L16" s="83"/>
      <c r="M16" s="83"/>
      <c r="N16" s="83"/>
      <c r="O16" s="83"/>
      <c r="P16" s="83"/>
      <c r="Q16" s="83"/>
      <c r="R16" s="83"/>
      <c r="S16" s="83">
        <v>15.9</v>
      </c>
      <c r="T16" s="83">
        <v>7.4</v>
      </c>
      <c r="U16" s="83">
        <f t="shared" si="0"/>
        <v>151.053</v>
      </c>
    </row>
    <row r="17" spans="1:21" x14ac:dyDescent="0.25">
      <c r="A17" s="82" t="s">
        <v>142</v>
      </c>
      <c r="B17" s="83"/>
      <c r="C17" s="83"/>
      <c r="D17" s="83"/>
      <c r="E17" s="83"/>
      <c r="F17" s="83">
        <v>14.176</v>
      </c>
      <c r="G17" s="83"/>
      <c r="H17" s="83"/>
      <c r="I17" s="83"/>
      <c r="J17" s="83"/>
      <c r="K17" s="83"/>
      <c r="L17" s="83"/>
      <c r="M17" s="83"/>
      <c r="N17" s="83"/>
      <c r="O17" s="83"/>
      <c r="P17" s="83">
        <v>94.76</v>
      </c>
      <c r="Q17" s="83"/>
      <c r="R17" s="83"/>
      <c r="S17" s="83">
        <v>28.5</v>
      </c>
      <c r="T17" s="83"/>
      <c r="U17" s="83">
        <f t="shared" si="0"/>
        <v>137.43600000000001</v>
      </c>
    </row>
    <row r="18" spans="1:21" x14ac:dyDescent="0.25">
      <c r="A18" s="82" t="s">
        <v>218</v>
      </c>
      <c r="B18" s="83">
        <v>26.05</v>
      </c>
      <c r="C18" s="83">
        <f>38.194+10</f>
        <v>48.194000000000003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>
        <v>16</v>
      </c>
      <c r="T18" s="83"/>
      <c r="U18" s="83">
        <f t="shared" si="0"/>
        <v>90.244</v>
      </c>
    </row>
    <row r="19" spans="1:21" x14ac:dyDescent="0.25">
      <c r="A19" s="82" t="s">
        <v>156</v>
      </c>
      <c r="B19" s="83"/>
      <c r="C19" s="83"/>
      <c r="D19" s="83">
        <v>128.19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>
        <v>2.77</v>
      </c>
      <c r="T19" s="83"/>
      <c r="U19" s="83">
        <f t="shared" si="0"/>
        <v>130.96</v>
      </c>
    </row>
    <row r="20" spans="1:21" x14ac:dyDescent="0.25">
      <c r="A20" s="82" t="s">
        <v>171</v>
      </c>
      <c r="B20" s="83">
        <v>129.91999999999999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v>1.58</v>
      </c>
      <c r="T20" s="83"/>
      <c r="U20" s="83">
        <f t="shared" si="0"/>
        <v>131.5</v>
      </c>
    </row>
    <row r="21" spans="1:21" x14ac:dyDescent="0.25">
      <c r="A21" s="82" t="s">
        <v>176</v>
      </c>
      <c r="B21" s="83"/>
      <c r="C21" s="83"/>
      <c r="D21" s="83"/>
      <c r="E21" s="83"/>
      <c r="F21" s="83">
        <v>159.75678264969355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v>14.75</v>
      </c>
      <c r="T21" s="83">
        <v>1</v>
      </c>
      <c r="U21" s="83">
        <f t="shared" si="0"/>
        <v>175.50678264969355</v>
      </c>
    </row>
    <row r="22" spans="1:21" x14ac:dyDescent="0.25">
      <c r="A22" s="82" t="s">
        <v>114</v>
      </c>
      <c r="B22" s="83">
        <v>16.216000000000001</v>
      </c>
      <c r="C22" s="83"/>
      <c r="D22" s="83">
        <v>141.34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>
        <v>3.75</v>
      </c>
      <c r="T22" s="83">
        <v>3.6</v>
      </c>
      <c r="U22" s="83">
        <f t="shared" si="0"/>
        <v>164.90600000000001</v>
      </c>
    </row>
    <row r="23" spans="1:21" x14ac:dyDescent="0.25">
      <c r="A23" s="82" t="s">
        <v>183</v>
      </c>
      <c r="B23" s="83">
        <v>68.793000000000006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>
        <v>3.58</v>
      </c>
      <c r="T23" s="83">
        <v>10.199999999999999</v>
      </c>
      <c r="U23" s="83">
        <f t="shared" si="0"/>
        <v>82.573000000000008</v>
      </c>
    </row>
    <row r="24" spans="1:21" x14ac:dyDescent="0.25">
      <c r="A24" s="82" t="s">
        <v>135</v>
      </c>
      <c r="B24" s="83"/>
      <c r="C24" s="83"/>
      <c r="D24" s="83"/>
      <c r="E24" s="83"/>
      <c r="F24" s="83"/>
      <c r="G24" s="83"/>
      <c r="H24" s="83"/>
      <c r="I24" s="83"/>
      <c r="J24" s="83"/>
      <c r="K24" s="83">
        <v>195.95099999999999</v>
      </c>
      <c r="L24" s="83"/>
      <c r="M24" s="83"/>
      <c r="N24" s="83"/>
      <c r="O24" s="83"/>
      <c r="P24" s="83"/>
      <c r="Q24" s="83"/>
      <c r="R24" s="83"/>
      <c r="S24" s="83">
        <v>22.5</v>
      </c>
      <c r="T24" s="83">
        <v>2</v>
      </c>
      <c r="U24" s="83">
        <f t="shared" si="0"/>
        <v>220.45099999999999</v>
      </c>
    </row>
    <row r="25" spans="1:21" x14ac:dyDescent="0.25">
      <c r="A25" s="82" t="s">
        <v>180</v>
      </c>
      <c r="B25" s="83"/>
      <c r="C25" s="83"/>
      <c r="D25" s="83">
        <v>139.19999999999999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>
        <v>15.75</v>
      </c>
      <c r="T25" s="83"/>
      <c r="U25" s="83">
        <f t="shared" si="0"/>
        <v>154.94999999999999</v>
      </c>
    </row>
    <row r="26" spans="1:21" x14ac:dyDescent="0.25">
      <c r="A26" s="82" t="s">
        <v>123</v>
      </c>
      <c r="B26" s="83">
        <v>18.664000000000001</v>
      </c>
      <c r="C26" s="83"/>
      <c r="D26" s="83">
        <v>136.715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v>9.83</v>
      </c>
      <c r="T26" s="83">
        <v>5.6</v>
      </c>
      <c r="U26" s="83">
        <f t="shared" si="0"/>
        <v>170.80900000000003</v>
      </c>
    </row>
    <row r="27" spans="1:21" x14ac:dyDescent="0.25">
      <c r="A27" s="82" t="s">
        <v>151</v>
      </c>
      <c r="B27" s="83">
        <v>35.805</v>
      </c>
      <c r="C27" s="83"/>
      <c r="D27" s="83">
        <v>134.72999999999999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v>8</v>
      </c>
      <c r="T27" s="83"/>
      <c r="U27" s="83">
        <f t="shared" si="0"/>
        <v>178.535</v>
      </c>
    </row>
    <row r="28" spans="1:21" x14ac:dyDescent="0.25">
      <c r="A28" s="82" t="s">
        <v>168</v>
      </c>
      <c r="B28" s="83"/>
      <c r="C28" s="83"/>
      <c r="D28" s="83"/>
      <c r="E28" s="83"/>
      <c r="F28" s="83"/>
      <c r="G28" s="83"/>
      <c r="H28" s="83"/>
      <c r="I28" s="83"/>
      <c r="J28" s="83">
        <v>8.2309999999999999</v>
      </c>
      <c r="K28" s="83"/>
      <c r="L28" s="83"/>
      <c r="M28" s="83"/>
      <c r="N28" s="83"/>
      <c r="O28" s="83"/>
      <c r="P28" s="83"/>
      <c r="Q28" s="83"/>
      <c r="R28" s="83"/>
      <c r="S28" s="83"/>
      <c r="T28" s="83">
        <v>150</v>
      </c>
      <c r="U28" s="83">
        <f t="shared" si="0"/>
        <v>158.23099999999999</v>
      </c>
    </row>
    <row r="29" spans="1:21" x14ac:dyDescent="0.25">
      <c r="A29" s="82" t="s">
        <v>173</v>
      </c>
      <c r="B29" s="83"/>
      <c r="C29" s="83"/>
      <c r="D29" s="83"/>
      <c r="E29" s="83"/>
      <c r="F29" s="83"/>
      <c r="G29" s="83">
        <v>57.793999999999997</v>
      </c>
      <c r="H29" s="83"/>
      <c r="I29" s="83">
        <v>45.263999999999996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>
        <v>7.5</v>
      </c>
      <c r="U29" s="83">
        <f t="shared" si="0"/>
        <v>110.55799999999999</v>
      </c>
    </row>
    <row r="30" spans="1:21" x14ac:dyDescent="0.25">
      <c r="A30" s="82" t="s">
        <v>182</v>
      </c>
      <c r="B30" s="83">
        <v>20.254999999999999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>
        <f>26.473+20</f>
        <v>46.472999999999999</v>
      </c>
      <c r="O30" s="83"/>
      <c r="P30" s="83"/>
      <c r="Q30" s="83"/>
      <c r="R30" s="83"/>
      <c r="S30" s="83">
        <v>3.25</v>
      </c>
      <c r="T30" s="83">
        <v>12.7</v>
      </c>
      <c r="U30" s="83">
        <f t="shared" si="0"/>
        <v>82.677999999999997</v>
      </c>
    </row>
    <row r="31" spans="1:21" x14ac:dyDescent="0.25">
      <c r="A31" s="82" t="s">
        <v>145</v>
      </c>
      <c r="B31" s="83">
        <v>117.349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v>4.25</v>
      </c>
      <c r="T31" s="83">
        <v>10.9</v>
      </c>
      <c r="U31" s="83">
        <f t="shared" si="0"/>
        <v>132.499</v>
      </c>
    </row>
    <row r="32" spans="1:21" x14ac:dyDescent="0.25">
      <c r="A32" s="82" t="s">
        <v>219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>
        <v>59.12</v>
      </c>
      <c r="Q32" s="83"/>
      <c r="R32" s="83"/>
      <c r="S32" s="83">
        <v>11.34</v>
      </c>
      <c r="T32" s="83"/>
      <c r="U32" s="83">
        <f t="shared" si="0"/>
        <v>70.459999999999994</v>
      </c>
    </row>
    <row r="33" spans="1:21" x14ac:dyDescent="0.25">
      <c r="A33" s="82" t="s">
        <v>196</v>
      </c>
      <c r="B33" s="83">
        <v>14.76</v>
      </c>
      <c r="C33" s="83">
        <v>74.400000000000006</v>
      </c>
      <c r="D33" s="83">
        <v>23.721999999999998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>
        <v>13.5</v>
      </c>
      <c r="T33" s="83"/>
      <c r="U33" s="83">
        <f t="shared" si="0"/>
        <v>126.38200000000001</v>
      </c>
    </row>
    <row r="34" spans="1:21" x14ac:dyDescent="0.25">
      <c r="A34" s="82" t="s">
        <v>154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>
        <v>40.519999999999996</v>
      </c>
      <c r="O34" s="83"/>
      <c r="P34" s="83"/>
      <c r="Q34" s="83">
        <f>126.199+20</f>
        <v>146.19900000000001</v>
      </c>
      <c r="R34" s="83"/>
      <c r="S34" s="83">
        <v>12.5</v>
      </c>
      <c r="T34" s="83"/>
      <c r="U34" s="83">
        <f t="shared" ref="U34:U65" si="1">SUM(B34:T34)</f>
        <v>199.21899999999999</v>
      </c>
    </row>
    <row r="35" spans="1:21" x14ac:dyDescent="0.25">
      <c r="A35" s="82" t="s">
        <v>136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>
        <v>31.35</v>
      </c>
      <c r="O35" s="83"/>
      <c r="P35" s="83">
        <v>66.48</v>
      </c>
      <c r="Q35" s="83"/>
      <c r="R35" s="83"/>
      <c r="S35" s="83">
        <v>30</v>
      </c>
      <c r="T35" s="83">
        <v>1.1000000000000001</v>
      </c>
      <c r="U35" s="83">
        <f t="shared" si="1"/>
        <v>128.93</v>
      </c>
    </row>
    <row r="36" spans="1:21" x14ac:dyDescent="0.25">
      <c r="A36" s="82" t="s">
        <v>220</v>
      </c>
      <c r="B36" s="83"/>
      <c r="C36" s="83"/>
      <c r="D36" s="83"/>
      <c r="E36" s="83"/>
      <c r="F36" s="83"/>
      <c r="G36" s="83"/>
      <c r="H36" s="83"/>
      <c r="I36" s="83"/>
      <c r="J36" s="83"/>
      <c r="K36" s="83">
        <f>137.684+12.17</f>
        <v>149.85399999999998</v>
      </c>
      <c r="L36" s="83"/>
      <c r="M36" s="83"/>
      <c r="N36" s="83"/>
      <c r="O36" s="83"/>
      <c r="P36" s="83"/>
      <c r="Q36" s="83"/>
      <c r="R36" s="83"/>
      <c r="S36" s="83">
        <v>1.33</v>
      </c>
      <c r="T36" s="83"/>
      <c r="U36" s="83">
        <f t="shared" si="1"/>
        <v>151.184</v>
      </c>
    </row>
    <row r="37" spans="1:21" x14ac:dyDescent="0.25">
      <c r="A37" s="82" t="s">
        <v>159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>
        <v>45.539999999999992</v>
      </c>
      <c r="Q37" s="83"/>
      <c r="R37" s="83"/>
      <c r="S37" s="83">
        <v>34.5</v>
      </c>
      <c r="T37" s="83"/>
      <c r="U37" s="83">
        <f t="shared" si="1"/>
        <v>80.039999999999992</v>
      </c>
    </row>
    <row r="38" spans="1:21" x14ac:dyDescent="0.25">
      <c r="A38" s="82" t="s">
        <v>193</v>
      </c>
      <c r="B38" s="83"/>
      <c r="C38" s="83"/>
      <c r="D38" s="83"/>
      <c r="E38" s="83"/>
      <c r="F38" s="83"/>
      <c r="G38" s="83">
        <v>134.32900000000001</v>
      </c>
      <c r="H38" s="83"/>
      <c r="I38" s="83"/>
      <c r="J38" s="83">
        <v>52.016999999999996</v>
      </c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>
        <f t="shared" si="1"/>
        <v>186.346</v>
      </c>
    </row>
    <row r="39" spans="1:21" x14ac:dyDescent="0.25">
      <c r="A39" s="82" t="s">
        <v>251</v>
      </c>
      <c r="B39" s="83"/>
      <c r="C39" s="83"/>
      <c r="D39" s="83"/>
      <c r="E39" s="83"/>
      <c r="F39" s="83">
        <v>24.994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v>25</v>
      </c>
      <c r="T39" s="83"/>
      <c r="U39" s="83">
        <f t="shared" si="1"/>
        <v>49.994</v>
      </c>
    </row>
    <row r="40" spans="1:21" x14ac:dyDescent="0.25">
      <c r="A40" s="82" t="s">
        <v>188</v>
      </c>
      <c r="B40" s="83">
        <v>98.921999999999997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>
        <v>15.5</v>
      </c>
      <c r="T40" s="83"/>
      <c r="U40" s="83">
        <f t="shared" si="1"/>
        <v>114.422</v>
      </c>
    </row>
    <row r="41" spans="1:21" x14ac:dyDescent="0.25">
      <c r="A41" s="82" t="s">
        <v>121</v>
      </c>
      <c r="B41" s="83"/>
      <c r="C41" s="83"/>
      <c r="D41" s="83"/>
      <c r="E41" s="83"/>
      <c r="F41" s="83">
        <v>24.884</v>
      </c>
      <c r="G41" s="83"/>
      <c r="H41" s="83"/>
      <c r="I41" s="83"/>
      <c r="J41" s="83"/>
      <c r="K41" s="83"/>
      <c r="L41" s="83">
        <v>5.36</v>
      </c>
      <c r="M41" s="83"/>
      <c r="N41" s="83"/>
      <c r="O41" s="83"/>
      <c r="P41" s="83">
        <v>48.97</v>
      </c>
      <c r="Q41" s="83"/>
      <c r="R41" s="83"/>
      <c r="S41" s="83">
        <v>43.67</v>
      </c>
      <c r="T41" s="83">
        <v>1</v>
      </c>
      <c r="U41" s="83">
        <f t="shared" si="1"/>
        <v>123.884</v>
      </c>
    </row>
    <row r="42" spans="1:21" x14ac:dyDescent="0.25">
      <c r="A42" s="82" t="s">
        <v>152</v>
      </c>
      <c r="B42" s="83"/>
      <c r="C42" s="83"/>
      <c r="D42" s="83"/>
      <c r="E42" s="83"/>
      <c r="F42" s="83">
        <v>39.722000000000001</v>
      </c>
      <c r="G42" s="83">
        <v>128.11100000000002</v>
      </c>
      <c r="H42" s="83"/>
      <c r="I42" s="83"/>
      <c r="J42" s="83">
        <v>15.684000000000001</v>
      </c>
      <c r="K42" s="83"/>
      <c r="L42" s="83"/>
      <c r="M42" s="83"/>
      <c r="N42" s="83"/>
      <c r="O42" s="83"/>
      <c r="P42" s="83"/>
      <c r="Q42" s="83"/>
      <c r="R42" s="83"/>
      <c r="S42" s="83">
        <v>9.5</v>
      </c>
      <c r="T42" s="83"/>
      <c r="U42" s="83">
        <f t="shared" si="1"/>
        <v>193.01700000000002</v>
      </c>
    </row>
    <row r="43" spans="1:21" x14ac:dyDescent="0.25">
      <c r="A43" s="82" t="s">
        <v>175</v>
      </c>
      <c r="B43" s="83"/>
      <c r="C43" s="83"/>
      <c r="D43" s="83"/>
      <c r="E43" s="83"/>
      <c r="F43" s="83"/>
      <c r="G43" s="83"/>
      <c r="H43" s="83"/>
      <c r="I43" s="83"/>
      <c r="J43" s="83">
        <v>97.02000000000001</v>
      </c>
      <c r="K43" s="83"/>
      <c r="L43" s="83"/>
      <c r="M43" s="83"/>
      <c r="N43" s="83"/>
      <c r="O43" s="83"/>
      <c r="P43" s="83"/>
      <c r="Q43" s="83">
        <v>74.148999999999987</v>
      </c>
      <c r="R43" s="83"/>
      <c r="S43" s="83">
        <v>13</v>
      </c>
      <c r="T43" s="83"/>
      <c r="U43" s="83">
        <f t="shared" si="1"/>
        <v>184.16899999999998</v>
      </c>
    </row>
    <row r="44" spans="1:21" x14ac:dyDescent="0.25">
      <c r="A44" s="82" t="s">
        <v>130</v>
      </c>
      <c r="B44" s="83"/>
      <c r="C44" s="83"/>
      <c r="D44" s="83">
        <v>182.76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>
        <v>3.25</v>
      </c>
      <c r="T44" s="83">
        <v>9.4</v>
      </c>
      <c r="U44" s="83">
        <f t="shared" si="1"/>
        <v>195.41</v>
      </c>
    </row>
    <row r="45" spans="1:21" x14ac:dyDescent="0.25">
      <c r="A45" s="82" t="s">
        <v>160</v>
      </c>
      <c r="B45" s="83"/>
      <c r="C45" s="83"/>
      <c r="D45" s="83">
        <v>105.87200000000001</v>
      </c>
      <c r="E45" s="83"/>
      <c r="F45" s="83"/>
      <c r="G45" s="83"/>
      <c r="H45" s="83"/>
      <c r="I45" s="83"/>
      <c r="J45" s="83"/>
      <c r="K45" s="83"/>
      <c r="L45" s="83"/>
      <c r="M45" s="83">
        <v>73.399000000000015</v>
      </c>
      <c r="N45" s="83"/>
      <c r="O45" s="83"/>
      <c r="P45" s="83"/>
      <c r="Q45" s="83"/>
      <c r="R45" s="83"/>
      <c r="S45" s="83">
        <v>8.33</v>
      </c>
      <c r="T45" s="83"/>
      <c r="U45" s="83">
        <f t="shared" si="1"/>
        <v>187.60100000000003</v>
      </c>
    </row>
    <row r="46" spans="1:21" x14ac:dyDescent="0.25">
      <c r="A46" s="82" t="s">
        <v>170</v>
      </c>
      <c r="B46" s="83"/>
      <c r="C46" s="83"/>
      <c r="D46" s="83"/>
      <c r="E46" s="83"/>
      <c r="F46" s="83">
        <v>36.052999999999997</v>
      </c>
      <c r="G46" s="83">
        <f>118.413+25</f>
        <v>143.41300000000001</v>
      </c>
      <c r="H46" s="83"/>
      <c r="I46" s="83"/>
      <c r="J46" s="83">
        <v>8.4740000000000002</v>
      </c>
      <c r="K46" s="83"/>
      <c r="L46" s="83"/>
      <c r="M46" s="83"/>
      <c r="N46" s="83"/>
      <c r="O46" s="83"/>
      <c r="P46" s="83"/>
      <c r="Q46" s="83"/>
      <c r="R46" s="83"/>
      <c r="S46" s="83">
        <v>6</v>
      </c>
      <c r="T46" s="83"/>
      <c r="U46" s="83">
        <f t="shared" si="1"/>
        <v>193.94</v>
      </c>
    </row>
    <row r="47" spans="1:21" x14ac:dyDescent="0.25">
      <c r="A47" s="82" t="s">
        <v>155</v>
      </c>
      <c r="B47" s="83"/>
      <c r="C47" s="83"/>
      <c r="D47" s="83"/>
      <c r="E47" s="83">
        <v>50.775999999999996</v>
      </c>
      <c r="F47" s="83"/>
      <c r="G47" s="83"/>
      <c r="H47" s="83"/>
      <c r="I47" s="83"/>
      <c r="J47" s="83">
        <v>17.963000000000001</v>
      </c>
      <c r="K47" s="83"/>
      <c r="L47" s="83"/>
      <c r="M47" s="83"/>
      <c r="N47" s="83"/>
      <c r="O47" s="83"/>
      <c r="P47" s="83"/>
      <c r="Q47" s="83"/>
      <c r="R47" s="83"/>
      <c r="S47" s="83">
        <v>2.5</v>
      </c>
      <c r="T47" s="83"/>
      <c r="U47" s="83">
        <f t="shared" si="1"/>
        <v>71.239000000000004</v>
      </c>
    </row>
    <row r="48" spans="1:21" x14ac:dyDescent="0.25">
      <c r="A48" s="82" t="s">
        <v>221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>
        <v>126.532</v>
      </c>
      <c r="R48" s="83"/>
      <c r="S48" s="83">
        <v>12</v>
      </c>
      <c r="T48" s="83"/>
      <c r="U48" s="83">
        <f t="shared" si="1"/>
        <v>138.53199999999998</v>
      </c>
    </row>
    <row r="49" spans="1:21" x14ac:dyDescent="0.25">
      <c r="A49" s="82" t="s">
        <v>174</v>
      </c>
      <c r="B49" s="83">
        <v>159.91600000000003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>
        <v>6.23</v>
      </c>
      <c r="T49" s="83"/>
      <c r="U49" s="83">
        <f t="shared" si="1"/>
        <v>166.14600000000002</v>
      </c>
    </row>
    <row r="50" spans="1:21" x14ac:dyDescent="0.25">
      <c r="A50" s="82" t="s">
        <v>187</v>
      </c>
      <c r="B50" s="83">
        <v>103.577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v>9.08</v>
      </c>
      <c r="T50" s="83">
        <v>15</v>
      </c>
      <c r="U50" s="83">
        <f t="shared" si="1"/>
        <v>127.657</v>
      </c>
    </row>
    <row r="51" spans="1:21" x14ac:dyDescent="0.25">
      <c r="A51" s="82" t="s">
        <v>191</v>
      </c>
      <c r="B51" s="83"/>
      <c r="C51" s="83"/>
      <c r="D51" s="83"/>
      <c r="E51" s="83"/>
      <c r="F51" s="83"/>
      <c r="G51" s="83">
        <v>132.702</v>
      </c>
      <c r="H51" s="83"/>
      <c r="I51" s="83"/>
      <c r="J51" s="83">
        <v>7.008</v>
      </c>
      <c r="K51" s="83"/>
      <c r="L51" s="83"/>
      <c r="M51" s="83"/>
      <c r="N51" s="83"/>
      <c r="O51" s="83"/>
      <c r="P51" s="83"/>
      <c r="Q51" s="83"/>
      <c r="R51" s="83"/>
      <c r="S51" s="83">
        <v>1</v>
      </c>
      <c r="T51" s="83"/>
      <c r="U51" s="83">
        <f t="shared" si="1"/>
        <v>140.71</v>
      </c>
    </row>
    <row r="52" spans="1:21" x14ac:dyDescent="0.25">
      <c r="A52" s="82" t="s">
        <v>194</v>
      </c>
      <c r="B52" s="83"/>
      <c r="C52" s="83"/>
      <c r="D52" s="83"/>
      <c r="E52" s="83"/>
      <c r="F52" s="83">
        <v>14.94</v>
      </c>
      <c r="G52" s="83"/>
      <c r="H52" s="83"/>
      <c r="I52" s="83"/>
      <c r="J52" s="83"/>
      <c r="K52" s="83">
        <v>156.89699999999999</v>
      </c>
      <c r="L52" s="83"/>
      <c r="M52" s="83"/>
      <c r="N52" s="83"/>
      <c r="O52" s="83"/>
      <c r="P52" s="83"/>
      <c r="Q52" s="83"/>
      <c r="R52" s="83"/>
      <c r="S52" s="83">
        <v>14</v>
      </c>
      <c r="T52" s="83"/>
      <c r="U52" s="83">
        <f t="shared" si="1"/>
        <v>185.83699999999999</v>
      </c>
    </row>
    <row r="53" spans="1:21" x14ac:dyDescent="0.25">
      <c r="A53" s="82" t="s">
        <v>192</v>
      </c>
      <c r="B53" s="83"/>
      <c r="C53" s="83"/>
      <c r="D53" s="83">
        <v>104.84200000000001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>
        <v>4.75</v>
      </c>
      <c r="T53" s="83">
        <v>2.6</v>
      </c>
      <c r="U53" s="83">
        <f t="shared" si="1"/>
        <v>112.19200000000001</v>
      </c>
    </row>
    <row r="54" spans="1:21" x14ac:dyDescent="0.25">
      <c r="A54" s="82" t="s">
        <v>143</v>
      </c>
      <c r="B54" s="83">
        <v>34.436999999999998</v>
      </c>
      <c r="C54" s="83">
        <f>94.455+10</f>
        <v>104.455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>
        <v>5</v>
      </c>
      <c r="T54" s="83"/>
      <c r="U54" s="83">
        <f t="shared" si="1"/>
        <v>143.892</v>
      </c>
    </row>
    <row r="55" spans="1:21" x14ac:dyDescent="0.25">
      <c r="A55" s="82" t="s">
        <v>146</v>
      </c>
      <c r="B55" s="83"/>
      <c r="C55" s="83"/>
      <c r="D55" s="83"/>
      <c r="E55" s="83"/>
      <c r="F55" s="83"/>
      <c r="G55" s="83"/>
      <c r="H55" s="83"/>
      <c r="I55" s="83"/>
      <c r="J55" s="83"/>
      <c r="K55" s="83">
        <v>15.433999999999999</v>
      </c>
      <c r="L55" s="83"/>
      <c r="M55" s="83"/>
      <c r="N55" s="83"/>
      <c r="O55" s="83"/>
      <c r="P55" s="83">
        <v>53.63</v>
      </c>
      <c r="Q55" s="83"/>
      <c r="R55" s="83"/>
      <c r="S55" s="83">
        <v>52.75</v>
      </c>
      <c r="T55" s="83"/>
      <c r="U55" s="83">
        <f t="shared" si="1"/>
        <v>121.81400000000001</v>
      </c>
    </row>
    <row r="56" spans="1:21" x14ac:dyDescent="0.25">
      <c r="A56" s="82" t="s">
        <v>133</v>
      </c>
      <c r="B56" s="83"/>
      <c r="C56" s="83"/>
      <c r="D56" s="83"/>
      <c r="E56" s="83">
        <v>13.786000000000001</v>
      </c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>
        <v>2</v>
      </c>
      <c r="T56" s="83"/>
      <c r="U56" s="83">
        <f t="shared" si="1"/>
        <v>15.786000000000001</v>
      </c>
    </row>
    <row r="57" spans="1:21" x14ac:dyDescent="0.25">
      <c r="A57" s="82" t="s">
        <v>140</v>
      </c>
      <c r="B57" s="83">
        <v>34.117999999999995</v>
      </c>
      <c r="C57" s="83">
        <v>101.33500000000002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v>5.33</v>
      </c>
      <c r="T57" s="83">
        <v>50</v>
      </c>
      <c r="U57" s="83">
        <f t="shared" si="1"/>
        <v>190.78300000000004</v>
      </c>
    </row>
    <row r="58" spans="1:21" x14ac:dyDescent="0.25">
      <c r="A58" s="82" t="s">
        <v>222</v>
      </c>
      <c r="B58" s="83"/>
      <c r="C58" s="83"/>
      <c r="D58" s="83"/>
      <c r="E58" s="83"/>
      <c r="F58" s="83">
        <v>154.49100000000001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>
        <v>9.75</v>
      </c>
      <c r="T58" s="83"/>
      <c r="U58" s="83">
        <f t="shared" si="1"/>
        <v>164.24100000000001</v>
      </c>
    </row>
    <row r="59" spans="1:21" x14ac:dyDescent="0.25">
      <c r="A59" s="82" t="s">
        <v>162</v>
      </c>
      <c r="B59" s="83">
        <v>167.66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>
        <v>25</v>
      </c>
      <c r="T59" s="83"/>
      <c r="U59" s="83">
        <f t="shared" si="1"/>
        <v>192.66</v>
      </c>
    </row>
    <row r="60" spans="1:21" x14ac:dyDescent="0.25">
      <c r="A60" s="82" t="s">
        <v>223</v>
      </c>
      <c r="B60" s="83"/>
      <c r="C60" s="83"/>
      <c r="D60" s="83">
        <v>100.10299999999999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>
        <v>4</v>
      </c>
      <c r="T60" s="83"/>
      <c r="U60" s="83">
        <f t="shared" si="1"/>
        <v>104.10299999999999</v>
      </c>
    </row>
    <row r="61" spans="1:21" x14ac:dyDescent="0.25">
      <c r="A61" s="82" t="s">
        <v>184</v>
      </c>
      <c r="B61" s="83"/>
      <c r="C61" s="83"/>
      <c r="D61" s="83"/>
      <c r="E61" s="83"/>
      <c r="F61" s="83"/>
      <c r="G61" s="83"/>
      <c r="H61" s="83"/>
      <c r="I61" s="83"/>
      <c r="J61" s="83"/>
      <c r="K61" s="83">
        <v>113.31399999999999</v>
      </c>
      <c r="L61" s="83"/>
      <c r="M61" s="83"/>
      <c r="N61" s="83"/>
      <c r="O61" s="83"/>
      <c r="P61" s="83"/>
      <c r="Q61" s="83"/>
      <c r="R61" s="83"/>
      <c r="S61" s="83">
        <v>1.75</v>
      </c>
      <c r="T61" s="83">
        <v>11.6</v>
      </c>
      <c r="U61" s="83">
        <f t="shared" si="1"/>
        <v>126.66399999999999</v>
      </c>
    </row>
    <row r="62" spans="1:21" x14ac:dyDescent="0.25">
      <c r="A62" s="82" t="s">
        <v>148</v>
      </c>
      <c r="B62" s="83"/>
      <c r="C62" s="83"/>
      <c r="D62" s="83"/>
      <c r="E62" s="83"/>
      <c r="F62" s="83">
        <v>13.834</v>
      </c>
      <c r="G62" s="83"/>
      <c r="H62" s="83"/>
      <c r="I62" s="83"/>
      <c r="J62" s="83"/>
      <c r="K62" s="83"/>
      <c r="L62" s="83"/>
      <c r="M62" s="83"/>
      <c r="N62" s="83"/>
      <c r="O62" s="83"/>
      <c r="P62" s="83">
        <v>68.88</v>
      </c>
      <c r="Q62" s="83"/>
      <c r="R62" s="83"/>
      <c r="S62" s="83">
        <v>35.33</v>
      </c>
      <c r="T62" s="83"/>
      <c r="U62" s="83">
        <f t="shared" si="1"/>
        <v>118.044</v>
      </c>
    </row>
    <row r="63" spans="1:21" s="17" customFormat="1" x14ac:dyDescent="0.25">
      <c r="A63" s="82" t="s">
        <v>296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>
        <v>200</v>
      </c>
      <c r="U63" s="83">
        <f t="shared" si="1"/>
        <v>200</v>
      </c>
    </row>
    <row r="64" spans="1:21" x14ac:dyDescent="0.25">
      <c r="A64" s="82" t="s">
        <v>167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>
        <v>67.47</v>
      </c>
      <c r="Q64" s="83"/>
      <c r="R64" s="83"/>
      <c r="S64" s="83">
        <v>23</v>
      </c>
      <c r="T64" s="83"/>
      <c r="U64" s="83">
        <f t="shared" si="1"/>
        <v>90.47</v>
      </c>
    </row>
    <row r="65" spans="1:21" x14ac:dyDescent="0.25">
      <c r="A65" s="82" t="s">
        <v>200</v>
      </c>
      <c r="B65" s="83"/>
      <c r="C65" s="83"/>
      <c r="D65" s="83"/>
      <c r="E65" s="83"/>
      <c r="F65" s="83"/>
      <c r="G65" s="83">
        <v>118.12100000000001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>
        <f t="shared" si="1"/>
        <v>118.12100000000001</v>
      </c>
    </row>
    <row r="66" spans="1:21" x14ac:dyDescent="0.25">
      <c r="A66" s="82" t="s">
        <v>199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>
        <v>142.90400000000002</v>
      </c>
      <c r="N66" s="83"/>
      <c r="O66" s="83"/>
      <c r="P66" s="83"/>
      <c r="Q66" s="83">
        <v>8.8840000000000003</v>
      </c>
      <c r="R66" s="83"/>
      <c r="S66" s="83">
        <v>16.5</v>
      </c>
      <c r="T66" s="83"/>
      <c r="U66" s="83">
        <f t="shared" ref="U66:U97" si="2">SUM(B66:T66)</f>
        <v>168.28800000000001</v>
      </c>
    </row>
    <row r="67" spans="1:21" x14ac:dyDescent="0.25">
      <c r="A67" s="82" t="s">
        <v>225</v>
      </c>
      <c r="B67" s="83">
        <v>131.26000000000002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>
        <v>17.59</v>
      </c>
      <c r="T67" s="83"/>
      <c r="U67" s="83">
        <f t="shared" si="2"/>
        <v>148.85000000000002</v>
      </c>
    </row>
    <row r="68" spans="1:21" x14ac:dyDescent="0.25">
      <c r="A68" s="82" t="s">
        <v>226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>
        <v>42.69</v>
      </c>
      <c r="Q68" s="83"/>
      <c r="R68" s="83"/>
      <c r="S68" s="83">
        <v>51.08</v>
      </c>
      <c r="T68" s="83"/>
      <c r="U68" s="83">
        <f t="shared" si="2"/>
        <v>93.77</v>
      </c>
    </row>
    <row r="69" spans="1:21" x14ac:dyDescent="0.25">
      <c r="A69" s="82" t="s">
        <v>169</v>
      </c>
      <c r="B69" s="83"/>
      <c r="C69" s="83"/>
      <c r="D69" s="83">
        <v>151.16999999999999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>
        <v>14.5</v>
      </c>
      <c r="T69" s="83"/>
      <c r="U69" s="83">
        <f t="shared" si="2"/>
        <v>165.67</v>
      </c>
    </row>
    <row r="70" spans="1:21" x14ac:dyDescent="0.25">
      <c r="A70" s="82" t="s">
        <v>120</v>
      </c>
      <c r="B70" s="83">
        <v>73.661999999999992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v>16.170000000000002</v>
      </c>
      <c r="T70" s="83"/>
      <c r="U70" s="83">
        <f t="shared" si="2"/>
        <v>89.831999999999994</v>
      </c>
    </row>
    <row r="71" spans="1:21" x14ac:dyDescent="0.25">
      <c r="A71" s="82" t="s">
        <v>124</v>
      </c>
      <c r="B71" s="83"/>
      <c r="C71" s="83"/>
      <c r="D71" s="83">
        <v>33.161999999999999</v>
      </c>
      <c r="E71" s="83"/>
      <c r="F71" s="83"/>
      <c r="G71" s="83"/>
      <c r="H71" s="83"/>
      <c r="I71" s="83">
        <f>64.8+15</f>
        <v>79.8</v>
      </c>
      <c r="J71" s="83"/>
      <c r="K71" s="83"/>
      <c r="L71" s="83"/>
      <c r="M71" s="83"/>
      <c r="N71" s="83"/>
      <c r="O71" s="83"/>
      <c r="P71" s="83"/>
      <c r="Q71" s="83"/>
      <c r="R71" s="83">
        <v>19.170000000000002</v>
      </c>
      <c r="S71" s="83">
        <v>3.67</v>
      </c>
      <c r="T71" s="83">
        <v>4.9000000000000004</v>
      </c>
      <c r="U71" s="83">
        <f t="shared" si="2"/>
        <v>140.702</v>
      </c>
    </row>
    <row r="72" spans="1:21" x14ac:dyDescent="0.25">
      <c r="A72" s="82" t="s">
        <v>177</v>
      </c>
      <c r="B72" s="83"/>
      <c r="C72" s="83"/>
      <c r="D72" s="83">
        <v>133.35900000000001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>
        <v>2</v>
      </c>
      <c r="T72" s="83">
        <v>7</v>
      </c>
      <c r="U72" s="83">
        <f t="shared" si="2"/>
        <v>142.35900000000001</v>
      </c>
    </row>
    <row r="73" spans="1:21" x14ac:dyDescent="0.25">
      <c r="A73" s="82" t="s">
        <v>178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>
        <f>26.368+25</f>
        <v>51.367999999999995</v>
      </c>
      <c r="R73" s="83"/>
      <c r="S73" s="83">
        <v>31.619999999999997</v>
      </c>
      <c r="T73" s="83"/>
      <c r="U73" s="83">
        <f t="shared" si="2"/>
        <v>82.988</v>
      </c>
    </row>
    <row r="74" spans="1:21" x14ac:dyDescent="0.25">
      <c r="A74" s="82" t="s">
        <v>126</v>
      </c>
      <c r="B74" s="83">
        <v>146.28699999999998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v>25.19</v>
      </c>
      <c r="T74" s="83">
        <v>8.1</v>
      </c>
      <c r="U74" s="83">
        <f t="shared" si="2"/>
        <v>179.57699999999997</v>
      </c>
    </row>
    <row r="75" spans="1:21" x14ac:dyDescent="0.25">
      <c r="A75" s="82" t="s">
        <v>227</v>
      </c>
      <c r="B75" s="83"/>
      <c r="C75" s="83"/>
      <c r="D75" s="83"/>
      <c r="E75" s="83"/>
      <c r="F75" s="83"/>
      <c r="G75" s="83"/>
      <c r="H75" s="83"/>
      <c r="I75" s="83"/>
      <c r="J75" s="83"/>
      <c r="K75" s="83">
        <f>92.827+3.83</f>
        <v>96.656999999999996</v>
      </c>
      <c r="L75" s="83"/>
      <c r="M75" s="83"/>
      <c r="N75" s="83"/>
      <c r="O75" s="83"/>
      <c r="P75" s="83"/>
      <c r="Q75" s="83"/>
      <c r="R75" s="83"/>
      <c r="S75" s="83">
        <v>0.33</v>
      </c>
      <c r="T75" s="83">
        <v>50</v>
      </c>
      <c r="U75" s="83">
        <f t="shared" si="2"/>
        <v>146.98699999999999</v>
      </c>
    </row>
    <row r="76" spans="1:21" x14ac:dyDescent="0.25">
      <c r="A76" s="82" t="s">
        <v>186</v>
      </c>
      <c r="B76" s="83">
        <v>177.81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>
        <v>10.75</v>
      </c>
      <c r="T76" s="83"/>
      <c r="U76" s="83">
        <f t="shared" si="2"/>
        <v>188.56</v>
      </c>
    </row>
    <row r="77" spans="1:21" x14ac:dyDescent="0.25">
      <c r="A77" s="82" t="s">
        <v>195</v>
      </c>
      <c r="B77" s="83"/>
      <c r="C77" s="83"/>
      <c r="D77" s="83"/>
      <c r="E77" s="83"/>
      <c r="F77" s="83">
        <v>88.917000000000002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>
        <v>26.75</v>
      </c>
      <c r="T77" s="83"/>
      <c r="U77" s="83">
        <f t="shared" si="2"/>
        <v>115.667</v>
      </c>
    </row>
    <row r="78" spans="1:21" x14ac:dyDescent="0.25">
      <c r="A78" s="82" t="s">
        <v>165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>
        <v>33.199999999999996</v>
      </c>
      <c r="Q78" s="83">
        <v>23.207999999999998</v>
      </c>
      <c r="R78" s="83"/>
      <c r="S78" s="83">
        <v>30</v>
      </c>
      <c r="T78" s="83"/>
      <c r="U78" s="83">
        <f t="shared" si="2"/>
        <v>86.407999999999987</v>
      </c>
    </row>
    <row r="79" spans="1:21" x14ac:dyDescent="0.25">
      <c r="A79" s="82" t="s">
        <v>137</v>
      </c>
      <c r="B79" s="83"/>
      <c r="C79" s="83"/>
      <c r="D79" s="83"/>
      <c r="E79" s="83">
        <v>108.223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>
        <v>6.33</v>
      </c>
      <c r="T79" s="83"/>
      <c r="U79" s="83">
        <f t="shared" si="2"/>
        <v>114.553</v>
      </c>
    </row>
    <row r="80" spans="1:21" x14ac:dyDescent="0.25">
      <c r="A80" s="82" t="s">
        <v>141</v>
      </c>
      <c r="B80" s="83">
        <v>65.399999999999991</v>
      </c>
      <c r="C80" s="83"/>
      <c r="D80" s="83"/>
      <c r="E80" s="83"/>
      <c r="F80" s="83">
        <v>13.737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v>30.08</v>
      </c>
      <c r="T80" s="83"/>
      <c r="U80" s="83">
        <f t="shared" si="2"/>
        <v>109.21699999999998</v>
      </c>
    </row>
    <row r="81" spans="1:21" x14ac:dyDescent="0.25">
      <c r="A81" s="82" t="s">
        <v>203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>
        <v>76.820000000000007</v>
      </c>
      <c r="Q81" s="83"/>
      <c r="R81" s="83"/>
      <c r="S81" s="83">
        <v>15.58</v>
      </c>
      <c r="T81" s="83">
        <v>3.7</v>
      </c>
      <c r="U81" s="83">
        <f t="shared" si="2"/>
        <v>96.100000000000009</v>
      </c>
    </row>
    <row r="82" spans="1:21" x14ac:dyDescent="0.25">
      <c r="A82" s="82" t="s">
        <v>202</v>
      </c>
      <c r="B82" s="83"/>
      <c r="C82" s="83"/>
      <c r="D82" s="83"/>
      <c r="E82" s="83"/>
      <c r="F82" s="83"/>
      <c r="G82" s="83"/>
      <c r="H82" s="83">
        <f>70.519+6.92</f>
        <v>77.439000000000007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v>6.5</v>
      </c>
      <c r="T82" s="83">
        <v>30</v>
      </c>
      <c r="U82" s="83">
        <f t="shared" si="2"/>
        <v>113.93900000000001</v>
      </c>
    </row>
    <row r="83" spans="1:21" x14ac:dyDescent="0.25">
      <c r="A83" s="82" t="s">
        <v>164</v>
      </c>
      <c r="B83" s="83"/>
      <c r="C83" s="83"/>
      <c r="D83" s="83"/>
      <c r="E83" s="83"/>
      <c r="F83" s="83"/>
      <c r="G83" s="83"/>
      <c r="H83" s="83"/>
      <c r="I83" s="83"/>
      <c r="J83" s="83"/>
      <c r="K83" s="83">
        <v>89.512</v>
      </c>
      <c r="L83" s="83"/>
      <c r="M83" s="83"/>
      <c r="N83" s="83"/>
      <c r="O83" s="83"/>
      <c r="P83" s="83"/>
      <c r="Q83" s="83"/>
      <c r="R83" s="83"/>
      <c r="S83" s="83">
        <v>12.5</v>
      </c>
      <c r="T83" s="83">
        <v>19.899999999999999</v>
      </c>
      <c r="U83" s="83">
        <f t="shared" si="2"/>
        <v>121.91200000000001</v>
      </c>
    </row>
    <row r="84" spans="1:21" x14ac:dyDescent="0.25">
      <c r="A84" s="82" t="s">
        <v>138</v>
      </c>
      <c r="B84" s="83"/>
      <c r="C84" s="83"/>
      <c r="D84" s="83"/>
      <c r="E84" s="83"/>
      <c r="F84" s="83"/>
      <c r="G84" s="83"/>
      <c r="H84" s="83">
        <f>85.813+34.17</f>
        <v>119.983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>
        <v>19.079999999999998</v>
      </c>
      <c r="T84" s="83"/>
      <c r="U84" s="83">
        <f t="shared" si="2"/>
        <v>139.06299999999999</v>
      </c>
    </row>
    <row r="85" spans="1:21" x14ac:dyDescent="0.25">
      <c r="A85" s="82" t="s">
        <v>190</v>
      </c>
      <c r="B85" s="83">
        <v>135.03300000000002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v>25.5</v>
      </c>
      <c r="T85" s="83">
        <v>6.1</v>
      </c>
      <c r="U85" s="83">
        <f t="shared" si="2"/>
        <v>166.63300000000001</v>
      </c>
    </row>
    <row r="86" spans="1:21" x14ac:dyDescent="0.25">
      <c r="A86" s="82" t="s">
        <v>166</v>
      </c>
      <c r="B86" s="83">
        <v>113.84200000000001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>
        <v>24.59</v>
      </c>
      <c r="T86" s="83">
        <v>4.4000000000000004</v>
      </c>
      <c r="U86" s="83">
        <f t="shared" si="2"/>
        <v>142.83200000000002</v>
      </c>
    </row>
    <row r="87" spans="1:21" x14ac:dyDescent="0.25">
      <c r="A87" s="82" t="s">
        <v>179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>
        <v>11.14</v>
      </c>
      <c r="M87" s="83"/>
      <c r="N87" s="83"/>
      <c r="O87" s="83">
        <v>18.45</v>
      </c>
      <c r="P87" s="83">
        <v>56.69</v>
      </c>
      <c r="Q87" s="83"/>
      <c r="R87" s="83"/>
      <c r="S87" s="83">
        <v>35</v>
      </c>
      <c r="T87" s="83"/>
      <c r="U87" s="83">
        <f t="shared" si="2"/>
        <v>121.28</v>
      </c>
    </row>
    <row r="88" spans="1:21" x14ac:dyDescent="0.25">
      <c r="A88" s="82" t="s">
        <v>228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>
        <v>168.19</v>
      </c>
      <c r="P88" s="83"/>
      <c r="Q88" s="83"/>
      <c r="R88" s="83"/>
      <c r="S88" s="83">
        <v>17.16</v>
      </c>
      <c r="T88" s="83"/>
      <c r="U88" s="83">
        <f t="shared" si="2"/>
        <v>185.35</v>
      </c>
    </row>
    <row r="89" spans="1:21" x14ac:dyDescent="0.25">
      <c r="A89" s="82" t="s">
        <v>181</v>
      </c>
      <c r="B89" s="83">
        <v>82.665000000000006</v>
      </c>
      <c r="C89" s="83"/>
      <c r="D89" s="83">
        <v>33.201000000000001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>
        <v>2.16</v>
      </c>
      <c r="T89" s="83">
        <v>9.6999999999999993</v>
      </c>
      <c r="U89" s="83">
        <f t="shared" si="2"/>
        <v>127.72600000000001</v>
      </c>
    </row>
    <row r="90" spans="1:21" x14ac:dyDescent="0.25">
      <c r="A90" s="82" t="s">
        <v>129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127.86</v>
      </c>
      <c r="Q90" s="83"/>
      <c r="R90" s="83"/>
      <c r="S90" s="83">
        <v>13.25</v>
      </c>
      <c r="T90" s="83"/>
      <c r="U90" s="83">
        <f t="shared" si="2"/>
        <v>141.11000000000001</v>
      </c>
    </row>
    <row r="91" spans="1:21" x14ac:dyDescent="0.25">
      <c r="A91" s="82" t="s">
        <v>161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>
        <v>15.84</v>
      </c>
      <c r="P91" s="83">
        <v>78.13</v>
      </c>
      <c r="Q91" s="83"/>
      <c r="R91" s="83"/>
      <c r="S91" s="83">
        <v>23.16</v>
      </c>
      <c r="T91" s="83"/>
      <c r="U91" s="83">
        <f t="shared" si="2"/>
        <v>117.13</v>
      </c>
    </row>
    <row r="92" spans="1:21" x14ac:dyDescent="0.25">
      <c r="A92" s="82" t="s">
        <v>127</v>
      </c>
      <c r="B92" s="83"/>
      <c r="C92" s="83"/>
      <c r="D92" s="83"/>
      <c r="E92" s="83"/>
      <c r="F92" s="83"/>
      <c r="G92" s="83">
        <v>66.5</v>
      </c>
      <c r="H92" s="83"/>
      <c r="I92" s="83"/>
      <c r="J92" s="83">
        <f>155.63+15</f>
        <v>170.63</v>
      </c>
      <c r="K92" s="83"/>
      <c r="L92" s="83"/>
      <c r="M92" s="83"/>
      <c r="N92" s="83"/>
      <c r="O92" s="83"/>
      <c r="P92" s="83"/>
      <c r="Q92" s="83"/>
      <c r="R92" s="83"/>
      <c r="S92" s="83">
        <v>9.83</v>
      </c>
      <c r="T92" s="83"/>
      <c r="U92" s="83">
        <f t="shared" si="2"/>
        <v>246.96</v>
      </c>
    </row>
    <row r="93" spans="1:21" x14ac:dyDescent="0.25">
      <c r="A93" s="82" t="s">
        <v>163</v>
      </c>
      <c r="B93" s="83"/>
      <c r="C93" s="83"/>
      <c r="D93" s="83"/>
      <c r="E93" s="83"/>
      <c r="F93" s="83">
        <v>7.3250000000000002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v>14.5</v>
      </c>
      <c r="T93" s="83"/>
      <c r="U93" s="83">
        <f t="shared" si="2"/>
        <v>21.824999999999999</v>
      </c>
    </row>
    <row r="94" spans="1:21" s="17" customFormat="1" x14ac:dyDescent="0.25">
      <c r="A94" s="82" t="s">
        <v>157</v>
      </c>
      <c r="B94" s="83"/>
      <c r="C94" s="83"/>
      <c r="D94" s="83"/>
      <c r="E94" s="83"/>
      <c r="F94" s="83"/>
      <c r="G94" s="83">
        <v>49</v>
      </c>
      <c r="H94" s="83"/>
      <c r="I94" s="83"/>
      <c r="J94" s="83">
        <v>10</v>
      </c>
      <c r="K94" s="83"/>
      <c r="L94" s="83"/>
      <c r="M94" s="83"/>
      <c r="N94" s="83"/>
      <c r="O94" s="83"/>
      <c r="P94" s="83"/>
      <c r="Q94" s="83"/>
      <c r="R94" s="83"/>
      <c r="S94" s="83"/>
      <c r="T94" s="83">
        <v>30</v>
      </c>
      <c r="U94" s="83">
        <f t="shared" si="2"/>
        <v>89</v>
      </c>
    </row>
    <row r="95" spans="1:21" x14ac:dyDescent="0.25">
      <c r="A95" s="82" t="s">
        <v>153</v>
      </c>
      <c r="B95" s="83"/>
      <c r="C95" s="83"/>
      <c r="D95" s="83"/>
      <c r="E95" s="83"/>
      <c r="F95" s="83">
        <v>24.076000000000001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>
        <v>10.5</v>
      </c>
      <c r="T95" s="83"/>
      <c r="U95" s="83">
        <f t="shared" si="2"/>
        <v>34.576000000000001</v>
      </c>
    </row>
    <row r="96" spans="1:21" x14ac:dyDescent="0.25">
      <c r="A96" s="82" t="s">
        <v>144</v>
      </c>
      <c r="B96" s="83"/>
      <c r="C96" s="83"/>
      <c r="D96" s="83"/>
      <c r="E96" s="83"/>
      <c r="F96" s="83"/>
      <c r="G96" s="83"/>
      <c r="H96" s="83"/>
      <c r="I96" s="83"/>
      <c r="J96" s="83">
        <v>107.14599999999999</v>
      </c>
      <c r="K96" s="83"/>
      <c r="L96" s="83"/>
      <c r="M96" s="83"/>
      <c r="N96" s="83"/>
      <c r="O96" s="83"/>
      <c r="P96" s="83"/>
      <c r="Q96" s="83"/>
      <c r="R96" s="83"/>
      <c r="S96" s="83">
        <v>12.75</v>
      </c>
      <c r="T96" s="83"/>
      <c r="U96" s="83">
        <f t="shared" si="2"/>
        <v>119.89599999999999</v>
      </c>
    </row>
    <row r="97" spans="1:21" x14ac:dyDescent="0.25">
      <c r="A97" s="82" t="s">
        <v>132</v>
      </c>
      <c r="B97" s="83"/>
      <c r="C97" s="83"/>
      <c r="D97" s="83"/>
      <c r="E97" s="83"/>
      <c r="F97" s="83">
        <v>26.536999999999999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>
        <v>10</v>
      </c>
      <c r="T97" s="83">
        <v>2.9</v>
      </c>
      <c r="U97" s="83">
        <f t="shared" si="2"/>
        <v>39.436999999999998</v>
      </c>
    </row>
    <row r="98" spans="1:21" s="17" customFormat="1" x14ac:dyDescent="0.25">
      <c r="A98" s="82" t="s">
        <v>34</v>
      </c>
      <c r="B98" s="83"/>
      <c r="C98" s="83"/>
      <c r="D98" s="83"/>
      <c r="E98" s="83"/>
      <c r="F98" s="83"/>
      <c r="G98" s="83"/>
      <c r="H98" s="83">
        <v>27</v>
      </c>
      <c r="I98" s="83"/>
      <c r="J98" s="83"/>
      <c r="K98" s="83">
        <v>124</v>
      </c>
      <c r="L98" s="83"/>
      <c r="M98" s="83"/>
      <c r="N98" s="83"/>
      <c r="O98" s="83"/>
      <c r="P98" s="83"/>
      <c r="Q98" s="83"/>
      <c r="R98" s="83"/>
      <c r="S98" s="83"/>
      <c r="T98" s="83"/>
      <c r="U98" s="83">
        <f t="shared" ref="U98:U104" si="3">SUM(B98:T98)</f>
        <v>151</v>
      </c>
    </row>
    <row r="99" spans="1:21" s="17" customFormat="1" x14ac:dyDescent="0.25">
      <c r="A99" s="82" t="s">
        <v>35</v>
      </c>
      <c r="B99" s="83"/>
      <c r="C99" s="83"/>
      <c r="D99" s="83"/>
      <c r="E99" s="83"/>
      <c r="F99" s="83"/>
      <c r="G99" s="83">
        <v>93.6</v>
      </c>
      <c r="H99" s="83"/>
      <c r="I99" s="83">
        <v>20</v>
      </c>
      <c r="J99" s="83">
        <v>70.7</v>
      </c>
      <c r="K99" s="83"/>
      <c r="L99" s="83"/>
      <c r="M99" s="83"/>
      <c r="N99" s="83"/>
      <c r="O99" s="83"/>
      <c r="P99" s="83">
        <v>34</v>
      </c>
      <c r="Q99" s="83"/>
      <c r="R99" s="83"/>
      <c r="S99" s="83"/>
      <c r="T99" s="83"/>
      <c r="U99" s="83">
        <f t="shared" si="3"/>
        <v>218.3</v>
      </c>
    </row>
    <row r="100" spans="1:21" s="17" customFormat="1" x14ac:dyDescent="0.25">
      <c r="A100" s="82" t="s">
        <v>40</v>
      </c>
      <c r="B100" s="83"/>
      <c r="C100" s="83"/>
      <c r="D100" s="83"/>
      <c r="E100" s="83">
        <v>34</v>
      </c>
      <c r="F100" s="83">
        <v>121.6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f t="shared" si="3"/>
        <v>155.6</v>
      </c>
    </row>
    <row r="101" spans="1:21" s="17" customFormat="1" x14ac:dyDescent="0.25">
      <c r="A101" s="82" t="s">
        <v>55</v>
      </c>
      <c r="B101" s="83"/>
      <c r="C101" s="83">
        <v>50</v>
      </c>
      <c r="D101" s="83"/>
      <c r="E101" s="83"/>
      <c r="F101" s="83"/>
      <c r="G101" s="83"/>
      <c r="H101" s="83"/>
      <c r="I101" s="83"/>
      <c r="J101" s="83"/>
      <c r="K101" s="83"/>
      <c r="L101" s="83"/>
      <c r="M101" s="83">
        <v>20</v>
      </c>
      <c r="N101" s="83">
        <v>10</v>
      </c>
      <c r="O101" s="83"/>
      <c r="P101" s="83">
        <v>75</v>
      </c>
      <c r="Q101" s="83">
        <v>60</v>
      </c>
      <c r="R101" s="83"/>
      <c r="S101" s="83"/>
      <c r="T101" s="83"/>
      <c r="U101" s="83">
        <f t="shared" si="3"/>
        <v>215</v>
      </c>
    </row>
    <row r="102" spans="1:21" s="17" customFormat="1" x14ac:dyDescent="0.25">
      <c r="A102" s="82" t="s">
        <v>62</v>
      </c>
      <c r="B102" s="83">
        <v>267</v>
      </c>
      <c r="C102" s="83"/>
      <c r="D102" s="83">
        <v>200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>
        <v>14.5</v>
      </c>
      <c r="S102" s="83"/>
      <c r="T102" s="83"/>
      <c r="U102" s="83">
        <f t="shared" si="3"/>
        <v>481.5</v>
      </c>
    </row>
    <row r="103" spans="1:21" s="17" customFormat="1" x14ac:dyDescent="0.25">
      <c r="A103" s="82" t="s">
        <v>229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>
        <v>46</v>
      </c>
      <c r="P103" s="83">
        <v>45</v>
      </c>
      <c r="Q103" s="83"/>
      <c r="R103" s="83"/>
      <c r="S103" s="83"/>
      <c r="T103" s="83"/>
      <c r="U103" s="83">
        <f t="shared" si="3"/>
        <v>91</v>
      </c>
    </row>
    <row r="104" spans="1:21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f t="shared" si="3"/>
        <v>0</v>
      </c>
    </row>
    <row r="105" spans="1:21" x14ac:dyDescent="0.25">
      <c r="A105" s="84" t="s">
        <v>216</v>
      </c>
      <c r="B105" s="85">
        <f>SUM(B2:B104)</f>
        <v>2482.8900000000003</v>
      </c>
      <c r="C105" s="85">
        <f t="shared" ref="C105:T105" si="4">SUM(C2:C104)</f>
        <v>464.43200000000007</v>
      </c>
      <c r="D105" s="85">
        <f t="shared" si="4"/>
        <v>2069.3890000000001</v>
      </c>
      <c r="E105" s="85">
        <f t="shared" si="4"/>
        <v>206.785</v>
      </c>
      <c r="F105" s="85">
        <f t="shared" si="4"/>
        <v>806.2617826496936</v>
      </c>
      <c r="G105" s="85">
        <f>SUM(G2:G104)</f>
        <v>974.92000000000007</v>
      </c>
      <c r="H105" s="85">
        <f t="shared" si="4"/>
        <v>315.67900000000003</v>
      </c>
      <c r="I105" s="85">
        <f t="shared" si="4"/>
        <v>145.06399999999999</v>
      </c>
      <c r="J105" s="85">
        <f t="shared" si="4"/>
        <v>706.75900000000001</v>
      </c>
      <c r="K105" s="85">
        <f t="shared" si="4"/>
        <v>1045.481</v>
      </c>
      <c r="L105" s="85">
        <f t="shared" si="4"/>
        <v>16.5</v>
      </c>
      <c r="M105" s="85">
        <f t="shared" si="4"/>
        <v>236.30300000000005</v>
      </c>
      <c r="N105" s="85">
        <f>SUM(N2:N104)</f>
        <v>128.34299999999999</v>
      </c>
      <c r="O105" s="85">
        <f t="shared" si="4"/>
        <v>398.91999999999996</v>
      </c>
      <c r="P105" s="85">
        <f t="shared" si="4"/>
        <v>1158.73</v>
      </c>
      <c r="Q105" s="85">
        <f t="shared" si="4"/>
        <v>490.34000000000003</v>
      </c>
      <c r="R105" s="85">
        <f t="shared" si="4"/>
        <v>122.08</v>
      </c>
      <c r="S105" s="85">
        <f t="shared" si="4"/>
        <v>1273.6700000000003</v>
      </c>
      <c r="T105" s="85">
        <f t="shared" si="4"/>
        <v>807</v>
      </c>
      <c r="U105" s="85">
        <f>SUM(U2:U104)</f>
        <v>13849.546782649688</v>
      </c>
    </row>
    <row r="106" spans="1:21" s="17" customFormat="1" x14ac:dyDescent="0.25">
      <c r="A106" s="86" t="s">
        <v>94</v>
      </c>
      <c r="B106" s="42">
        <v>189</v>
      </c>
      <c r="C106" s="42">
        <v>200</v>
      </c>
      <c r="D106" s="42">
        <v>0</v>
      </c>
      <c r="E106" s="42">
        <v>60.35</v>
      </c>
      <c r="F106" s="42">
        <v>174.095</v>
      </c>
      <c r="G106" s="42">
        <v>0</v>
      </c>
      <c r="H106" s="42">
        <v>0</v>
      </c>
      <c r="I106" s="42">
        <v>16</v>
      </c>
      <c r="J106" s="42">
        <v>0</v>
      </c>
      <c r="K106" s="42">
        <f>1177-K105</f>
        <v>131.51900000000001</v>
      </c>
      <c r="L106" s="42"/>
      <c r="M106" s="42">
        <v>0</v>
      </c>
      <c r="N106" s="42">
        <v>71</v>
      </c>
      <c r="O106" s="42">
        <v>0</v>
      </c>
      <c r="P106" s="42">
        <v>0</v>
      </c>
      <c r="Q106" s="42">
        <v>169</v>
      </c>
      <c r="R106" s="42">
        <v>22</v>
      </c>
      <c r="S106" s="42"/>
      <c r="T106" s="42"/>
      <c r="U106" s="42">
        <f>SUM(B106:T106)</f>
        <v>1032.9639999999999</v>
      </c>
    </row>
    <row r="107" spans="1:21" s="17" customFormat="1" x14ac:dyDescent="0.25"/>
    <row r="108" spans="1:21" s="17" customFormat="1" x14ac:dyDescent="0.25"/>
    <row r="109" spans="1:21" s="17" customFormat="1" x14ac:dyDescent="0.25"/>
    <row r="110" spans="1:21" s="17" customFormat="1" x14ac:dyDescent="0.25"/>
    <row r="111" spans="1:21" s="17" customFormat="1" x14ac:dyDescent="0.25"/>
    <row r="112" spans="1:21" s="17" customFormat="1" x14ac:dyDescent="0.25"/>
    <row r="114" s="17" customFormat="1" x14ac:dyDescent="0.25"/>
    <row r="116" s="17" customFormat="1" x14ac:dyDescent="0.25"/>
  </sheetData>
  <customSheetViews>
    <customSheetView guid="{DA8006FA-F549-4B7E-8C3D-B376CE1F2F3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  <customSheetView guid="{F0DA5CBD-521B-45E5-999C-010E89D9B2D8}" showAutoFilter="1">
      <pane xSplit="1" ySplit="1" topLeftCell="B17" activePane="bottomRight" state="frozen"/>
      <selection pane="bottomRight" activeCell="L41" sqref="L41"/>
      <pageMargins left="0.7" right="0.7" top="0.75" bottom="0.75" header="0.3" footer="0.3"/>
      <pageSetup orientation="portrait" r:id="rId1"/>
      <autoFilter ref="A1:U106"/>
    </customSheetView>
    <customSheetView guid="{5F1CCD53-A6B6-4801-9001-0C0BEBA8D20D}">
      <selection activeCell="C1" sqref="C1"/>
      <pageMargins left="0.7" right="0.7" top="0.75" bottom="0.75" header="0.3" footer="0.3"/>
    </customSheetView>
    <customSheetView guid="{D364304B-E18C-453B-A624-DE6197120D49}" showAutoFilter="1">
      <pane xSplit="1" ySplit="1" topLeftCell="B71" activePane="bottomRight" state="frozen"/>
      <selection pane="bottomRight" activeCell="N95" sqref="N95"/>
      <pageMargins left="0.7" right="0.7" top="0.75" bottom="0.75" header="0.3" footer="0.3"/>
      <pageSetup orientation="portrait" r:id="rId2"/>
      <autoFilter ref="A1:U106"/>
    </customSheetView>
    <customSheetView guid="{BDA34D52-B4BA-426C-853B-2B50F8AB0C7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  <customSheetView guid="{C66BF055-7613-4DC3-BA99-25F44C751266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3"/>
      <autoFilter ref="A1:U106"/>
    </customSheetView>
    <customSheetView guid="{7A751D0E-E1DB-4CA9-844E-987730CC2DF7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4"/>
      <autoFilter ref="A1:U106"/>
    </customSheetView>
  </customSheetView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4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defaultRowHeight="15" x14ac:dyDescent="0.25"/>
  <cols>
    <col min="1" max="1" width="24" bestFit="1" customWidth="1"/>
    <col min="4" max="4" width="9.140625" style="4"/>
    <col min="13" max="20" width="9.140625" style="17"/>
  </cols>
  <sheetData>
    <row r="1" spans="1:29" ht="45.75" thickBot="1" x14ac:dyDescent="0.3">
      <c r="A1" s="81" t="s">
        <v>0</v>
      </c>
      <c r="B1" s="81" t="s">
        <v>258</v>
      </c>
      <c r="C1" s="81" t="s">
        <v>275</v>
      </c>
      <c r="D1" s="81" t="s">
        <v>288</v>
      </c>
      <c r="E1" s="81" t="s">
        <v>260</v>
      </c>
      <c r="F1" s="81" t="s">
        <v>276</v>
      </c>
      <c r="G1" s="81" t="s">
        <v>277</v>
      </c>
      <c r="H1" s="81" t="s">
        <v>261</v>
      </c>
      <c r="I1" s="81" t="s">
        <v>278</v>
      </c>
      <c r="J1" s="81" t="s">
        <v>279</v>
      </c>
      <c r="K1" s="81" t="s">
        <v>262</v>
      </c>
      <c r="L1" s="81" t="s">
        <v>264</v>
      </c>
      <c r="M1" s="81" t="s">
        <v>281</v>
      </c>
      <c r="N1" s="81" t="s">
        <v>289</v>
      </c>
      <c r="O1" s="81" t="s">
        <v>302</v>
      </c>
      <c r="P1" s="81" t="s">
        <v>290</v>
      </c>
      <c r="Q1" s="81" t="s">
        <v>301</v>
      </c>
      <c r="R1" s="81" t="s">
        <v>300</v>
      </c>
      <c r="S1" s="81" t="s">
        <v>216</v>
      </c>
    </row>
    <row r="2" spans="1:29" s="17" customFormat="1" x14ac:dyDescent="0.25">
      <c r="A2" s="82" t="s">
        <v>150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>
        <v>50</v>
      </c>
      <c r="S2" s="83">
        <f t="shared" ref="S2:S64" si="0">SUM(B2:R2)</f>
        <v>50</v>
      </c>
      <c r="V2" s="67"/>
      <c r="W2" s="76" t="s">
        <v>3</v>
      </c>
      <c r="X2" s="77"/>
      <c r="Y2" s="68"/>
      <c r="Z2" s="68"/>
      <c r="AA2" s="68"/>
      <c r="AB2" s="68"/>
      <c r="AC2" s="69"/>
    </row>
    <row r="3" spans="1:29" x14ac:dyDescent="0.25">
      <c r="A3" s="82" t="s">
        <v>172</v>
      </c>
      <c r="B3" s="83"/>
      <c r="C3" s="83"/>
      <c r="D3" s="7"/>
      <c r="E3" s="83">
        <v>69.896999999999991</v>
      </c>
      <c r="F3" s="83"/>
      <c r="G3" s="83"/>
      <c r="H3" s="83"/>
      <c r="I3" s="83"/>
      <c r="J3" s="83"/>
      <c r="K3" s="83">
        <v>3.99</v>
      </c>
      <c r="L3" s="83"/>
      <c r="M3" s="83"/>
      <c r="N3" s="83"/>
      <c r="O3" s="83"/>
      <c r="P3" s="83"/>
      <c r="Q3" s="83"/>
      <c r="R3" s="83"/>
      <c r="S3" s="35">
        <f t="shared" si="0"/>
        <v>73.886999999999986</v>
      </c>
      <c r="V3" s="70"/>
      <c r="W3" s="53" t="s">
        <v>5</v>
      </c>
      <c r="X3" s="53" t="s">
        <v>6</v>
      </c>
      <c r="Y3" s="53" t="s">
        <v>119</v>
      </c>
      <c r="Z3" s="53" t="s">
        <v>7</v>
      </c>
      <c r="AA3" s="53" t="s">
        <v>74</v>
      </c>
      <c r="AB3" s="53" t="s">
        <v>103</v>
      </c>
      <c r="AC3" s="55" t="s">
        <v>8</v>
      </c>
    </row>
    <row r="4" spans="1:29" x14ac:dyDescent="0.25">
      <c r="A4" s="82" t="s">
        <v>128</v>
      </c>
      <c r="B4" s="83"/>
      <c r="C4" s="83"/>
      <c r="D4" s="7"/>
      <c r="E4" s="83"/>
      <c r="F4" s="83">
        <v>96.056000000000012</v>
      </c>
      <c r="G4" s="83"/>
      <c r="H4" s="83">
        <v>6.2869999999999999</v>
      </c>
      <c r="I4" s="83"/>
      <c r="J4" s="83"/>
      <c r="K4" s="83"/>
      <c r="L4" s="83"/>
      <c r="M4" s="83"/>
      <c r="N4" s="83"/>
      <c r="O4" s="83">
        <v>20</v>
      </c>
      <c r="P4" s="83"/>
      <c r="Q4" s="83">
        <v>2.75</v>
      </c>
      <c r="R4" s="83"/>
      <c r="S4" s="35">
        <f t="shared" si="0"/>
        <v>125.09300000000002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/>
    </row>
    <row r="5" spans="1:29" ht="15.75" thickBot="1" x14ac:dyDescent="0.3">
      <c r="A5" s="82" t="s">
        <v>134</v>
      </c>
      <c r="B5" s="83"/>
      <c r="C5" s="83"/>
      <c r="D5" s="7">
        <v>24.5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>
        <v>121.5</v>
      </c>
      <c r="Q5" s="83">
        <v>7.5</v>
      </c>
      <c r="R5" s="83"/>
      <c r="S5" s="35">
        <f t="shared" si="0"/>
        <v>153.5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83"/>
      <c r="C6" s="83"/>
      <c r="D6" s="7"/>
      <c r="E6" s="83"/>
      <c r="F6" s="83">
        <v>12.302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>
        <v>16</v>
      </c>
      <c r="R6" s="83">
        <f>9.3</f>
        <v>9.3000000000000007</v>
      </c>
      <c r="S6" s="35">
        <f t="shared" si="0"/>
        <v>37.602000000000004</v>
      </c>
    </row>
    <row r="7" spans="1:29" x14ac:dyDescent="0.25">
      <c r="A7" s="82" t="s">
        <v>122</v>
      </c>
      <c r="B7" s="83"/>
      <c r="C7" s="83"/>
      <c r="D7" s="7"/>
      <c r="E7" s="83"/>
      <c r="F7" s="83"/>
      <c r="G7" s="83"/>
      <c r="H7" s="83"/>
      <c r="I7" s="83"/>
      <c r="J7" s="83"/>
      <c r="K7" s="83"/>
      <c r="L7" s="83"/>
      <c r="M7" s="83">
        <v>17.700000000000003</v>
      </c>
      <c r="N7" s="83">
        <v>74.875000000000014</v>
      </c>
      <c r="O7" s="83"/>
      <c r="P7" s="83"/>
      <c r="Q7" s="83">
        <v>19.100000000000001</v>
      </c>
      <c r="R7" s="83"/>
      <c r="S7" s="35">
        <f t="shared" si="0"/>
        <v>111.67500000000001</v>
      </c>
    </row>
    <row r="8" spans="1:29" x14ac:dyDescent="0.25">
      <c r="A8" s="82" t="s">
        <v>217</v>
      </c>
      <c r="B8" s="83"/>
      <c r="C8" s="83"/>
      <c r="D8" s="7">
        <v>114.85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>
        <v>41.67</v>
      </c>
      <c r="Q8" s="83">
        <v>4.67</v>
      </c>
      <c r="R8" s="83">
        <f>20.6+32.8</f>
        <v>53.4</v>
      </c>
      <c r="S8" s="35">
        <f t="shared" si="0"/>
        <v>214.58999999999997</v>
      </c>
    </row>
    <row r="9" spans="1:29" x14ac:dyDescent="0.25">
      <c r="A9" s="82" t="s">
        <v>125</v>
      </c>
      <c r="B9" s="83"/>
      <c r="C9" s="83">
        <v>209.57799999999997</v>
      </c>
      <c r="D9" s="7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>
        <v>10</v>
      </c>
      <c r="S9" s="35">
        <f t="shared" si="0"/>
        <v>219.57799999999997</v>
      </c>
    </row>
    <row r="10" spans="1:29" x14ac:dyDescent="0.25">
      <c r="A10" s="82" t="s">
        <v>158</v>
      </c>
      <c r="B10" s="83"/>
      <c r="C10" s="83"/>
      <c r="D10" s="7"/>
      <c r="E10" s="83"/>
      <c r="F10" s="83"/>
      <c r="G10" s="83">
        <v>140.619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35">
        <f t="shared" si="0"/>
        <v>140.619</v>
      </c>
    </row>
    <row r="11" spans="1:29" x14ac:dyDescent="0.25">
      <c r="A11" s="82" t="s">
        <v>189</v>
      </c>
      <c r="B11" s="83"/>
      <c r="C11" s="83"/>
      <c r="D11" s="7"/>
      <c r="E11" s="83"/>
      <c r="F11" s="83"/>
      <c r="G11" s="83"/>
      <c r="H11" s="83"/>
      <c r="I11" s="83"/>
      <c r="J11" s="83"/>
      <c r="K11" s="83"/>
      <c r="L11" s="83"/>
      <c r="M11" s="83">
        <v>117.87</v>
      </c>
      <c r="N11" s="83"/>
      <c r="O11" s="83"/>
      <c r="P11" s="83"/>
      <c r="Q11" s="83">
        <v>5.42</v>
      </c>
      <c r="R11" s="83"/>
      <c r="S11" s="35">
        <f t="shared" si="0"/>
        <v>123.29</v>
      </c>
    </row>
    <row r="12" spans="1:29" x14ac:dyDescent="0.25">
      <c r="A12" s="82" t="s">
        <v>185</v>
      </c>
      <c r="B12" s="83"/>
      <c r="C12" s="83"/>
      <c r="D12" s="7"/>
      <c r="E12" s="83"/>
      <c r="F12" s="83"/>
      <c r="G12" s="83"/>
      <c r="H12" s="83"/>
      <c r="I12" s="83"/>
      <c r="J12" s="83"/>
      <c r="K12" s="83"/>
      <c r="L12" s="83"/>
      <c r="M12" s="83"/>
      <c r="N12" s="83">
        <v>104.44500000000001</v>
      </c>
      <c r="O12" s="83"/>
      <c r="P12" s="83"/>
      <c r="Q12" s="83">
        <v>32.5</v>
      </c>
      <c r="R12" s="83">
        <v>2.1</v>
      </c>
      <c r="S12" s="35">
        <f t="shared" si="0"/>
        <v>139.04499999999999</v>
      </c>
    </row>
    <row r="13" spans="1:29" x14ac:dyDescent="0.25">
      <c r="A13" s="82" t="s">
        <v>149</v>
      </c>
      <c r="B13" s="83"/>
      <c r="C13" s="83">
        <v>17.667000000000002</v>
      </c>
      <c r="D13" s="7">
        <v>136.66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13.5</v>
      </c>
      <c r="R13" s="83"/>
      <c r="S13" s="35">
        <f t="shared" si="0"/>
        <v>167.827</v>
      </c>
    </row>
    <row r="14" spans="1:29" x14ac:dyDescent="0.25">
      <c r="A14" s="82" t="s">
        <v>197</v>
      </c>
      <c r="B14" s="83">
        <v>97.3</v>
      </c>
      <c r="C14" s="83">
        <v>10.224</v>
      </c>
      <c r="D14" s="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>
        <v>5</v>
      </c>
      <c r="R14" s="83">
        <f>20.2</f>
        <v>20.2</v>
      </c>
      <c r="S14" s="35">
        <f t="shared" si="0"/>
        <v>132.72399999999999</v>
      </c>
    </row>
    <row r="15" spans="1:29" x14ac:dyDescent="0.25">
      <c r="A15" s="82" t="s">
        <v>198</v>
      </c>
      <c r="B15" s="83"/>
      <c r="C15" s="83"/>
      <c r="D15" s="7">
        <v>27.14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>
        <v>92.66</v>
      </c>
      <c r="Q15" s="83">
        <v>25</v>
      </c>
      <c r="R15" s="83">
        <v>9.1</v>
      </c>
      <c r="S15" s="35">
        <f t="shared" si="0"/>
        <v>153.9</v>
      </c>
    </row>
    <row r="16" spans="1:29" x14ac:dyDescent="0.25">
      <c r="A16" s="82" t="s">
        <v>147</v>
      </c>
      <c r="B16" s="83"/>
      <c r="C16" s="83"/>
      <c r="D16" s="7"/>
      <c r="E16" s="83"/>
      <c r="F16" s="83"/>
      <c r="G16" s="83"/>
      <c r="H16" s="83"/>
      <c r="I16" s="83"/>
      <c r="J16" s="83">
        <v>140.79499999999999</v>
      </c>
      <c r="K16" s="83"/>
      <c r="L16" s="83"/>
      <c r="M16" s="83"/>
      <c r="N16" s="83"/>
      <c r="O16" s="83"/>
      <c r="P16" s="83"/>
      <c r="Q16" s="83">
        <v>0.5</v>
      </c>
      <c r="R16" s="83"/>
      <c r="S16" s="35">
        <f t="shared" si="0"/>
        <v>141.29499999999999</v>
      </c>
    </row>
    <row r="17" spans="1:19" x14ac:dyDescent="0.25">
      <c r="A17" s="82" t="s">
        <v>142</v>
      </c>
      <c r="B17" s="83"/>
      <c r="C17" s="83"/>
      <c r="D17" s="7"/>
      <c r="E17" s="83"/>
      <c r="F17" s="83"/>
      <c r="G17" s="83"/>
      <c r="H17" s="83"/>
      <c r="I17" s="83"/>
      <c r="J17" s="83"/>
      <c r="K17" s="83"/>
      <c r="L17" s="83"/>
      <c r="M17" s="83"/>
      <c r="N17" s="83">
        <v>182.99900000000005</v>
      </c>
      <c r="O17" s="83"/>
      <c r="P17" s="83"/>
      <c r="Q17" s="83">
        <v>9.92</v>
      </c>
      <c r="R17" s="83"/>
      <c r="S17" s="35">
        <f t="shared" si="0"/>
        <v>192.91900000000004</v>
      </c>
    </row>
    <row r="18" spans="1:19" x14ac:dyDescent="0.25">
      <c r="A18" s="82" t="s">
        <v>218</v>
      </c>
      <c r="B18" s="83"/>
      <c r="C18" s="83">
        <f>164.336+25</f>
        <v>189.33600000000001</v>
      </c>
      <c r="D18" s="7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35">
        <f t="shared" si="0"/>
        <v>189.33600000000001</v>
      </c>
    </row>
    <row r="19" spans="1:19" x14ac:dyDescent="0.25">
      <c r="A19" s="82" t="s">
        <v>156</v>
      </c>
      <c r="B19" s="83"/>
      <c r="C19" s="83"/>
      <c r="D19" s="7">
        <v>138.41999999999999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>
        <v>10.5</v>
      </c>
      <c r="R19" s="83">
        <f>33.3+34</f>
        <v>67.3</v>
      </c>
      <c r="S19" s="35">
        <f t="shared" si="0"/>
        <v>216.21999999999997</v>
      </c>
    </row>
    <row r="20" spans="1:19" x14ac:dyDescent="0.25">
      <c r="A20" s="82" t="s">
        <v>171</v>
      </c>
      <c r="B20" s="83">
        <v>127.63</v>
      </c>
      <c r="C20" s="83"/>
      <c r="D20" s="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>
        <v>5</v>
      </c>
      <c r="R20" s="83">
        <v>55.4</v>
      </c>
      <c r="S20" s="35">
        <f t="shared" si="0"/>
        <v>188.03</v>
      </c>
    </row>
    <row r="21" spans="1:19" x14ac:dyDescent="0.25">
      <c r="A21" s="82" t="s">
        <v>176</v>
      </c>
      <c r="B21" s="83"/>
      <c r="C21" s="83"/>
      <c r="D21" s="7"/>
      <c r="E21" s="83"/>
      <c r="F21" s="83">
        <f>181.216+20</f>
        <v>201.21600000000001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v>9</v>
      </c>
      <c r="R21" s="83"/>
      <c r="S21" s="35">
        <f t="shared" si="0"/>
        <v>210.21600000000001</v>
      </c>
    </row>
    <row r="22" spans="1:19" x14ac:dyDescent="0.25">
      <c r="A22" s="82" t="s">
        <v>114</v>
      </c>
      <c r="B22" s="83"/>
      <c r="C22" s="83"/>
      <c r="D22" s="7">
        <v>70.180000000000007</v>
      </c>
      <c r="E22" s="83"/>
      <c r="F22" s="83"/>
      <c r="G22" s="83"/>
      <c r="H22" s="83"/>
      <c r="I22" s="83"/>
      <c r="J22" s="83"/>
      <c r="K22" s="83"/>
      <c r="L22" s="83"/>
      <c r="M22" s="83"/>
      <c r="N22" s="83">
        <v>27.347999999999999</v>
      </c>
      <c r="O22" s="83"/>
      <c r="P22" s="83"/>
      <c r="Q22" s="83">
        <v>10.58</v>
      </c>
      <c r="R22" s="83">
        <f>30.6+40.5</f>
        <v>71.099999999999994</v>
      </c>
      <c r="S22" s="35">
        <f t="shared" si="0"/>
        <v>179.208</v>
      </c>
    </row>
    <row r="23" spans="1:19" x14ac:dyDescent="0.25">
      <c r="A23" s="82" t="s">
        <v>183</v>
      </c>
      <c r="B23" s="83">
        <v>146.93799999999999</v>
      </c>
      <c r="C23" s="83"/>
      <c r="D23" s="7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>
        <v>3</v>
      </c>
      <c r="R23" s="83">
        <v>12.8</v>
      </c>
      <c r="S23" s="35">
        <f t="shared" si="0"/>
        <v>162.738</v>
      </c>
    </row>
    <row r="24" spans="1:19" x14ac:dyDescent="0.25">
      <c r="A24" s="82" t="s">
        <v>135</v>
      </c>
      <c r="B24" s="83"/>
      <c r="C24" s="83"/>
      <c r="D24" s="7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>
        <v>177.209</v>
      </c>
      <c r="P24" s="83"/>
      <c r="Q24" s="83">
        <v>1.5</v>
      </c>
      <c r="R24" s="83"/>
      <c r="S24" s="35">
        <f t="shared" si="0"/>
        <v>178.709</v>
      </c>
    </row>
    <row r="25" spans="1:19" x14ac:dyDescent="0.25">
      <c r="A25" s="82" t="s">
        <v>180</v>
      </c>
      <c r="B25" s="83"/>
      <c r="C25" s="83"/>
      <c r="D25" s="7"/>
      <c r="E25" s="83"/>
      <c r="F25" s="83"/>
      <c r="G25" s="83"/>
      <c r="H25" s="83"/>
      <c r="I25" s="83"/>
      <c r="J25" s="83"/>
      <c r="K25" s="83"/>
      <c r="L25" s="83"/>
      <c r="M25" s="83"/>
      <c r="N25" s="83">
        <v>117.46100000000001</v>
      </c>
      <c r="O25" s="83"/>
      <c r="P25" s="83"/>
      <c r="Q25" s="83">
        <v>21.75</v>
      </c>
      <c r="R25" s="83">
        <f>27.2+16.5</f>
        <v>43.7</v>
      </c>
      <c r="S25" s="35">
        <f t="shared" si="0"/>
        <v>182.911</v>
      </c>
    </row>
    <row r="26" spans="1:19" x14ac:dyDescent="0.25">
      <c r="A26" s="82" t="s">
        <v>123</v>
      </c>
      <c r="B26" s="83"/>
      <c r="C26" s="83"/>
      <c r="D26" s="7">
        <v>127.23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>
        <v>7</v>
      </c>
      <c r="R26" s="83">
        <v>13.1</v>
      </c>
      <c r="S26" s="35">
        <f t="shared" si="0"/>
        <v>147.33000000000001</v>
      </c>
    </row>
    <row r="27" spans="1:19" x14ac:dyDescent="0.25">
      <c r="A27" s="82" t="s">
        <v>151</v>
      </c>
      <c r="B27" s="83"/>
      <c r="C27" s="83"/>
      <c r="D27" s="7">
        <v>146.52000000000001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>
        <v>12</v>
      </c>
      <c r="R27" s="83"/>
      <c r="S27" s="35">
        <f t="shared" si="0"/>
        <v>158.52000000000001</v>
      </c>
    </row>
    <row r="28" spans="1:19" x14ac:dyDescent="0.25">
      <c r="A28" s="82" t="s">
        <v>168</v>
      </c>
      <c r="B28" s="83"/>
      <c r="C28" s="83"/>
      <c r="D28" s="7"/>
      <c r="E28" s="83"/>
      <c r="F28" s="83"/>
      <c r="G28" s="83"/>
      <c r="H28" s="83"/>
      <c r="I28" s="83"/>
      <c r="J28" s="83">
        <v>101.12900000000002</v>
      </c>
      <c r="K28" s="83"/>
      <c r="L28" s="83"/>
      <c r="M28" s="83"/>
      <c r="N28" s="83"/>
      <c r="O28" s="83"/>
      <c r="P28" s="83"/>
      <c r="Q28" s="83"/>
      <c r="R28" s="83"/>
      <c r="S28" s="35">
        <f t="shared" si="0"/>
        <v>101.12900000000002</v>
      </c>
    </row>
    <row r="29" spans="1:19" x14ac:dyDescent="0.25">
      <c r="A29" s="82" t="s">
        <v>173</v>
      </c>
      <c r="B29" s="83"/>
      <c r="C29" s="83"/>
      <c r="D29" s="7"/>
      <c r="E29" s="83"/>
      <c r="F29" s="83"/>
      <c r="G29" s="83">
        <v>40.057000000000002</v>
      </c>
      <c r="H29" s="83"/>
      <c r="I29" s="83">
        <v>81.045000000000002</v>
      </c>
      <c r="J29" s="83"/>
      <c r="K29" s="83"/>
      <c r="L29" s="83"/>
      <c r="M29" s="83"/>
      <c r="N29" s="83"/>
      <c r="O29" s="83"/>
      <c r="P29" s="83"/>
      <c r="Q29" s="83">
        <v>2.5</v>
      </c>
      <c r="R29" s="83"/>
      <c r="S29" s="35">
        <f t="shared" si="0"/>
        <v>123.602</v>
      </c>
    </row>
    <row r="30" spans="1:19" x14ac:dyDescent="0.25">
      <c r="A30" s="82" t="s">
        <v>182</v>
      </c>
      <c r="B30" s="83">
        <v>94.335999999999984</v>
      </c>
      <c r="C30" s="83"/>
      <c r="D30" s="7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>
        <v>2.75</v>
      </c>
      <c r="R30" s="83"/>
      <c r="S30" s="35">
        <f t="shared" si="0"/>
        <v>97.085999999999984</v>
      </c>
    </row>
    <row r="31" spans="1:19" x14ac:dyDescent="0.25">
      <c r="A31" s="82" t="s">
        <v>145</v>
      </c>
      <c r="B31" s="83">
        <v>106.48500000000001</v>
      </c>
      <c r="C31" s="83"/>
      <c r="D31" s="7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>
        <v>2.5</v>
      </c>
      <c r="R31" s="83">
        <v>42.1</v>
      </c>
      <c r="S31" s="35">
        <f t="shared" si="0"/>
        <v>151.08500000000001</v>
      </c>
    </row>
    <row r="32" spans="1:19" x14ac:dyDescent="0.25">
      <c r="A32" s="82" t="s">
        <v>219</v>
      </c>
      <c r="B32" s="83"/>
      <c r="C32" s="83"/>
      <c r="D32" s="7"/>
      <c r="E32" s="83"/>
      <c r="F32" s="83"/>
      <c r="G32" s="83"/>
      <c r="H32" s="83"/>
      <c r="I32" s="83"/>
      <c r="J32" s="83"/>
      <c r="K32" s="83"/>
      <c r="L32" s="83"/>
      <c r="M32" s="83"/>
      <c r="N32" s="83">
        <v>141.46099999999998</v>
      </c>
      <c r="O32" s="83"/>
      <c r="P32" s="83"/>
      <c r="Q32" s="83">
        <v>16.34</v>
      </c>
      <c r="R32" s="83">
        <f>14.2+43</f>
        <v>57.2</v>
      </c>
      <c r="S32" s="35">
        <f t="shared" si="0"/>
        <v>215.00099999999998</v>
      </c>
    </row>
    <row r="33" spans="1:19" x14ac:dyDescent="0.25">
      <c r="A33" s="82" t="s">
        <v>196</v>
      </c>
      <c r="B33" s="83"/>
      <c r="C33" s="83">
        <v>155.66699999999994</v>
      </c>
      <c r="D33" s="7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>
        <v>0.5</v>
      </c>
      <c r="R33" s="83"/>
      <c r="S33" s="35">
        <f t="shared" si="0"/>
        <v>156.16699999999994</v>
      </c>
    </row>
    <row r="34" spans="1:19" x14ac:dyDescent="0.25">
      <c r="A34" s="82" t="s">
        <v>154</v>
      </c>
      <c r="B34" s="83"/>
      <c r="C34" s="83"/>
      <c r="D34" s="7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>
        <v>28.573</v>
      </c>
      <c r="P34" s="83"/>
      <c r="Q34" s="83">
        <v>2</v>
      </c>
      <c r="R34" s="83"/>
      <c r="S34" s="35">
        <f t="shared" si="0"/>
        <v>30.573</v>
      </c>
    </row>
    <row r="35" spans="1:19" x14ac:dyDescent="0.25">
      <c r="A35" s="82" t="s">
        <v>136</v>
      </c>
      <c r="B35" s="83"/>
      <c r="C35" s="83"/>
      <c r="D35" s="7"/>
      <c r="E35" s="83"/>
      <c r="F35" s="83"/>
      <c r="G35" s="83"/>
      <c r="H35" s="83"/>
      <c r="I35" s="83"/>
      <c r="J35" s="83"/>
      <c r="K35" s="83"/>
      <c r="L35" s="83"/>
      <c r="M35" s="83">
        <v>30.200000000000003</v>
      </c>
      <c r="N35" s="83">
        <v>142.31200000000001</v>
      </c>
      <c r="O35" s="83"/>
      <c r="P35" s="83"/>
      <c r="Q35" s="83">
        <v>3.75</v>
      </c>
      <c r="R35" s="83"/>
      <c r="S35" s="35">
        <f t="shared" si="0"/>
        <v>176.262</v>
      </c>
    </row>
    <row r="36" spans="1:19" x14ac:dyDescent="0.25">
      <c r="A36" s="82" t="s">
        <v>220</v>
      </c>
      <c r="B36" s="83"/>
      <c r="C36" s="83"/>
      <c r="D36" s="7"/>
      <c r="E36" s="83"/>
      <c r="F36" s="83"/>
      <c r="G36" s="83"/>
      <c r="H36" s="83"/>
      <c r="I36" s="83"/>
      <c r="J36" s="83"/>
      <c r="K36" s="83">
        <v>114.71499999999999</v>
      </c>
      <c r="L36" s="83"/>
      <c r="M36" s="83"/>
      <c r="N36" s="83"/>
      <c r="O36" s="83"/>
      <c r="P36" s="83"/>
      <c r="Q36" s="83">
        <v>1</v>
      </c>
      <c r="R36" s="83">
        <v>45</v>
      </c>
      <c r="S36" s="35">
        <f t="shared" si="0"/>
        <v>160.71499999999997</v>
      </c>
    </row>
    <row r="37" spans="1:19" x14ac:dyDescent="0.25">
      <c r="A37" s="82" t="s">
        <v>159</v>
      </c>
      <c r="B37" s="83"/>
      <c r="C37" s="83"/>
      <c r="D37" s="7"/>
      <c r="E37" s="83"/>
      <c r="F37" s="83"/>
      <c r="G37" s="83"/>
      <c r="H37" s="83"/>
      <c r="I37" s="83"/>
      <c r="J37" s="83"/>
      <c r="K37" s="83"/>
      <c r="L37" s="83"/>
      <c r="M37" s="83"/>
      <c r="N37" s="83">
        <v>61.307000000000002</v>
      </c>
      <c r="O37" s="83"/>
      <c r="P37" s="83"/>
      <c r="Q37" s="83">
        <v>33</v>
      </c>
      <c r="R37" s="83">
        <f>15.4</f>
        <v>15.4</v>
      </c>
      <c r="S37" s="35">
        <f t="shared" si="0"/>
        <v>109.70700000000001</v>
      </c>
    </row>
    <row r="38" spans="1:19" x14ac:dyDescent="0.25">
      <c r="A38" s="82" t="s">
        <v>193</v>
      </c>
      <c r="B38" s="83"/>
      <c r="C38" s="83"/>
      <c r="D38" s="7"/>
      <c r="E38" s="83"/>
      <c r="F38" s="83"/>
      <c r="G38" s="83">
        <v>177.14600000000004</v>
      </c>
      <c r="H38" s="83"/>
      <c r="I38" s="83"/>
      <c r="J38" s="83">
        <v>6.9550000000000001</v>
      </c>
      <c r="K38" s="83"/>
      <c r="L38" s="83"/>
      <c r="M38" s="83"/>
      <c r="N38" s="83"/>
      <c r="O38" s="83"/>
      <c r="P38" s="83"/>
      <c r="Q38" s="83"/>
      <c r="R38" s="83"/>
      <c r="S38" s="35">
        <f t="shared" si="0"/>
        <v>184.10100000000006</v>
      </c>
    </row>
    <row r="39" spans="1:19" x14ac:dyDescent="0.25">
      <c r="A39" s="82" t="s">
        <v>251</v>
      </c>
      <c r="B39" s="83"/>
      <c r="C39" s="83"/>
      <c r="D39" s="7"/>
      <c r="E39" s="83"/>
      <c r="F39" s="83">
        <v>73.596000000000004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>
        <v>32</v>
      </c>
      <c r="R39" s="83"/>
      <c r="S39" s="35">
        <f t="shared" si="0"/>
        <v>105.596</v>
      </c>
    </row>
    <row r="40" spans="1:19" x14ac:dyDescent="0.25">
      <c r="A40" s="82" t="s">
        <v>188</v>
      </c>
      <c r="B40" s="83">
        <v>89.53400000000002</v>
      </c>
      <c r="C40" s="83"/>
      <c r="D40" s="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>
        <v>6.17</v>
      </c>
      <c r="R40" s="83">
        <v>39.700000000000003</v>
      </c>
      <c r="S40" s="35">
        <f t="shared" si="0"/>
        <v>135.40400000000002</v>
      </c>
    </row>
    <row r="41" spans="1:19" x14ac:dyDescent="0.25">
      <c r="A41" s="82" t="s">
        <v>121</v>
      </c>
      <c r="B41" s="83"/>
      <c r="C41" s="83"/>
      <c r="D41" s="7"/>
      <c r="E41" s="83"/>
      <c r="F41" s="83"/>
      <c r="G41" s="83"/>
      <c r="H41" s="83"/>
      <c r="I41" s="83"/>
      <c r="J41" s="83"/>
      <c r="K41" s="83"/>
      <c r="L41" s="83"/>
      <c r="M41" s="83"/>
      <c r="N41" s="83">
        <v>86.272000000000006</v>
      </c>
      <c r="O41" s="83"/>
      <c r="P41" s="83"/>
      <c r="Q41" s="83">
        <v>35.5</v>
      </c>
      <c r="R41" s="83"/>
      <c r="S41" s="35">
        <f t="shared" si="0"/>
        <v>121.77200000000001</v>
      </c>
    </row>
    <row r="42" spans="1:19" x14ac:dyDescent="0.25">
      <c r="A42" s="82" t="s">
        <v>175</v>
      </c>
      <c r="B42" s="83"/>
      <c r="C42" s="83"/>
      <c r="D42" s="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>
        <v>136.68299999999999</v>
      </c>
      <c r="P42" s="83"/>
      <c r="Q42" s="83"/>
      <c r="R42" s="83"/>
      <c r="S42" s="35">
        <f t="shared" si="0"/>
        <v>136.68299999999999</v>
      </c>
    </row>
    <row r="43" spans="1:19" x14ac:dyDescent="0.25">
      <c r="A43" s="82" t="s">
        <v>130</v>
      </c>
      <c r="B43" s="83"/>
      <c r="C43" s="83"/>
      <c r="D43" s="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>
        <v>220.61399999999998</v>
      </c>
      <c r="P43" s="83">
        <v>6.5</v>
      </c>
      <c r="Q43" s="83">
        <v>1.75</v>
      </c>
      <c r="R43" s="83"/>
      <c r="S43" s="35">
        <f t="shared" si="0"/>
        <v>228.86399999999998</v>
      </c>
    </row>
    <row r="44" spans="1:19" x14ac:dyDescent="0.25">
      <c r="A44" s="82" t="s">
        <v>160</v>
      </c>
      <c r="B44" s="83"/>
      <c r="C44" s="83"/>
      <c r="D44" s="7">
        <v>122.53</v>
      </c>
      <c r="E44" s="83"/>
      <c r="F44" s="83"/>
      <c r="G44" s="83"/>
      <c r="H44" s="83"/>
      <c r="I44" s="83"/>
      <c r="J44" s="83"/>
      <c r="K44" s="83"/>
      <c r="L44" s="83">
        <v>12.548000000000002</v>
      </c>
      <c r="M44" s="83"/>
      <c r="N44" s="83"/>
      <c r="O44" s="83"/>
      <c r="P44" s="83"/>
      <c r="Q44" s="83">
        <v>3.17</v>
      </c>
      <c r="R44" s="83">
        <v>29</v>
      </c>
      <c r="S44" s="35">
        <f t="shared" si="0"/>
        <v>167.24799999999999</v>
      </c>
    </row>
    <row r="45" spans="1:19" x14ac:dyDescent="0.25">
      <c r="A45" s="82" t="s">
        <v>170</v>
      </c>
      <c r="B45" s="83"/>
      <c r="C45" s="83"/>
      <c r="D45" s="7"/>
      <c r="E45" s="83"/>
      <c r="F45" s="83"/>
      <c r="G45" s="83">
        <v>207.47400000000005</v>
      </c>
      <c r="H45" s="83"/>
      <c r="I45" s="83"/>
      <c r="J45" s="83">
        <v>9.3379999999999992</v>
      </c>
      <c r="K45" s="83"/>
      <c r="L45" s="83"/>
      <c r="M45" s="83"/>
      <c r="N45" s="83"/>
      <c r="O45" s="83"/>
      <c r="P45" s="83"/>
      <c r="Q45" s="83"/>
      <c r="R45" s="83"/>
      <c r="S45" s="35">
        <f t="shared" si="0"/>
        <v>216.81200000000004</v>
      </c>
    </row>
    <row r="46" spans="1:19" x14ac:dyDescent="0.25">
      <c r="A46" s="82" t="s">
        <v>297</v>
      </c>
      <c r="B46" s="83"/>
      <c r="C46" s="83"/>
      <c r="D46" s="7">
        <v>51.37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>
        <v>8</v>
      </c>
      <c r="R46" s="83">
        <v>9.6</v>
      </c>
      <c r="S46" s="35">
        <f t="shared" si="0"/>
        <v>68.97</v>
      </c>
    </row>
    <row r="47" spans="1:19" x14ac:dyDescent="0.25">
      <c r="A47" s="82" t="s">
        <v>155</v>
      </c>
      <c r="B47" s="83"/>
      <c r="C47" s="83"/>
      <c r="D47" s="7"/>
      <c r="E47" s="83">
        <v>26.596</v>
      </c>
      <c r="F47" s="83"/>
      <c r="G47" s="83">
        <v>25.040999999999997</v>
      </c>
      <c r="H47" s="83"/>
      <c r="I47" s="7">
        <f>66.462+15</f>
        <v>81.462000000000003</v>
      </c>
      <c r="J47" s="83">
        <v>7.8570000000000002</v>
      </c>
      <c r="K47" s="83"/>
      <c r="L47" s="83"/>
      <c r="M47" s="83"/>
      <c r="N47" s="83"/>
      <c r="O47" s="83"/>
      <c r="P47" s="83"/>
      <c r="Q47" s="83">
        <v>12.58</v>
      </c>
      <c r="R47" s="83"/>
      <c r="S47" s="35">
        <f t="shared" si="0"/>
        <v>153.536</v>
      </c>
    </row>
    <row r="48" spans="1:19" x14ac:dyDescent="0.25">
      <c r="A48" s="82" t="s">
        <v>221</v>
      </c>
      <c r="B48" s="83"/>
      <c r="C48" s="83"/>
      <c r="D48" s="7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>
        <v>169.62100000000001</v>
      </c>
      <c r="P48" s="83"/>
      <c r="Q48" s="83">
        <v>3.58</v>
      </c>
      <c r="R48" s="83"/>
      <c r="S48" s="35">
        <f t="shared" si="0"/>
        <v>173.20100000000002</v>
      </c>
    </row>
    <row r="49" spans="1:20" x14ac:dyDescent="0.25">
      <c r="A49" s="82" t="s">
        <v>174</v>
      </c>
      <c r="B49" s="83">
        <v>57.887</v>
      </c>
      <c r="C49" s="83"/>
      <c r="D49" s="7">
        <v>81.16</v>
      </c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>
        <v>5.33</v>
      </c>
      <c r="R49" s="83">
        <v>2</v>
      </c>
      <c r="S49" s="35">
        <f t="shared" si="0"/>
        <v>146.37700000000001</v>
      </c>
    </row>
    <row r="50" spans="1:20" x14ac:dyDescent="0.25">
      <c r="A50" s="82" t="s">
        <v>298</v>
      </c>
      <c r="B50" s="83"/>
      <c r="C50" s="83">
        <v>56.823999999999998</v>
      </c>
      <c r="D50" s="7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35">
        <f t="shared" si="0"/>
        <v>56.823999999999998</v>
      </c>
    </row>
    <row r="51" spans="1:20" x14ac:dyDescent="0.25">
      <c r="A51" s="82" t="s">
        <v>187</v>
      </c>
      <c r="B51" s="83"/>
      <c r="C51" s="83"/>
      <c r="D51" s="7">
        <v>131.35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>
        <v>6.5</v>
      </c>
      <c r="R51" s="83">
        <f>37.4</f>
        <v>37.4</v>
      </c>
      <c r="S51" s="35">
        <f t="shared" si="0"/>
        <v>175.25</v>
      </c>
    </row>
    <row r="52" spans="1:20" x14ac:dyDescent="0.25">
      <c r="A52" s="82" t="s">
        <v>191</v>
      </c>
      <c r="B52" s="83"/>
      <c r="C52" s="83"/>
      <c r="D52" s="7"/>
      <c r="E52" s="83"/>
      <c r="F52" s="83"/>
      <c r="G52" s="83">
        <v>139.56700000000001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35">
        <f t="shared" si="0"/>
        <v>139.56700000000001</v>
      </c>
    </row>
    <row r="53" spans="1:20" x14ac:dyDescent="0.25">
      <c r="A53" s="82" t="s">
        <v>194</v>
      </c>
      <c r="B53" s="83"/>
      <c r="C53" s="83"/>
      <c r="D53" s="7"/>
      <c r="E53" s="83"/>
      <c r="F53" s="83">
        <f>107.743+5.54</f>
        <v>113.283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>
        <v>11</v>
      </c>
      <c r="R53" s="83"/>
      <c r="S53" s="35">
        <f t="shared" si="0"/>
        <v>124.283</v>
      </c>
    </row>
    <row r="54" spans="1:20" x14ac:dyDescent="0.25">
      <c r="A54" s="82" t="s">
        <v>192</v>
      </c>
      <c r="B54" s="83"/>
      <c r="C54" s="83"/>
      <c r="D54" s="7">
        <v>134.80000000000001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>
        <v>6.25</v>
      </c>
      <c r="R54" s="83">
        <v>15.9</v>
      </c>
      <c r="S54" s="35">
        <f t="shared" si="0"/>
        <v>156.95000000000002</v>
      </c>
    </row>
    <row r="55" spans="1:20" x14ac:dyDescent="0.25">
      <c r="A55" s="82" t="s">
        <v>143</v>
      </c>
      <c r="B55" s="83"/>
      <c r="C55" s="83">
        <f>172.385+50</f>
        <v>222.38499999999999</v>
      </c>
      <c r="D55" s="7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35">
        <f t="shared" si="0"/>
        <v>222.38499999999999</v>
      </c>
    </row>
    <row r="56" spans="1:20" x14ac:dyDescent="0.25">
      <c r="A56" s="82" t="s">
        <v>146</v>
      </c>
      <c r="B56" s="83"/>
      <c r="C56" s="83"/>
      <c r="D56" s="7"/>
      <c r="E56" s="83"/>
      <c r="F56" s="83"/>
      <c r="G56" s="83"/>
      <c r="H56" s="83"/>
      <c r="I56" s="83"/>
      <c r="J56" s="83"/>
      <c r="K56" s="83"/>
      <c r="L56" s="83"/>
      <c r="M56" s="83"/>
      <c r="N56" s="83">
        <v>185.44900000000001</v>
      </c>
      <c r="O56" s="83"/>
      <c r="P56" s="83"/>
      <c r="Q56" s="83">
        <v>24.5</v>
      </c>
      <c r="R56" s="83"/>
      <c r="S56" s="35">
        <f t="shared" si="0"/>
        <v>209.94900000000001</v>
      </c>
    </row>
    <row r="57" spans="1:20" x14ac:dyDescent="0.25">
      <c r="A57" s="82" t="s">
        <v>299</v>
      </c>
      <c r="B57" s="83"/>
      <c r="C57" s="83"/>
      <c r="D57" s="7"/>
      <c r="E57" s="83"/>
      <c r="F57" s="83"/>
      <c r="G57" s="83"/>
      <c r="H57" s="83"/>
      <c r="I57" s="83"/>
      <c r="J57" s="83"/>
      <c r="K57" s="83"/>
      <c r="L57" s="83"/>
      <c r="M57" s="83">
        <v>12.7</v>
      </c>
      <c r="N57" s="83"/>
      <c r="O57" s="83"/>
      <c r="P57" s="83"/>
      <c r="Q57" s="83"/>
      <c r="R57" s="83"/>
      <c r="S57" s="35">
        <f t="shared" si="0"/>
        <v>12.7</v>
      </c>
    </row>
    <row r="58" spans="1:20" x14ac:dyDescent="0.25">
      <c r="A58" s="82" t="s">
        <v>133</v>
      </c>
      <c r="B58" s="83"/>
      <c r="C58" s="83"/>
      <c r="D58" s="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>
        <v>135.90999999999997</v>
      </c>
      <c r="P58" s="83"/>
      <c r="Q58" s="83">
        <v>2</v>
      </c>
      <c r="R58" s="83">
        <v>10</v>
      </c>
      <c r="S58" s="35">
        <f t="shared" si="0"/>
        <v>147.90999999999997</v>
      </c>
      <c r="T58" s="98"/>
    </row>
    <row r="59" spans="1:20" x14ac:dyDescent="0.25">
      <c r="A59" s="82" t="s">
        <v>140</v>
      </c>
      <c r="B59" s="83"/>
      <c r="C59" s="83">
        <v>194.096</v>
      </c>
      <c r="D59" s="7"/>
      <c r="E59" s="83"/>
      <c r="F59" s="83"/>
      <c r="G59" s="83"/>
      <c r="H59" s="83"/>
      <c r="I59" s="83"/>
      <c r="J59" s="83"/>
      <c r="K59" s="83"/>
      <c r="L59" s="83"/>
      <c r="M59" s="83"/>
      <c r="N59" s="83">
        <v>10.721</v>
      </c>
      <c r="O59" s="83"/>
      <c r="P59" s="83"/>
      <c r="Q59" s="83">
        <v>0.5</v>
      </c>
      <c r="R59" s="83"/>
      <c r="S59" s="35">
        <f t="shared" si="0"/>
        <v>205.31700000000001</v>
      </c>
    </row>
    <row r="60" spans="1:20" x14ac:dyDescent="0.25">
      <c r="A60" s="82" t="s">
        <v>222</v>
      </c>
      <c r="B60" s="83"/>
      <c r="C60" s="83"/>
      <c r="D60" s="7"/>
      <c r="E60" s="83"/>
      <c r="F60" s="83">
        <v>196.904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>
        <v>3.5</v>
      </c>
      <c r="R60" s="83">
        <v>8.1</v>
      </c>
      <c r="S60" s="35">
        <f t="shared" si="0"/>
        <v>208.50399999999999</v>
      </c>
    </row>
    <row r="61" spans="1:20" x14ac:dyDescent="0.25">
      <c r="A61" s="82" t="s">
        <v>162</v>
      </c>
      <c r="B61" s="83">
        <v>187.18</v>
      </c>
      <c r="C61" s="83">
        <v>11.321999999999999</v>
      </c>
      <c r="D61" s="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>
        <v>5</v>
      </c>
      <c r="R61" s="83">
        <v>3</v>
      </c>
      <c r="S61" s="35">
        <f t="shared" si="0"/>
        <v>206.50200000000001</v>
      </c>
    </row>
    <row r="62" spans="1:20" x14ac:dyDescent="0.25">
      <c r="A62" s="82" t="s">
        <v>223</v>
      </c>
      <c r="B62" s="83"/>
      <c r="C62" s="83"/>
      <c r="D62" s="7">
        <v>149.19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6</v>
      </c>
      <c r="R62" s="83">
        <v>19</v>
      </c>
      <c r="S62" s="35">
        <f t="shared" si="0"/>
        <v>174.19</v>
      </c>
    </row>
    <row r="63" spans="1:20" x14ac:dyDescent="0.25">
      <c r="A63" s="82" t="s">
        <v>184</v>
      </c>
      <c r="B63" s="83"/>
      <c r="C63" s="83"/>
      <c r="D63" s="7"/>
      <c r="E63" s="83"/>
      <c r="F63" s="83">
        <v>62.168999999999997</v>
      </c>
      <c r="G63" s="83"/>
      <c r="H63" s="83"/>
      <c r="I63" s="83"/>
      <c r="J63" s="83"/>
      <c r="K63" s="83">
        <v>174.107</v>
      </c>
      <c r="L63" s="83"/>
      <c r="M63" s="83"/>
      <c r="N63" s="83"/>
      <c r="O63" s="83"/>
      <c r="P63" s="83"/>
      <c r="Q63" s="83">
        <v>1.67</v>
      </c>
      <c r="R63" s="83">
        <v>10</v>
      </c>
      <c r="S63" s="35">
        <f t="shared" si="0"/>
        <v>247.946</v>
      </c>
    </row>
    <row r="64" spans="1:20" x14ac:dyDescent="0.25">
      <c r="A64" s="82" t="s">
        <v>148</v>
      </c>
      <c r="B64" s="83"/>
      <c r="C64" s="83"/>
      <c r="D64" s="7"/>
      <c r="E64" s="83"/>
      <c r="F64" s="83"/>
      <c r="G64" s="83"/>
      <c r="H64" s="83"/>
      <c r="I64" s="83"/>
      <c r="J64" s="83"/>
      <c r="K64" s="83"/>
      <c r="L64" s="83"/>
      <c r="M64" s="83"/>
      <c r="N64" s="83">
        <v>156.67699999999996</v>
      </c>
      <c r="O64" s="83"/>
      <c r="P64" s="83"/>
      <c r="Q64" s="83">
        <v>14</v>
      </c>
      <c r="R64" s="83"/>
      <c r="S64" s="35">
        <f t="shared" si="0"/>
        <v>170.67699999999996</v>
      </c>
    </row>
    <row r="65" spans="1:19" s="17" customFormat="1" x14ac:dyDescent="0.25">
      <c r="A65" s="82" t="s">
        <v>296</v>
      </c>
      <c r="B65" s="83"/>
      <c r="C65" s="83"/>
      <c r="D65" s="7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35">
        <f t="shared" ref="S65:S104" si="1">SUM(B65:R65)</f>
        <v>0</v>
      </c>
    </row>
    <row r="66" spans="1:19" x14ac:dyDescent="0.25">
      <c r="A66" s="82" t="s">
        <v>167</v>
      </c>
      <c r="B66" s="83"/>
      <c r="C66" s="83"/>
      <c r="D66" s="7"/>
      <c r="E66" s="83"/>
      <c r="F66" s="83"/>
      <c r="G66" s="83"/>
      <c r="H66" s="83"/>
      <c r="I66" s="83"/>
      <c r="J66" s="83"/>
      <c r="K66" s="83"/>
      <c r="L66" s="83"/>
      <c r="M66" s="83"/>
      <c r="N66" s="83">
        <v>13.940999999999999</v>
      </c>
      <c r="O66" s="83">
        <f>135.562+20</f>
        <v>155.56200000000001</v>
      </c>
      <c r="P66" s="83"/>
      <c r="Q66" s="83">
        <v>4</v>
      </c>
      <c r="R66" s="83"/>
      <c r="S66" s="35">
        <f t="shared" si="1"/>
        <v>173.50300000000001</v>
      </c>
    </row>
    <row r="67" spans="1:19" x14ac:dyDescent="0.25">
      <c r="A67" s="82" t="s">
        <v>200</v>
      </c>
      <c r="B67" s="83"/>
      <c r="C67" s="83"/>
      <c r="D67" s="7"/>
      <c r="E67" s="83"/>
      <c r="F67" s="83"/>
      <c r="G67" s="83">
        <v>120.27500000000001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35">
        <f t="shared" si="1"/>
        <v>120.27500000000001</v>
      </c>
    </row>
    <row r="68" spans="1:19" x14ac:dyDescent="0.25">
      <c r="A68" s="82" t="s">
        <v>199</v>
      </c>
      <c r="B68" s="83"/>
      <c r="C68" s="83"/>
      <c r="D68" s="7"/>
      <c r="E68" s="83"/>
      <c r="F68" s="83"/>
      <c r="G68" s="83"/>
      <c r="H68" s="83"/>
      <c r="I68" s="83"/>
      <c r="J68" s="83"/>
      <c r="K68" s="83"/>
      <c r="L68" s="83">
        <v>146.84799999999996</v>
      </c>
      <c r="M68" s="83"/>
      <c r="N68" s="83"/>
      <c r="O68" s="83"/>
      <c r="P68" s="83"/>
      <c r="Q68" s="83"/>
      <c r="R68" s="83"/>
      <c r="S68" s="35">
        <f t="shared" si="1"/>
        <v>146.84799999999996</v>
      </c>
    </row>
    <row r="69" spans="1:19" x14ac:dyDescent="0.25">
      <c r="A69" s="82" t="s">
        <v>225</v>
      </c>
      <c r="B69" s="83">
        <v>120.411</v>
      </c>
      <c r="C69" s="83"/>
      <c r="D69" s="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>
        <v>13.67</v>
      </c>
      <c r="R69" s="83">
        <v>11.7</v>
      </c>
      <c r="S69" s="35">
        <f t="shared" si="1"/>
        <v>145.78099999999998</v>
      </c>
    </row>
    <row r="70" spans="1:19" x14ac:dyDescent="0.25">
      <c r="A70" s="82" t="s">
        <v>226</v>
      </c>
      <c r="B70" s="83"/>
      <c r="C70" s="83"/>
      <c r="D70" s="7"/>
      <c r="E70" s="83"/>
      <c r="F70" s="83"/>
      <c r="G70" s="83"/>
      <c r="H70" s="83"/>
      <c r="I70" s="83"/>
      <c r="J70" s="83"/>
      <c r="K70" s="83"/>
      <c r="L70" s="83"/>
      <c r="M70" s="83"/>
      <c r="N70" s="83">
        <v>70.391000000000005</v>
      </c>
      <c r="O70" s="83"/>
      <c r="P70" s="83"/>
      <c r="Q70" s="83">
        <v>35.5</v>
      </c>
      <c r="R70" s="83">
        <f>15.2+50</f>
        <v>65.2</v>
      </c>
      <c r="S70" s="35">
        <f t="shared" si="1"/>
        <v>171.09100000000001</v>
      </c>
    </row>
    <row r="71" spans="1:19" x14ac:dyDescent="0.25">
      <c r="A71" s="82" t="s">
        <v>169</v>
      </c>
      <c r="B71" s="83"/>
      <c r="C71" s="83"/>
      <c r="D71" s="7">
        <v>188.65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>
        <v>6.5</v>
      </c>
      <c r="R71" s="83"/>
      <c r="S71" s="35">
        <f t="shared" si="1"/>
        <v>195.15</v>
      </c>
    </row>
    <row r="72" spans="1:19" x14ac:dyDescent="0.25">
      <c r="A72" s="82" t="s">
        <v>120</v>
      </c>
      <c r="B72" s="83"/>
      <c r="C72" s="83"/>
      <c r="D72" s="7"/>
      <c r="E72" s="83"/>
      <c r="F72" s="83"/>
      <c r="G72" s="83"/>
      <c r="H72" s="83"/>
      <c r="I72" s="83"/>
      <c r="J72" s="83"/>
      <c r="K72" s="83"/>
      <c r="L72" s="83"/>
      <c r="M72" s="83"/>
      <c r="N72" s="83">
        <v>83.608000000000004</v>
      </c>
      <c r="O72" s="83">
        <v>10</v>
      </c>
      <c r="P72" s="83"/>
      <c r="Q72" s="83">
        <v>17</v>
      </c>
      <c r="R72" s="83"/>
      <c r="S72" s="35">
        <f t="shared" si="1"/>
        <v>110.608</v>
      </c>
    </row>
    <row r="73" spans="1:19" x14ac:dyDescent="0.25">
      <c r="A73" s="82" t="s">
        <v>124</v>
      </c>
      <c r="B73" s="83"/>
      <c r="C73" s="83"/>
      <c r="D73" s="7">
        <v>21.297999999999998</v>
      </c>
      <c r="E73" s="83"/>
      <c r="F73" s="83"/>
      <c r="G73" s="83"/>
      <c r="H73" s="83"/>
      <c r="I73" s="83"/>
      <c r="J73" s="83">
        <v>43.712999999999994</v>
      </c>
      <c r="K73" s="83"/>
      <c r="L73" s="83"/>
      <c r="M73" s="83"/>
      <c r="N73" s="83"/>
      <c r="O73" s="83"/>
      <c r="P73" s="83">
        <v>92.42</v>
      </c>
      <c r="Q73" s="83">
        <v>4.83</v>
      </c>
      <c r="R73" s="83"/>
      <c r="S73" s="35">
        <f t="shared" si="1"/>
        <v>162.261</v>
      </c>
    </row>
    <row r="74" spans="1:19" x14ac:dyDescent="0.25">
      <c r="A74" s="82" t="s">
        <v>177</v>
      </c>
      <c r="B74" s="83"/>
      <c r="C74" s="83"/>
      <c r="D74" s="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>
        <v>164.858</v>
      </c>
      <c r="P74" s="83">
        <v>5.33</v>
      </c>
      <c r="Q74" s="83">
        <v>3.25</v>
      </c>
      <c r="R74" s="83"/>
      <c r="S74" s="35">
        <f t="shared" si="1"/>
        <v>173.43800000000002</v>
      </c>
    </row>
    <row r="75" spans="1:19" x14ac:dyDescent="0.25">
      <c r="A75" s="82" t="s">
        <v>178</v>
      </c>
      <c r="B75" s="83"/>
      <c r="C75" s="83"/>
      <c r="D75" s="7"/>
      <c r="E75" s="83"/>
      <c r="F75" s="83"/>
      <c r="G75" s="83"/>
      <c r="H75" s="83"/>
      <c r="I75" s="83"/>
      <c r="J75" s="83"/>
      <c r="K75" s="83"/>
      <c r="L75" s="83"/>
      <c r="M75" s="83">
        <v>99.649999999999991</v>
      </c>
      <c r="N75" s="83"/>
      <c r="O75" s="83"/>
      <c r="P75" s="83"/>
      <c r="Q75" s="83">
        <v>7.17</v>
      </c>
      <c r="R75" s="83"/>
      <c r="S75" s="35">
        <f t="shared" si="1"/>
        <v>106.82</v>
      </c>
    </row>
    <row r="76" spans="1:19" x14ac:dyDescent="0.25">
      <c r="A76" s="82" t="s">
        <v>126</v>
      </c>
      <c r="B76" s="83"/>
      <c r="C76" s="83"/>
      <c r="D76" s="7">
        <v>142.05000000000001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>
        <v>4.17</v>
      </c>
      <c r="R76" s="83"/>
      <c r="S76" s="35">
        <f t="shared" si="1"/>
        <v>146.22</v>
      </c>
    </row>
    <row r="77" spans="1:19" s="17" customFormat="1" x14ac:dyDescent="0.25">
      <c r="A77" s="82" t="s">
        <v>227</v>
      </c>
      <c r="B77" s="83"/>
      <c r="C77" s="83"/>
      <c r="D77" s="7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>
        <v>196</v>
      </c>
      <c r="S77" s="35">
        <f t="shared" si="1"/>
        <v>196</v>
      </c>
    </row>
    <row r="78" spans="1:19" x14ac:dyDescent="0.25">
      <c r="A78" s="82" t="s">
        <v>186</v>
      </c>
      <c r="B78" s="83">
        <v>167.1</v>
      </c>
      <c r="C78" s="83">
        <v>9.5329999999999995</v>
      </c>
      <c r="D78" s="7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>
        <v>9.5</v>
      </c>
      <c r="R78" s="83"/>
      <c r="S78" s="35">
        <f t="shared" si="1"/>
        <v>186.13299999999998</v>
      </c>
    </row>
    <row r="79" spans="1:19" x14ac:dyDescent="0.25">
      <c r="A79" s="82" t="s">
        <v>195</v>
      </c>
      <c r="B79" s="83"/>
      <c r="C79" s="83"/>
      <c r="D79" s="7"/>
      <c r="E79" s="83"/>
      <c r="F79" s="83">
        <f>149.082+10</f>
        <v>159.08199999999999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>
        <v>12.25</v>
      </c>
      <c r="R79" s="83">
        <v>10</v>
      </c>
      <c r="S79" s="35">
        <f t="shared" si="1"/>
        <v>181.33199999999999</v>
      </c>
    </row>
    <row r="80" spans="1:19" x14ac:dyDescent="0.25">
      <c r="A80" s="82" t="s">
        <v>165</v>
      </c>
      <c r="B80" s="83"/>
      <c r="C80" s="83"/>
      <c r="D80" s="7"/>
      <c r="E80" s="83"/>
      <c r="F80" s="83"/>
      <c r="G80" s="83"/>
      <c r="H80" s="83"/>
      <c r="I80" s="83"/>
      <c r="J80" s="83"/>
      <c r="K80" s="83"/>
      <c r="L80" s="83"/>
      <c r="M80" s="83">
        <v>93.74</v>
      </c>
      <c r="N80" s="83">
        <v>11.747</v>
      </c>
      <c r="O80" s="83"/>
      <c r="P80" s="83"/>
      <c r="Q80" s="83">
        <v>20</v>
      </c>
      <c r="R80" s="83"/>
      <c r="S80" s="35">
        <f t="shared" si="1"/>
        <v>125.48699999999999</v>
      </c>
    </row>
    <row r="81" spans="1:19" x14ac:dyDescent="0.25">
      <c r="A81" s="82" t="s">
        <v>137</v>
      </c>
      <c r="B81" s="83"/>
      <c r="C81" s="83"/>
      <c r="D81" s="7"/>
      <c r="E81" s="83">
        <f>124.344+25</f>
        <v>149.34399999999999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>
        <v>3.67</v>
      </c>
      <c r="R81" s="83"/>
      <c r="S81" s="35">
        <f t="shared" si="1"/>
        <v>153.01399999999998</v>
      </c>
    </row>
    <row r="82" spans="1:19" x14ac:dyDescent="0.25">
      <c r="A82" s="82" t="s">
        <v>141</v>
      </c>
      <c r="B82" s="83">
        <v>9.3450000000000006</v>
      </c>
      <c r="C82" s="83"/>
      <c r="D82" s="7"/>
      <c r="E82" s="83"/>
      <c r="F82" s="83"/>
      <c r="G82" s="83"/>
      <c r="H82" s="83"/>
      <c r="I82" s="83"/>
      <c r="J82" s="83"/>
      <c r="K82" s="83"/>
      <c r="L82" s="83"/>
      <c r="M82" s="83"/>
      <c r="N82" s="83">
        <v>4.617</v>
      </c>
      <c r="O82" s="83">
        <f>142.716+6</f>
        <v>148.71600000000001</v>
      </c>
      <c r="P82" s="83"/>
      <c r="Q82" s="83">
        <v>4.17</v>
      </c>
      <c r="R82" s="83"/>
      <c r="S82" s="35">
        <f t="shared" si="1"/>
        <v>166.84799999999998</v>
      </c>
    </row>
    <row r="83" spans="1:19" x14ac:dyDescent="0.25">
      <c r="A83" s="82" t="s">
        <v>203</v>
      </c>
      <c r="B83" s="83"/>
      <c r="C83" s="83"/>
      <c r="D83" s="7"/>
      <c r="E83" s="83"/>
      <c r="F83" s="83"/>
      <c r="G83" s="83"/>
      <c r="H83" s="83"/>
      <c r="I83" s="83"/>
      <c r="J83" s="83"/>
      <c r="K83" s="83"/>
      <c r="L83" s="83"/>
      <c r="M83" s="83"/>
      <c r="N83" s="83">
        <v>133.76</v>
      </c>
      <c r="O83" s="83"/>
      <c r="P83" s="83"/>
      <c r="Q83" s="83">
        <v>8.33</v>
      </c>
      <c r="R83" s="83">
        <v>40</v>
      </c>
      <c r="S83" s="35">
        <f t="shared" si="1"/>
        <v>182.09</v>
      </c>
    </row>
    <row r="84" spans="1:19" x14ac:dyDescent="0.25">
      <c r="A84" s="82" t="s">
        <v>202</v>
      </c>
      <c r="B84" s="83"/>
      <c r="C84" s="83"/>
      <c r="D84" s="7"/>
      <c r="E84" s="83"/>
      <c r="F84" s="83"/>
      <c r="G84" s="83"/>
      <c r="H84" s="83">
        <f>115.152+16</f>
        <v>131.15199999999999</v>
      </c>
      <c r="I84" s="83"/>
      <c r="J84" s="83"/>
      <c r="K84" s="83"/>
      <c r="L84" s="83"/>
      <c r="M84" s="83"/>
      <c r="N84" s="83"/>
      <c r="O84" s="83"/>
      <c r="P84" s="83"/>
      <c r="Q84" s="83">
        <v>9.66</v>
      </c>
      <c r="R84" s="83">
        <v>30</v>
      </c>
      <c r="S84" s="35">
        <f t="shared" si="1"/>
        <v>170.81199999999998</v>
      </c>
    </row>
    <row r="85" spans="1:19" x14ac:dyDescent="0.25">
      <c r="A85" s="82" t="s">
        <v>164</v>
      </c>
      <c r="B85" s="83"/>
      <c r="C85" s="83"/>
      <c r="D85" s="7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>
        <v>132.55500000000001</v>
      </c>
      <c r="P85" s="83"/>
      <c r="Q85" s="83">
        <v>0.92</v>
      </c>
      <c r="R85" s="83"/>
      <c r="S85" s="35">
        <f t="shared" si="1"/>
        <v>133.47499999999999</v>
      </c>
    </row>
    <row r="86" spans="1:19" x14ac:dyDescent="0.25">
      <c r="A86" s="82" t="s">
        <v>138</v>
      </c>
      <c r="B86" s="83"/>
      <c r="C86" s="83"/>
      <c r="D86" s="7"/>
      <c r="E86" s="83"/>
      <c r="F86" s="83"/>
      <c r="G86" s="83"/>
      <c r="H86" s="83">
        <f>124.445+16</f>
        <v>140.44499999999999</v>
      </c>
      <c r="I86" s="83"/>
      <c r="J86" s="83"/>
      <c r="K86" s="83"/>
      <c r="L86" s="83"/>
      <c r="M86" s="83"/>
      <c r="N86" s="83"/>
      <c r="O86" s="83"/>
      <c r="P86" s="83"/>
      <c r="Q86" s="83">
        <v>17.5</v>
      </c>
      <c r="R86" s="83"/>
      <c r="S86" s="35">
        <f t="shared" si="1"/>
        <v>157.94499999999999</v>
      </c>
    </row>
    <row r="87" spans="1:19" x14ac:dyDescent="0.25">
      <c r="A87" s="82" t="s">
        <v>190</v>
      </c>
      <c r="B87" s="83">
        <v>90.815999999999988</v>
      </c>
      <c r="C87" s="83"/>
      <c r="D87" s="7"/>
      <c r="E87" s="83"/>
      <c r="F87" s="83"/>
      <c r="G87" s="83">
        <v>87.866000000000014</v>
      </c>
      <c r="H87" s="83"/>
      <c r="I87" s="83"/>
      <c r="J87" s="83"/>
      <c r="K87" s="83"/>
      <c r="L87" s="83"/>
      <c r="M87" s="83"/>
      <c r="N87" s="83"/>
      <c r="O87" s="83"/>
      <c r="P87" s="83"/>
      <c r="Q87" s="83">
        <v>4.67</v>
      </c>
      <c r="R87" s="83"/>
      <c r="S87" s="35">
        <f t="shared" si="1"/>
        <v>183.352</v>
      </c>
    </row>
    <row r="88" spans="1:19" x14ac:dyDescent="0.25">
      <c r="A88" s="82" t="s">
        <v>166</v>
      </c>
      <c r="B88" s="83">
        <v>92.498000000000005</v>
      </c>
      <c r="C88" s="83"/>
      <c r="D88" s="7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>
        <v>1</v>
      </c>
      <c r="R88" s="83">
        <v>2.8</v>
      </c>
      <c r="S88" s="35">
        <f t="shared" si="1"/>
        <v>96.298000000000002</v>
      </c>
    </row>
    <row r="89" spans="1:19" x14ac:dyDescent="0.25">
      <c r="A89" s="82" t="s">
        <v>179</v>
      </c>
      <c r="B89" s="83"/>
      <c r="C89" s="83"/>
      <c r="D89" s="7"/>
      <c r="E89" s="83"/>
      <c r="F89" s="83"/>
      <c r="G89" s="83"/>
      <c r="H89" s="83"/>
      <c r="I89" s="83"/>
      <c r="J89" s="83"/>
      <c r="K89" s="83"/>
      <c r="L89" s="83"/>
      <c r="M89" s="83"/>
      <c r="N89" s="83">
        <v>98.801000000000002</v>
      </c>
      <c r="O89" s="83"/>
      <c r="P89" s="83"/>
      <c r="Q89" s="83">
        <v>13</v>
      </c>
      <c r="R89" s="83">
        <v>18.3</v>
      </c>
      <c r="S89" s="35">
        <f t="shared" si="1"/>
        <v>130.101</v>
      </c>
    </row>
    <row r="90" spans="1:19" x14ac:dyDescent="0.25">
      <c r="A90" s="82" t="s">
        <v>228</v>
      </c>
      <c r="B90" s="83"/>
      <c r="C90" s="83"/>
      <c r="D90" s="7"/>
      <c r="E90" s="83"/>
      <c r="F90" s="83"/>
      <c r="G90" s="83"/>
      <c r="H90" s="83"/>
      <c r="I90" s="83"/>
      <c r="J90" s="83"/>
      <c r="K90" s="83"/>
      <c r="L90" s="83"/>
      <c r="M90" s="83">
        <v>171.67</v>
      </c>
      <c r="N90" s="83"/>
      <c r="O90" s="83"/>
      <c r="P90" s="83"/>
      <c r="Q90" s="83">
        <v>2.25</v>
      </c>
      <c r="R90" s="83"/>
      <c r="S90" s="35">
        <f t="shared" si="1"/>
        <v>173.92</v>
      </c>
    </row>
    <row r="91" spans="1:19" x14ac:dyDescent="0.25">
      <c r="A91" s="82" t="s">
        <v>181</v>
      </c>
      <c r="B91" s="83">
        <v>7.9359999999999999</v>
      </c>
      <c r="C91" s="83"/>
      <c r="D91" s="7">
        <v>158.75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>
        <v>9.67</v>
      </c>
      <c r="R91" s="83">
        <v>6.4</v>
      </c>
      <c r="S91" s="35">
        <f t="shared" si="1"/>
        <v>182.756</v>
      </c>
    </row>
    <row r="92" spans="1:19" x14ac:dyDescent="0.25">
      <c r="A92" s="82" t="s">
        <v>129</v>
      </c>
      <c r="B92" s="83"/>
      <c r="C92" s="83"/>
      <c r="D92" s="7"/>
      <c r="E92" s="83"/>
      <c r="F92" s="83"/>
      <c r="G92" s="83"/>
      <c r="H92" s="83"/>
      <c r="I92" s="83"/>
      <c r="J92" s="83"/>
      <c r="K92" s="83"/>
      <c r="L92" s="83"/>
      <c r="M92" s="83"/>
      <c r="N92" s="83">
        <v>202.51299999999998</v>
      </c>
      <c r="O92" s="83"/>
      <c r="P92" s="83"/>
      <c r="Q92" s="83">
        <v>14</v>
      </c>
      <c r="R92" s="83">
        <v>25</v>
      </c>
      <c r="S92" s="35">
        <f t="shared" si="1"/>
        <v>241.51299999999998</v>
      </c>
    </row>
    <row r="93" spans="1:19" x14ac:dyDescent="0.25">
      <c r="A93" s="82" t="s">
        <v>161</v>
      </c>
      <c r="B93" s="83"/>
      <c r="C93" s="83"/>
      <c r="D93" s="7"/>
      <c r="E93" s="83"/>
      <c r="F93" s="83"/>
      <c r="G93" s="83"/>
      <c r="H93" s="83"/>
      <c r="I93" s="83"/>
      <c r="J93" s="83"/>
      <c r="K93" s="83"/>
      <c r="L93" s="83"/>
      <c r="M93" s="83">
        <v>130.5</v>
      </c>
      <c r="N93" s="83">
        <v>9.7279999999999998</v>
      </c>
      <c r="O93" s="83"/>
      <c r="P93" s="83"/>
      <c r="Q93" s="83">
        <v>10.87</v>
      </c>
      <c r="R93" s="83"/>
      <c r="S93" s="35">
        <f t="shared" si="1"/>
        <v>151.09800000000001</v>
      </c>
    </row>
    <row r="94" spans="1:19" x14ac:dyDescent="0.25">
      <c r="A94" s="82" t="s">
        <v>127</v>
      </c>
      <c r="B94" s="83"/>
      <c r="C94" s="83"/>
      <c r="D94" s="7"/>
      <c r="E94" s="83"/>
      <c r="F94" s="83"/>
      <c r="G94" s="96"/>
      <c r="H94" s="7"/>
      <c r="I94" s="7"/>
      <c r="J94" s="7">
        <f>88.937+15</f>
        <v>103.937</v>
      </c>
      <c r="K94" s="83"/>
      <c r="L94" s="83"/>
      <c r="M94" s="83"/>
      <c r="N94" s="83"/>
      <c r="O94" s="83"/>
      <c r="P94" s="83"/>
      <c r="Q94" s="83">
        <v>0.25</v>
      </c>
      <c r="R94" s="83"/>
      <c r="S94" s="35">
        <f t="shared" si="1"/>
        <v>104.187</v>
      </c>
    </row>
    <row r="95" spans="1:19" x14ac:dyDescent="0.25">
      <c r="A95" s="82" t="s">
        <v>153</v>
      </c>
      <c r="B95" s="83"/>
      <c r="C95" s="83"/>
      <c r="D95" s="7"/>
      <c r="E95" s="83"/>
      <c r="F95" s="83">
        <v>68.47</v>
      </c>
      <c r="G95" s="96"/>
      <c r="H95" s="7"/>
      <c r="I95" s="7"/>
      <c r="J95" s="7"/>
      <c r="K95" s="83"/>
      <c r="L95" s="83"/>
      <c r="M95" s="83"/>
      <c r="N95" s="83"/>
      <c r="O95" s="83"/>
      <c r="P95" s="83"/>
      <c r="Q95" s="83">
        <v>8.33</v>
      </c>
      <c r="R95" s="83"/>
      <c r="S95" s="35">
        <f t="shared" si="1"/>
        <v>76.8</v>
      </c>
    </row>
    <row r="96" spans="1:19" x14ac:dyDescent="0.25">
      <c r="A96" s="82" t="s">
        <v>157</v>
      </c>
      <c r="B96" s="83"/>
      <c r="C96" s="83"/>
      <c r="D96" s="7"/>
      <c r="E96" s="83"/>
      <c r="F96" s="83"/>
      <c r="G96" s="96"/>
      <c r="H96" s="7"/>
      <c r="I96" s="7">
        <v>8</v>
      </c>
      <c r="J96" s="7">
        <f>75.51+15</f>
        <v>90.51</v>
      </c>
      <c r="K96" s="83"/>
      <c r="L96" s="83"/>
      <c r="M96" s="83"/>
      <c r="N96" s="83"/>
      <c r="O96" s="83"/>
      <c r="P96" s="83"/>
      <c r="Q96" s="83"/>
      <c r="R96" s="83">
        <v>40</v>
      </c>
      <c r="S96" s="35">
        <f t="shared" si="1"/>
        <v>138.51</v>
      </c>
    </row>
    <row r="97" spans="1:20" x14ac:dyDescent="0.25">
      <c r="A97" s="82" t="s">
        <v>144</v>
      </c>
      <c r="B97" s="83"/>
      <c r="C97" s="83"/>
      <c r="D97" s="7"/>
      <c r="E97" s="83"/>
      <c r="F97" s="83"/>
      <c r="G97" s="96"/>
      <c r="H97" s="7"/>
      <c r="I97" s="7"/>
      <c r="J97" s="7">
        <v>10.519</v>
      </c>
      <c r="K97" s="83"/>
      <c r="L97" s="83"/>
      <c r="M97" s="83"/>
      <c r="N97" s="83"/>
      <c r="O97" s="83">
        <v>44.61</v>
      </c>
      <c r="P97" s="83"/>
      <c r="Q97" s="83">
        <v>1</v>
      </c>
      <c r="R97" s="83">
        <v>18</v>
      </c>
      <c r="S97" s="35">
        <f t="shared" si="1"/>
        <v>74.128999999999991</v>
      </c>
    </row>
    <row r="98" spans="1:20" x14ac:dyDescent="0.25">
      <c r="A98" s="82" t="s">
        <v>132</v>
      </c>
      <c r="B98" s="83"/>
      <c r="C98" s="83"/>
      <c r="D98" s="7"/>
      <c r="E98" s="83"/>
      <c r="F98" s="83"/>
      <c r="G98" s="96"/>
      <c r="H98" s="7"/>
      <c r="I98" s="7"/>
      <c r="J98" s="7"/>
      <c r="K98" s="83"/>
      <c r="L98" s="83"/>
      <c r="M98" s="83"/>
      <c r="N98" s="83"/>
      <c r="O98" s="83">
        <v>99.271000000000001</v>
      </c>
      <c r="P98" s="83"/>
      <c r="Q98" s="83">
        <v>3</v>
      </c>
      <c r="R98" s="83"/>
      <c r="S98" s="35">
        <f t="shared" si="1"/>
        <v>102.271</v>
      </c>
    </row>
    <row r="99" spans="1:20" x14ac:dyDescent="0.25">
      <c r="A99" s="82" t="s">
        <v>34</v>
      </c>
      <c r="B99" s="83"/>
      <c r="C99" s="83"/>
      <c r="D99" s="7"/>
      <c r="E99" s="83"/>
      <c r="F99" s="83"/>
      <c r="G99" s="96"/>
      <c r="H99" s="7">
        <v>32</v>
      </c>
      <c r="I99" s="7"/>
      <c r="J99" s="7"/>
      <c r="K99" s="83">
        <v>30</v>
      </c>
      <c r="L99" s="83"/>
      <c r="M99" s="83"/>
      <c r="N99" s="83"/>
      <c r="O99" s="83">
        <v>200</v>
      </c>
      <c r="P99" s="83"/>
      <c r="Q99" s="83"/>
      <c r="R99" s="83"/>
      <c r="S99" s="83">
        <f t="shared" si="1"/>
        <v>262</v>
      </c>
    </row>
    <row r="100" spans="1:20" x14ac:dyDescent="0.25">
      <c r="A100" s="82" t="s">
        <v>35</v>
      </c>
      <c r="B100" s="83"/>
      <c r="C100" s="83"/>
      <c r="D100" s="7"/>
      <c r="E100" s="83"/>
      <c r="F100" s="83"/>
      <c r="G100" s="96">
        <v>83</v>
      </c>
      <c r="H100" s="7"/>
      <c r="I100" s="7">
        <v>27</v>
      </c>
      <c r="J100" s="7">
        <v>50</v>
      </c>
      <c r="K100" s="83"/>
      <c r="L100" s="83"/>
      <c r="M100" s="83"/>
      <c r="N100" s="83"/>
      <c r="O100" s="83"/>
      <c r="P100" s="83"/>
      <c r="Q100" s="83"/>
      <c r="R100" s="83"/>
      <c r="S100" s="83">
        <f t="shared" si="1"/>
        <v>160</v>
      </c>
    </row>
    <row r="101" spans="1:20" x14ac:dyDescent="0.25">
      <c r="A101" s="82" t="s">
        <v>40</v>
      </c>
      <c r="B101" s="83"/>
      <c r="C101" s="83"/>
      <c r="D101" s="7"/>
      <c r="E101" s="83">
        <v>31</v>
      </c>
      <c r="F101" s="83">
        <v>129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>
        <f t="shared" si="1"/>
        <v>160</v>
      </c>
    </row>
    <row r="102" spans="1:20" x14ac:dyDescent="0.25">
      <c r="A102" s="82" t="s">
        <v>55</v>
      </c>
      <c r="B102" s="83"/>
      <c r="C102" s="83">
        <v>120</v>
      </c>
      <c r="D102" s="7"/>
      <c r="E102" s="83"/>
      <c r="F102" s="83"/>
      <c r="G102" s="83"/>
      <c r="H102" s="83"/>
      <c r="I102" s="83"/>
      <c r="J102" s="83"/>
      <c r="K102" s="83"/>
      <c r="L102" s="83">
        <v>10</v>
      </c>
      <c r="M102" s="83"/>
      <c r="N102" s="83"/>
      <c r="O102" s="83"/>
      <c r="P102" s="83"/>
      <c r="Q102" s="83"/>
      <c r="R102" s="83"/>
      <c r="S102" s="83">
        <f t="shared" si="1"/>
        <v>130</v>
      </c>
    </row>
    <row r="103" spans="1:20" x14ac:dyDescent="0.25">
      <c r="A103" s="82" t="s">
        <v>62</v>
      </c>
      <c r="B103" s="83">
        <v>159.79</v>
      </c>
      <c r="C103" s="83">
        <v>30</v>
      </c>
      <c r="D103" s="7">
        <v>218.93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>
        <v>51</v>
      </c>
      <c r="Q103" s="83"/>
      <c r="R103" s="83"/>
      <c r="S103" s="83">
        <f t="shared" si="1"/>
        <v>459.72</v>
      </c>
    </row>
    <row r="104" spans="1:20" x14ac:dyDescent="0.25">
      <c r="A104" s="82" t="s">
        <v>229</v>
      </c>
      <c r="B104" s="83"/>
      <c r="C104" s="83"/>
      <c r="D104" s="7"/>
      <c r="E104" s="83"/>
      <c r="F104" s="83"/>
      <c r="G104" s="83"/>
      <c r="H104" s="83"/>
      <c r="I104" s="83"/>
      <c r="J104" s="83"/>
      <c r="K104" s="83"/>
      <c r="L104" s="83">
        <v>6</v>
      </c>
      <c r="M104" s="83">
        <v>75</v>
      </c>
      <c r="N104" s="83">
        <v>238</v>
      </c>
      <c r="O104" s="83"/>
      <c r="P104" s="83"/>
      <c r="Q104" s="83"/>
      <c r="R104" s="83"/>
      <c r="S104" s="83">
        <f t="shared" si="1"/>
        <v>319</v>
      </c>
    </row>
    <row r="105" spans="1:20" x14ac:dyDescent="0.25">
      <c r="A105" s="82" t="s">
        <v>52</v>
      </c>
      <c r="B105" s="83"/>
      <c r="C105" s="83"/>
      <c r="D105" s="7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>
        <f>SUM(B105:R105)</f>
        <v>0</v>
      </c>
    </row>
    <row r="106" spans="1:20" x14ac:dyDescent="0.25">
      <c r="A106" s="84" t="s">
        <v>216</v>
      </c>
      <c r="B106" s="92">
        <f t="shared" ref="B106:S106" si="2">SUM(B1:B105)</f>
        <v>1555.1859999999999</v>
      </c>
      <c r="C106" s="92">
        <f t="shared" si="2"/>
        <v>1226.6319999999996</v>
      </c>
      <c r="D106" s="92">
        <f t="shared" si="2"/>
        <v>2185.578</v>
      </c>
      <c r="E106" s="92">
        <f t="shared" si="2"/>
        <v>276.83699999999999</v>
      </c>
      <c r="F106" s="92">
        <f t="shared" si="2"/>
        <v>1112.078</v>
      </c>
      <c r="G106" s="92">
        <f t="shared" si="2"/>
        <v>1021.045</v>
      </c>
      <c r="H106" s="92">
        <f t="shared" si="2"/>
        <v>309.88400000000001</v>
      </c>
      <c r="I106" s="85">
        <f>SUM(I2:I105)</f>
        <v>197.50700000000001</v>
      </c>
      <c r="J106" s="92">
        <f t="shared" si="2"/>
        <v>564.75300000000004</v>
      </c>
      <c r="K106" s="92">
        <f t="shared" si="2"/>
        <v>322.81200000000001</v>
      </c>
      <c r="L106" s="92">
        <f t="shared" si="2"/>
        <v>175.39599999999996</v>
      </c>
      <c r="M106" s="92">
        <f t="shared" si="2"/>
        <v>749.03</v>
      </c>
      <c r="N106" s="92">
        <f t="shared" si="2"/>
        <v>2158.433</v>
      </c>
      <c r="O106" s="92">
        <f t="shared" si="2"/>
        <v>1844.182</v>
      </c>
      <c r="P106" s="92">
        <f t="shared" si="2"/>
        <v>411.08000000000004</v>
      </c>
      <c r="Q106" s="92">
        <f t="shared" si="2"/>
        <v>725.65999999999985</v>
      </c>
      <c r="R106" s="92">
        <f>SUM(R1:R105)</f>
        <v>1224.3000000000002</v>
      </c>
      <c r="S106" s="92">
        <f t="shared" si="2"/>
        <v>16060.393000000004</v>
      </c>
      <c r="T106" s="95" t="s">
        <v>303</v>
      </c>
    </row>
    <row r="107" spans="1:20" x14ac:dyDescent="0.25">
      <c r="A107" s="87" t="s">
        <v>94</v>
      </c>
      <c r="B107" s="87">
        <v>42.7</v>
      </c>
      <c r="C107" s="87">
        <v>661</v>
      </c>
      <c r="D107" s="90">
        <v>4</v>
      </c>
      <c r="E107" s="87">
        <v>37.159999999999997</v>
      </c>
      <c r="F107" s="87">
        <v>156.9</v>
      </c>
      <c r="G107" s="87"/>
      <c r="H107" s="87">
        <v>0</v>
      </c>
      <c r="I107" s="87"/>
      <c r="J107" s="87"/>
      <c r="K107" s="87">
        <v>0</v>
      </c>
      <c r="L107" s="87">
        <v>24.6</v>
      </c>
      <c r="M107" s="87">
        <v>0</v>
      </c>
      <c r="N107" s="87">
        <v>87.22</v>
      </c>
      <c r="O107" s="97">
        <f>2000-O106</f>
        <v>155.81799999999998</v>
      </c>
      <c r="P107" s="87">
        <v>100</v>
      </c>
      <c r="Q107" s="87"/>
      <c r="R107" s="87"/>
      <c r="S107" s="87">
        <f>SUM(B107:Q107)</f>
        <v>1269.3980000000001</v>
      </c>
    </row>
    <row r="110" spans="1:20" s="17" customFormat="1" x14ac:dyDescent="0.25">
      <c r="B110" s="11"/>
      <c r="D110" s="4"/>
    </row>
    <row r="114" spans="3:4" s="17" customFormat="1" x14ac:dyDescent="0.25">
      <c r="C114" s="99"/>
      <c r="D114" s="4"/>
    </row>
  </sheetData>
  <customSheetViews>
    <customSheetView guid="{DA8006FA-F549-4B7E-8C3D-B376CE1F2F3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F0DA5CBD-521B-45E5-999C-010E89D9B2D8}" topLeftCell="A76">
      <selection activeCell="P35" sqref="P35"/>
      <pageMargins left="0.7" right="0.7" top="0.75" bottom="0.75" header="0.3" footer="0.3"/>
    </customSheetView>
    <customSheetView guid="{5F1CCD53-A6B6-4801-9001-0C0BEBA8D20D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D364304B-E18C-453B-A624-DE6197120D49}" showAutoFilter="1">
      <pane ySplit="1" topLeftCell="A2" activePane="bottomLeft" state="frozen"/>
      <selection pane="bottomLeft" activeCell="O109" sqref="O109"/>
      <pageMargins left="0.7" right="0.7" top="0.75" bottom="0.75" header="0.3" footer="0.3"/>
      <autoFilter ref="A1:S107"/>
    </customSheetView>
    <customSheetView guid="{BDA34D52-B4BA-426C-853B-2B50F8AB0C7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C66BF055-7613-4DC3-BA99-25F44C751266}" topLeftCell="A76">
      <selection activeCell="A100" sqref="A100:XFD100"/>
      <pageMargins left="0.7" right="0.7" top="0.75" bottom="0.75" header="0.3" footer="0.3"/>
    </customSheetView>
    <customSheetView guid="{7A751D0E-E1DB-4CA9-844E-987730CC2DF7}" topLeftCell="A76">
      <selection activeCell="A100" sqref="A100:XFD10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T107" sqref="T107"/>
    </sheetView>
  </sheetViews>
  <sheetFormatPr defaultRowHeight="15" x14ac:dyDescent="0.25"/>
  <cols>
    <col min="1" max="1" width="24" bestFit="1" customWidth="1"/>
    <col min="12" max="15" width="9.140625" style="17"/>
    <col min="17" max="17" width="9.140625" style="17"/>
  </cols>
  <sheetData>
    <row r="1" spans="1:28" ht="45" x14ac:dyDescent="0.25">
      <c r="A1" s="80" t="s">
        <v>287</v>
      </c>
      <c r="B1" s="81" t="s">
        <v>275</v>
      </c>
      <c r="C1" s="81" t="s">
        <v>304</v>
      </c>
      <c r="D1" s="81" t="s">
        <v>260</v>
      </c>
      <c r="E1" s="81" t="s">
        <v>276</v>
      </c>
      <c r="F1" s="81" t="s">
        <v>277</v>
      </c>
      <c r="G1" s="81" t="s">
        <v>261</v>
      </c>
      <c r="H1" s="81" t="s">
        <v>278</v>
      </c>
      <c r="I1" s="81" t="s">
        <v>279</v>
      </c>
      <c r="J1" s="81" t="s">
        <v>262</v>
      </c>
      <c r="K1" s="81" t="s">
        <v>280</v>
      </c>
      <c r="L1" s="81" t="s">
        <v>281</v>
      </c>
      <c r="M1" s="81" t="s">
        <v>289</v>
      </c>
      <c r="N1" s="81" t="s">
        <v>302</v>
      </c>
      <c r="O1" s="81" t="s">
        <v>305</v>
      </c>
      <c r="P1" s="81" t="s">
        <v>290</v>
      </c>
      <c r="Q1" s="81" t="s">
        <v>306</v>
      </c>
      <c r="R1" s="81" t="s">
        <v>216</v>
      </c>
      <c r="U1" s="67"/>
      <c r="V1" s="76" t="s">
        <v>3</v>
      </c>
      <c r="W1" s="77"/>
      <c r="X1" s="68"/>
      <c r="Y1" s="68"/>
      <c r="Z1" s="68"/>
      <c r="AA1" s="68"/>
      <c r="AB1" s="69"/>
    </row>
    <row r="2" spans="1:28" x14ac:dyDescent="0.25">
      <c r="A2" s="82" t="s">
        <v>172</v>
      </c>
      <c r="B2" s="35"/>
      <c r="C2" s="35"/>
      <c r="D2" s="35">
        <v>11.765000000000001</v>
      </c>
      <c r="E2" s="35"/>
      <c r="F2" s="35"/>
      <c r="G2" s="35"/>
      <c r="H2" s="35"/>
      <c r="I2" s="35"/>
      <c r="J2" s="35"/>
      <c r="K2" s="35"/>
      <c r="L2" s="35">
        <v>14.644000000000002</v>
      </c>
      <c r="M2" s="35"/>
      <c r="N2" s="35"/>
      <c r="O2" s="35"/>
      <c r="P2" s="35"/>
      <c r="Q2" s="35">
        <v>16</v>
      </c>
      <c r="R2" s="35">
        <f t="shared" ref="R2:R33" si="0">SUM(B2:Q2)</f>
        <v>42.409000000000006</v>
      </c>
      <c r="U2" s="70"/>
      <c r="V2" s="53" t="s">
        <v>5</v>
      </c>
      <c r="W2" s="53" t="s">
        <v>6</v>
      </c>
      <c r="X2" s="53" t="s">
        <v>119</v>
      </c>
      <c r="Y2" s="53" t="s">
        <v>7</v>
      </c>
      <c r="Z2" s="53" t="s">
        <v>74</v>
      </c>
      <c r="AA2" s="53" t="s">
        <v>103</v>
      </c>
      <c r="AB2" s="55" t="s">
        <v>8</v>
      </c>
    </row>
    <row r="3" spans="1:28" s="17" customFormat="1" x14ac:dyDescent="0.25">
      <c r="A3" s="82" t="s">
        <v>150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>
        <f t="shared" si="0"/>
        <v>0</v>
      </c>
      <c r="U3" s="70"/>
      <c r="V3" s="53"/>
      <c r="W3" s="53"/>
      <c r="X3" s="53"/>
      <c r="Y3" s="53"/>
      <c r="Z3" s="53"/>
      <c r="AA3" s="53"/>
      <c r="AB3" s="55"/>
    </row>
    <row r="4" spans="1:28" x14ac:dyDescent="0.25">
      <c r="A4" s="82" t="s">
        <v>128</v>
      </c>
      <c r="B4" s="35"/>
      <c r="C4" s="35"/>
      <c r="D4" s="35"/>
      <c r="E4" s="35"/>
      <c r="F4" s="35"/>
      <c r="G4" s="35">
        <f>154.22+60</f>
        <v>214.22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>
        <f t="shared" si="0"/>
        <v>214.22</v>
      </c>
      <c r="U4" s="70" t="s">
        <v>249</v>
      </c>
      <c r="V4" s="66" t="s">
        <v>71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71"/>
    </row>
    <row r="5" spans="1:28" ht="15.75" thickBot="1" x14ac:dyDescent="0.3">
      <c r="A5" s="82" t="s">
        <v>134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>
        <v>133.14500000000001</v>
      </c>
      <c r="M5" s="35"/>
      <c r="N5" s="35"/>
      <c r="O5" s="35"/>
      <c r="P5" s="35">
        <v>55.6</v>
      </c>
      <c r="Q5" s="35"/>
      <c r="R5" s="35">
        <f t="shared" si="0"/>
        <v>188.745</v>
      </c>
      <c r="U5" s="72" t="s">
        <v>250</v>
      </c>
      <c r="V5" s="74" t="s">
        <v>71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5"/>
    </row>
    <row r="6" spans="1:28" x14ac:dyDescent="0.25">
      <c r="A6" s="82" t="s">
        <v>139</v>
      </c>
      <c r="B6" s="35"/>
      <c r="C6" s="35"/>
      <c r="D6" s="35"/>
      <c r="E6" s="35">
        <v>21.1</v>
      </c>
      <c r="F6" s="35"/>
      <c r="G6" s="35"/>
      <c r="H6" s="35"/>
      <c r="I6" s="35"/>
      <c r="J6" s="35"/>
      <c r="K6" s="35">
        <v>77.009999999999991</v>
      </c>
      <c r="L6" s="35"/>
      <c r="M6" s="35"/>
      <c r="N6" s="35"/>
      <c r="O6" s="35"/>
      <c r="P6" s="35">
        <v>18.245999999999999</v>
      </c>
      <c r="Q6" s="35"/>
      <c r="R6" s="35">
        <f t="shared" si="0"/>
        <v>116.35599999999998</v>
      </c>
    </row>
    <row r="7" spans="1:28" x14ac:dyDescent="0.25">
      <c r="A7" s="82" t="s">
        <v>122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>
        <v>139.39200000000002</v>
      </c>
      <c r="M7" s="35"/>
      <c r="N7" s="35"/>
      <c r="O7" s="35"/>
      <c r="P7" s="35"/>
      <c r="Q7" s="35"/>
      <c r="R7" s="35">
        <f t="shared" si="0"/>
        <v>139.39200000000002</v>
      </c>
    </row>
    <row r="8" spans="1:28" x14ac:dyDescent="0.25">
      <c r="A8" s="82" t="s">
        <v>217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>
        <v>87.91</v>
      </c>
      <c r="M8" s="35"/>
      <c r="N8" s="35"/>
      <c r="O8" s="35"/>
      <c r="P8" s="35">
        <v>48.459000000000003</v>
      </c>
      <c r="Q8" s="35"/>
      <c r="R8" s="35">
        <f t="shared" si="0"/>
        <v>136.369</v>
      </c>
    </row>
    <row r="9" spans="1:28" x14ac:dyDescent="0.25">
      <c r="A9" s="82" t="s">
        <v>125</v>
      </c>
      <c r="B9" s="35">
        <v>121.38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>
        <f t="shared" si="0"/>
        <v>121.38</v>
      </c>
    </row>
    <row r="10" spans="1:28" x14ac:dyDescent="0.25">
      <c r="A10" s="82" t="s">
        <v>158</v>
      </c>
      <c r="B10" s="35"/>
      <c r="C10" s="35"/>
      <c r="D10" s="35"/>
      <c r="E10" s="35"/>
      <c r="F10" s="35">
        <v>153.797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>
        <f t="shared" si="0"/>
        <v>153.797</v>
      </c>
    </row>
    <row r="11" spans="1:28" x14ac:dyDescent="0.25">
      <c r="A11" s="82" t="s">
        <v>189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>
        <v>210.934</v>
      </c>
      <c r="M11" s="35"/>
      <c r="N11" s="35"/>
      <c r="O11" s="35"/>
      <c r="P11" s="35"/>
      <c r="Q11" s="35"/>
      <c r="R11" s="35">
        <f t="shared" si="0"/>
        <v>210.934</v>
      </c>
    </row>
    <row r="12" spans="1:28" x14ac:dyDescent="0.25">
      <c r="A12" s="82" t="s">
        <v>185</v>
      </c>
      <c r="B12" s="35"/>
      <c r="C12" s="35"/>
      <c r="D12" s="35"/>
      <c r="E12" s="35"/>
      <c r="F12" s="35"/>
      <c r="G12" s="35"/>
      <c r="H12" s="35">
        <v>117.08199999999998</v>
      </c>
      <c r="I12" s="35"/>
      <c r="J12" s="35"/>
      <c r="K12" s="35"/>
      <c r="L12" s="35"/>
      <c r="M12" s="35"/>
      <c r="N12" s="35"/>
      <c r="O12" s="35"/>
      <c r="P12" s="35"/>
      <c r="Q12" s="35"/>
      <c r="R12" s="35">
        <f t="shared" si="0"/>
        <v>117.08199999999998</v>
      </c>
    </row>
    <row r="13" spans="1:28" x14ac:dyDescent="0.25">
      <c r="A13" s="82" t="s">
        <v>149</v>
      </c>
      <c r="B13" s="35">
        <f>110.235+20</f>
        <v>130.23500000000001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>
        <f t="shared" si="0"/>
        <v>130.23500000000001</v>
      </c>
    </row>
    <row r="14" spans="1:28" x14ac:dyDescent="0.25">
      <c r="A14" s="82" t="s">
        <v>197</v>
      </c>
      <c r="B14" s="35">
        <v>63.262</v>
      </c>
      <c r="C14" s="35"/>
      <c r="D14" s="35"/>
      <c r="E14" s="35"/>
      <c r="F14" s="35"/>
      <c r="G14" s="35"/>
      <c r="H14" s="35"/>
      <c r="I14" s="35"/>
      <c r="J14" s="35"/>
      <c r="K14" s="35"/>
      <c r="L14" s="35">
        <v>77.968000000000004</v>
      </c>
      <c r="M14" s="35"/>
      <c r="N14" s="35"/>
      <c r="O14" s="35"/>
      <c r="P14" s="35"/>
      <c r="Q14" s="35"/>
      <c r="R14" s="35">
        <f t="shared" si="0"/>
        <v>141.23000000000002</v>
      </c>
    </row>
    <row r="15" spans="1:28" x14ac:dyDescent="0.25">
      <c r="A15" s="82" t="s">
        <v>198</v>
      </c>
      <c r="B15" s="35"/>
      <c r="C15" s="35"/>
      <c r="D15" s="35"/>
      <c r="E15" s="35"/>
      <c r="F15" s="35"/>
      <c r="G15" s="35">
        <v>60.653999999999996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>
        <f t="shared" si="0"/>
        <v>60.653999999999996</v>
      </c>
    </row>
    <row r="16" spans="1:28" x14ac:dyDescent="0.25">
      <c r="A16" s="8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>
        <v>81.83</v>
      </c>
      <c r="L16" s="35"/>
      <c r="M16" s="35"/>
      <c r="N16" s="35"/>
      <c r="O16" s="35"/>
      <c r="P16" s="35"/>
      <c r="Q16" s="35"/>
      <c r="R16" s="35">
        <f t="shared" si="0"/>
        <v>81.83</v>
      </c>
    </row>
    <row r="17" spans="1:18" x14ac:dyDescent="0.25">
      <c r="A17" s="82" t="s">
        <v>142</v>
      </c>
      <c r="B17" s="35"/>
      <c r="C17" s="35"/>
      <c r="D17" s="35"/>
      <c r="E17" s="35"/>
      <c r="F17" s="35"/>
      <c r="G17" s="35">
        <v>117.15699999999998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>
        <f t="shared" si="0"/>
        <v>117.15699999999998</v>
      </c>
    </row>
    <row r="18" spans="1:18" x14ac:dyDescent="0.25">
      <c r="A18" s="82" t="s">
        <v>218</v>
      </c>
      <c r="B18" s="35"/>
      <c r="C18" s="35">
        <v>144.62599999999998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>
        <f t="shared" si="0"/>
        <v>144.62599999999998</v>
      </c>
    </row>
    <row r="19" spans="1:18" x14ac:dyDescent="0.25">
      <c r="A19" s="82" t="s">
        <v>156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>
        <v>75.488</v>
      </c>
      <c r="M19" s="35"/>
      <c r="N19" s="35"/>
      <c r="O19" s="35"/>
      <c r="P19" s="35"/>
      <c r="Q19" s="35"/>
      <c r="R19" s="35">
        <f t="shared" si="0"/>
        <v>75.488</v>
      </c>
    </row>
    <row r="20" spans="1:18" x14ac:dyDescent="0.25">
      <c r="A20" s="82" t="s">
        <v>171</v>
      </c>
      <c r="B20" s="35"/>
      <c r="C20" s="35"/>
      <c r="D20" s="35"/>
      <c r="E20" s="35"/>
      <c r="F20" s="35"/>
      <c r="G20" s="35"/>
      <c r="H20" s="35"/>
      <c r="I20" s="35"/>
      <c r="J20" s="35"/>
      <c r="K20" s="35">
        <v>115.05</v>
      </c>
      <c r="L20" s="35"/>
      <c r="M20" s="35"/>
      <c r="N20" s="35"/>
      <c r="O20" s="35"/>
      <c r="P20" s="35"/>
      <c r="Q20" s="35"/>
      <c r="R20" s="35">
        <f t="shared" si="0"/>
        <v>115.05</v>
      </c>
    </row>
    <row r="21" spans="1:18" x14ac:dyDescent="0.25">
      <c r="A21" s="82" t="s">
        <v>176</v>
      </c>
      <c r="B21" s="35"/>
      <c r="C21" s="35"/>
      <c r="D21" s="35"/>
      <c r="E21" s="35">
        <f>129.572+15</f>
        <v>144.572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>
        <f t="shared" si="0"/>
        <v>144.572</v>
      </c>
    </row>
    <row r="22" spans="1:18" x14ac:dyDescent="0.25">
      <c r="A22" s="82" t="s">
        <v>114</v>
      </c>
      <c r="B22" s="35"/>
      <c r="C22" s="35"/>
      <c r="D22" s="35"/>
      <c r="E22" s="35"/>
      <c r="F22" s="35"/>
      <c r="G22" s="35">
        <v>109.74099999999999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>
        <f t="shared" si="0"/>
        <v>109.74099999999999</v>
      </c>
    </row>
    <row r="23" spans="1:18" x14ac:dyDescent="0.25">
      <c r="A23" s="82" t="s">
        <v>183</v>
      </c>
      <c r="B23" s="35"/>
      <c r="C23" s="35"/>
      <c r="D23" s="35"/>
      <c r="E23" s="35"/>
      <c r="F23" s="35"/>
      <c r="G23" s="35">
        <v>86.74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f t="shared" si="0"/>
        <v>86.74</v>
      </c>
    </row>
    <row r="24" spans="1:18" x14ac:dyDescent="0.25">
      <c r="A24" s="82" t="s">
        <v>135</v>
      </c>
      <c r="B24" s="35"/>
      <c r="C24" s="35"/>
      <c r="D24" s="35"/>
      <c r="E24" s="35"/>
      <c r="F24" s="35"/>
      <c r="G24" s="35"/>
      <c r="H24" s="35"/>
      <c r="I24" s="35"/>
      <c r="J24" s="35">
        <v>122.057</v>
      </c>
      <c r="K24" s="35"/>
      <c r="L24" s="35"/>
      <c r="M24" s="35"/>
      <c r="N24" s="35">
        <v>139.95499999999998</v>
      </c>
      <c r="O24" s="35"/>
      <c r="P24" s="35"/>
      <c r="Q24" s="35"/>
      <c r="R24" s="35">
        <f t="shared" si="0"/>
        <v>262.012</v>
      </c>
    </row>
    <row r="25" spans="1:18" x14ac:dyDescent="0.25">
      <c r="A25" s="82" t="s">
        <v>180</v>
      </c>
      <c r="B25" s="35"/>
      <c r="C25" s="35"/>
      <c r="D25" s="35"/>
      <c r="E25" s="35"/>
      <c r="F25" s="35"/>
      <c r="G25" s="35">
        <v>62.61399999999999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>
        <f t="shared" si="0"/>
        <v>62.61399999999999</v>
      </c>
    </row>
    <row r="26" spans="1:18" x14ac:dyDescent="0.25">
      <c r="A26" s="82" t="s">
        <v>123</v>
      </c>
      <c r="B26" s="35">
        <v>122.62299999999999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>
        <f t="shared" si="0"/>
        <v>122.62299999999999</v>
      </c>
    </row>
    <row r="27" spans="1:18" x14ac:dyDescent="0.25">
      <c r="A27" s="82" t="s">
        <v>151</v>
      </c>
      <c r="B27" s="35">
        <f>147.992+20</f>
        <v>167.99199999999999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>
        <f t="shared" si="0"/>
        <v>167.99199999999999</v>
      </c>
    </row>
    <row r="28" spans="1:18" x14ac:dyDescent="0.25">
      <c r="A28" s="82" t="s">
        <v>168</v>
      </c>
      <c r="B28" s="35"/>
      <c r="C28" s="35"/>
      <c r="D28" s="35"/>
      <c r="E28" s="35"/>
      <c r="F28" s="35"/>
      <c r="G28" s="35"/>
      <c r="H28" s="35"/>
      <c r="I28" s="35">
        <f>33.769+40</f>
        <v>73.769000000000005</v>
      </c>
      <c r="J28" s="35"/>
      <c r="K28" s="35"/>
      <c r="L28" s="35"/>
      <c r="M28" s="35"/>
      <c r="N28" s="35"/>
      <c r="O28" s="35"/>
      <c r="P28" s="35"/>
      <c r="Q28" s="35">
        <f>50+40</f>
        <v>90</v>
      </c>
      <c r="R28" s="35">
        <f t="shared" si="0"/>
        <v>163.76900000000001</v>
      </c>
    </row>
    <row r="29" spans="1:18" x14ac:dyDescent="0.25">
      <c r="A29" s="82" t="s">
        <v>173</v>
      </c>
      <c r="B29" s="35"/>
      <c r="C29" s="35"/>
      <c r="D29" s="35"/>
      <c r="E29" s="35"/>
      <c r="F29" s="35">
        <v>118.45399999999999</v>
      </c>
      <c r="G29" s="35"/>
      <c r="H29" s="35">
        <v>69.728999999999999</v>
      </c>
      <c r="I29" s="35"/>
      <c r="J29" s="35"/>
      <c r="K29" s="35"/>
      <c r="L29" s="35"/>
      <c r="M29" s="35"/>
      <c r="N29" s="35"/>
      <c r="O29" s="35"/>
      <c r="P29" s="35"/>
      <c r="Q29" s="35"/>
      <c r="R29" s="35">
        <f t="shared" si="0"/>
        <v>188.18299999999999</v>
      </c>
    </row>
    <row r="30" spans="1:18" x14ac:dyDescent="0.25">
      <c r="A30" s="82" t="s">
        <v>182</v>
      </c>
      <c r="B30" s="35"/>
      <c r="C30" s="35">
        <v>215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>
        <f t="shared" si="0"/>
        <v>215</v>
      </c>
    </row>
    <row r="31" spans="1:18" x14ac:dyDescent="0.25">
      <c r="A31" s="82" t="s">
        <v>145</v>
      </c>
      <c r="B31" s="35"/>
      <c r="C31" s="35">
        <v>164.45900000000003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>
        <f t="shared" si="0"/>
        <v>164.45900000000003</v>
      </c>
    </row>
    <row r="32" spans="1:18" x14ac:dyDescent="0.25">
      <c r="A32" s="82" t="s">
        <v>219</v>
      </c>
      <c r="B32" s="35"/>
      <c r="C32" s="35"/>
      <c r="D32" s="35"/>
      <c r="E32" s="35"/>
      <c r="F32" s="35"/>
      <c r="G32" s="35"/>
      <c r="H32" s="35"/>
      <c r="I32" s="35"/>
      <c r="J32" s="35"/>
      <c r="K32" s="35">
        <v>157.47</v>
      </c>
      <c r="L32" s="35"/>
      <c r="M32" s="35"/>
      <c r="N32" s="35"/>
      <c r="O32" s="35"/>
      <c r="P32" s="35"/>
      <c r="Q32" s="35"/>
      <c r="R32" s="35">
        <f t="shared" si="0"/>
        <v>157.47</v>
      </c>
    </row>
    <row r="33" spans="1:18" x14ac:dyDescent="0.25">
      <c r="A33" s="82" t="s">
        <v>196</v>
      </c>
      <c r="B33" s="35">
        <v>87.039999999999992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>
        <f t="shared" si="0"/>
        <v>87.039999999999992</v>
      </c>
    </row>
    <row r="34" spans="1:18" x14ac:dyDescent="0.25">
      <c r="A34" s="82" t="s">
        <v>154</v>
      </c>
      <c r="B34" s="35"/>
      <c r="C34" s="35"/>
      <c r="D34" s="35"/>
      <c r="E34" s="35"/>
      <c r="F34" s="35"/>
      <c r="G34" s="35">
        <v>72.009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>
        <f t="shared" ref="R34:R65" si="1">SUM(B34:Q34)</f>
        <v>72.009</v>
      </c>
    </row>
    <row r="35" spans="1:18" x14ac:dyDescent="0.25">
      <c r="A35" s="82" t="s">
        <v>136</v>
      </c>
      <c r="B35" s="35"/>
      <c r="C35" s="35"/>
      <c r="D35" s="35"/>
      <c r="E35" s="35"/>
      <c r="F35" s="35"/>
      <c r="G35" s="35"/>
      <c r="H35" s="35"/>
      <c r="I35" s="35"/>
      <c r="J35" s="35"/>
      <c r="K35" s="35">
        <v>195.30000000000004</v>
      </c>
      <c r="L35" s="35"/>
      <c r="M35" s="35"/>
      <c r="N35" s="35"/>
      <c r="O35" s="35"/>
      <c r="P35" s="35"/>
      <c r="Q35" s="35"/>
      <c r="R35" s="35">
        <f t="shared" si="1"/>
        <v>195.30000000000004</v>
      </c>
    </row>
    <row r="36" spans="1:18" x14ac:dyDescent="0.25">
      <c r="A36" s="82" t="s">
        <v>220</v>
      </c>
      <c r="B36" s="35"/>
      <c r="C36" s="35"/>
      <c r="D36" s="35"/>
      <c r="E36" s="35"/>
      <c r="F36" s="35"/>
      <c r="G36" s="35"/>
      <c r="H36" s="35"/>
      <c r="I36" s="35"/>
      <c r="J36" s="35">
        <v>31.225000000000001</v>
      </c>
      <c r="K36" s="35"/>
      <c r="L36" s="35"/>
      <c r="M36" s="35"/>
      <c r="N36" s="35">
        <v>63.395000000000003</v>
      </c>
      <c r="O36" s="35"/>
      <c r="P36" s="35"/>
      <c r="Q36" s="35"/>
      <c r="R36" s="35">
        <f t="shared" si="1"/>
        <v>94.62</v>
      </c>
    </row>
    <row r="37" spans="1:18" x14ac:dyDescent="0.25">
      <c r="A37" s="82" t="s">
        <v>159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>
        <v>130.30199999999999</v>
      </c>
      <c r="M37" s="35"/>
      <c r="N37" s="35"/>
      <c r="O37" s="35"/>
      <c r="P37" s="35"/>
      <c r="Q37" s="35"/>
      <c r="R37" s="35">
        <f t="shared" si="1"/>
        <v>130.30199999999999</v>
      </c>
    </row>
    <row r="38" spans="1:18" x14ac:dyDescent="0.25">
      <c r="A38" s="82" t="s">
        <v>193</v>
      </c>
      <c r="B38" s="35"/>
      <c r="C38" s="35"/>
      <c r="D38" s="35"/>
      <c r="E38" s="35"/>
      <c r="F38" s="35">
        <v>134.453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>
        <f t="shared" si="1"/>
        <v>134.453</v>
      </c>
    </row>
    <row r="39" spans="1:18" x14ac:dyDescent="0.25">
      <c r="A39" s="82" t="s">
        <v>251</v>
      </c>
      <c r="B39" s="35"/>
      <c r="C39" s="35"/>
      <c r="D39" s="35"/>
      <c r="E39" s="35">
        <v>24.5</v>
      </c>
      <c r="F39" s="35"/>
      <c r="G39" s="35"/>
      <c r="H39" s="35"/>
      <c r="I39" s="35"/>
      <c r="J39" s="35"/>
      <c r="K39" s="35"/>
      <c r="L39" s="35"/>
      <c r="M39" s="35"/>
      <c r="N39" s="35">
        <v>55.906999999999996</v>
      </c>
      <c r="O39" s="35"/>
      <c r="P39" s="35"/>
      <c r="Q39" s="35"/>
      <c r="R39" s="35">
        <f t="shared" si="1"/>
        <v>80.406999999999996</v>
      </c>
    </row>
    <row r="40" spans="1:18" x14ac:dyDescent="0.25">
      <c r="A40" s="82" t="s">
        <v>188</v>
      </c>
      <c r="B40" s="35">
        <f>132.194+20</f>
        <v>152.19399999999999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>
        <f t="shared" si="1"/>
        <v>152.19399999999999</v>
      </c>
    </row>
    <row r="41" spans="1:18" x14ac:dyDescent="0.25">
      <c r="A41" s="82" t="s">
        <v>175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>
        <v>174.32999999999998</v>
      </c>
      <c r="O41" s="35"/>
      <c r="P41" s="35"/>
      <c r="Q41" s="35"/>
      <c r="R41" s="35">
        <f t="shared" si="1"/>
        <v>174.32999999999998</v>
      </c>
    </row>
    <row r="42" spans="1:18" x14ac:dyDescent="0.25">
      <c r="A42" s="82" t="s">
        <v>130</v>
      </c>
      <c r="B42" s="35"/>
      <c r="C42" s="35"/>
      <c r="D42" s="35"/>
      <c r="E42" s="35"/>
      <c r="F42" s="35"/>
      <c r="G42" s="35">
        <v>141.80200000000002</v>
      </c>
      <c r="H42" s="35"/>
      <c r="I42" s="35"/>
      <c r="J42" s="35"/>
      <c r="K42" s="35"/>
      <c r="L42" s="35"/>
      <c r="M42" s="35"/>
      <c r="N42" s="35">
        <v>16.635999999999999</v>
      </c>
      <c r="O42" s="35"/>
      <c r="P42" s="35"/>
      <c r="Q42" s="35"/>
      <c r="R42" s="35">
        <f t="shared" si="1"/>
        <v>158.43800000000002</v>
      </c>
    </row>
    <row r="43" spans="1:18" x14ac:dyDescent="0.25">
      <c r="A43" s="82" t="s">
        <v>160</v>
      </c>
      <c r="B43" s="35">
        <v>110.62199999999999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>
        <v>3.7330000000000001</v>
      </c>
      <c r="P43" s="35"/>
      <c r="Q43" s="35"/>
      <c r="R43" s="35">
        <f t="shared" si="1"/>
        <v>114.35499999999999</v>
      </c>
    </row>
    <row r="44" spans="1:18" x14ac:dyDescent="0.25">
      <c r="A44" s="82" t="s">
        <v>170</v>
      </c>
      <c r="B44" s="35"/>
      <c r="C44" s="35"/>
      <c r="D44" s="35"/>
      <c r="E44" s="35"/>
      <c r="F44" s="35">
        <f>228.3+7</f>
        <v>235.3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>
        <f t="shared" si="1"/>
        <v>235.3</v>
      </c>
    </row>
    <row r="45" spans="1:18" x14ac:dyDescent="0.25">
      <c r="A45" s="82" t="s">
        <v>297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>
        <v>187.697</v>
      </c>
      <c r="M45" s="35"/>
      <c r="N45" s="35"/>
      <c r="O45" s="35"/>
      <c r="P45" s="35"/>
      <c r="Q45" s="35"/>
      <c r="R45" s="35">
        <f t="shared" si="1"/>
        <v>187.697</v>
      </c>
    </row>
    <row r="46" spans="1:18" x14ac:dyDescent="0.25">
      <c r="A46" s="82" t="s">
        <v>155</v>
      </c>
      <c r="B46" s="35"/>
      <c r="C46" s="35"/>
      <c r="D46" s="35">
        <v>160.703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>
        <f t="shared" si="1"/>
        <v>160.703</v>
      </c>
    </row>
    <row r="47" spans="1:18" x14ac:dyDescent="0.25">
      <c r="A47" s="82" t="s">
        <v>221</v>
      </c>
      <c r="B47" s="35"/>
      <c r="C47" s="35"/>
      <c r="D47" s="35"/>
      <c r="E47" s="35"/>
      <c r="F47" s="35"/>
      <c r="G47" s="35"/>
      <c r="H47" s="35"/>
      <c r="I47" s="35"/>
      <c r="J47" s="35"/>
      <c r="K47" s="35">
        <v>130.43</v>
      </c>
      <c r="L47" s="35"/>
      <c r="M47" s="35"/>
      <c r="N47" s="35"/>
      <c r="O47" s="35"/>
      <c r="P47" s="35"/>
      <c r="Q47" s="35"/>
      <c r="R47" s="35">
        <f t="shared" si="1"/>
        <v>130.43</v>
      </c>
    </row>
    <row r="48" spans="1:18" x14ac:dyDescent="0.25">
      <c r="A48" s="82" t="s">
        <v>174</v>
      </c>
      <c r="B48" s="35">
        <v>122.577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>
        <f t="shared" si="1"/>
        <v>122.577</v>
      </c>
    </row>
    <row r="49" spans="1:18" x14ac:dyDescent="0.25">
      <c r="A49" s="82" t="s">
        <v>298</v>
      </c>
      <c r="B49" s="35">
        <v>58.003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>
        <f t="shared" si="1"/>
        <v>58.003</v>
      </c>
    </row>
    <row r="50" spans="1:18" x14ac:dyDescent="0.25">
      <c r="A50" s="82" t="s">
        <v>187</v>
      </c>
      <c r="B50" s="35">
        <v>129.88800000000001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>
        <f t="shared" si="1"/>
        <v>129.88800000000001</v>
      </c>
    </row>
    <row r="51" spans="1:18" x14ac:dyDescent="0.25">
      <c r="A51" s="8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>
        <v>187.077</v>
      </c>
      <c r="O51" s="35"/>
      <c r="P51" s="35"/>
      <c r="Q51" s="35"/>
      <c r="R51" s="35">
        <f t="shared" si="1"/>
        <v>187.077</v>
      </c>
    </row>
    <row r="52" spans="1:18" x14ac:dyDescent="0.25">
      <c r="A52" s="82" t="s">
        <v>194</v>
      </c>
      <c r="B52" s="35"/>
      <c r="C52" s="35"/>
      <c r="D52" s="35"/>
      <c r="E52" s="35">
        <v>25.16</v>
      </c>
      <c r="F52" s="35"/>
      <c r="G52" s="35"/>
      <c r="H52" s="35"/>
      <c r="I52" s="35"/>
      <c r="J52" s="35">
        <v>211.358</v>
      </c>
      <c r="K52" s="35"/>
      <c r="L52" s="35"/>
      <c r="M52" s="35"/>
      <c r="N52" s="35"/>
      <c r="O52" s="35"/>
      <c r="P52" s="35"/>
      <c r="Q52" s="35"/>
      <c r="R52" s="35">
        <f t="shared" si="1"/>
        <v>236.518</v>
      </c>
    </row>
    <row r="53" spans="1:18" x14ac:dyDescent="0.25">
      <c r="A53" s="8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>
        <v>131.166</v>
      </c>
      <c r="M53" s="35"/>
      <c r="N53" s="35"/>
      <c r="O53" s="35"/>
      <c r="P53" s="35"/>
      <c r="Q53" s="35"/>
      <c r="R53" s="35">
        <f t="shared" si="1"/>
        <v>131.166</v>
      </c>
    </row>
    <row r="54" spans="1:18" x14ac:dyDescent="0.25">
      <c r="A54" s="82" t="s">
        <v>143</v>
      </c>
      <c r="B54" s="35">
        <f>79.636+80</f>
        <v>159.636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>
        <f t="shared" si="1"/>
        <v>159.636</v>
      </c>
    </row>
    <row r="55" spans="1:18" x14ac:dyDescent="0.25">
      <c r="A55" s="82" t="s">
        <v>146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>
        <v>82.881</v>
      </c>
      <c r="M55" s="35">
        <v>25</v>
      </c>
      <c r="N55" s="35"/>
      <c r="O55" s="35">
        <v>10.343999999999999</v>
      </c>
      <c r="P55" s="35"/>
      <c r="Q55" s="35"/>
      <c r="R55" s="35">
        <f t="shared" si="1"/>
        <v>118.22499999999999</v>
      </c>
    </row>
    <row r="56" spans="1:18" x14ac:dyDescent="0.25">
      <c r="A56" s="82" t="s">
        <v>299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>
        <v>56.012</v>
      </c>
      <c r="M56" s="35"/>
      <c r="N56" s="35"/>
      <c r="O56" s="35"/>
      <c r="P56" s="35"/>
      <c r="Q56" s="35"/>
      <c r="R56" s="35">
        <f t="shared" si="1"/>
        <v>56.012</v>
      </c>
    </row>
    <row r="57" spans="1:18" x14ac:dyDescent="0.25">
      <c r="A57" s="82" t="s">
        <v>133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>
        <f>170.187+10</f>
        <v>180.18700000000001</v>
      </c>
      <c r="O57" s="35"/>
      <c r="P57" s="35"/>
      <c r="Q57" s="35"/>
      <c r="R57" s="35">
        <f t="shared" si="1"/>
        <v>180.18700000000001</v>
      </c>
    </row>
    <row r="58" spans="1:18" x14ac:dyDescent="0.25">
      <c r="A58" s="82" t="s">
        <v>140</v>
      </c>
      <c r="B58" s="35">
        <v>69.75</v>
      </c>
      <c r="C58" s="35"/>
      <c r="D58" s="35"/>
      <c r="E58" s="35"/>
      <c r="F58" s="35"/>
      <c r="G58" s="35"/>
      <c r="H58" s="35"/>
      <c r="I58" s="35"/>
      <c r="J58" s="35"/>
      <c r="K58" s="35"/>
      <c r="L58" s="35">
        <v>100.017</v>
      </c>
      <c r="M58" s="35"/>
      <c r="N58" s="35"/>
      <c r="O58" s="35"/>
      <c r="P58" s="35"/>
      <c r="Q58" s="35"/>
      <c r="R58" s="35">
        <f t="shared" si="1"/>
        <v>169.767</v>
      </c>
    </row>
    <row r="59" spans="1:18" x14ac:dyDescent="0.25">
      <c r="A59" s="82" t="s">
        <v>222</v>
      </c>
      <c r="B59" s="35"/>
      <c r="C59" s="35"/>
      <c r="D59" s="35"/>
      <c r="E59" s="35">
        <v>15.656000000000001</v>
      </c>
      <c r="F59" s="35"/>
      <c r="G59" s="35"/>
      <c r="H59" s="35"/>
      <c r="I59" s="35"/>
      <c r="J59" s="35"/>
      <c r="K59" s="35"/>
      <c r="L59" s="35"/>
      <c r="M59" s="35"/>
      <c r="N59" s="35">
        <v>101.35799999999999</v>
      </c>
      <c r="O59" s="35"/>
      <c r="P59" s="35"/>
      <c r="Q59" s="35"/>
      <c r="R59" s="35">
        <f t="shared" si="1"/>
        <v>117.014</v>
      </c>
    </row>
    <row r="60" spans="1:18" x14ac:dyDescent="0.25">
      <c r="A60" s="82" t="s">
        <v>162</v>
      </c>
      <c r="B60" s="35">
        <f>108.75+30</f>
        <v>138.75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>
        <f t="shared" si="1"/>
        <v>138.75</v>
      </c>
    </row>
    <row r="61" spans="1:18" x14ac:dyDescent="0.25">
      <c r="A61" s="82" t="s">
        <v>223</v>
      </c>
      <c r="B61" s="35">
        <v>94.471999999999994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>
        <f t="shared" si="1"/>
        <v>94.471999999999994</v>
      </c>
    </row>
    <row r="62" spans="1:18" x14ac:dyDescent="0.25">
      <c r="A62" s="82" t="s">
        <v>184</v>
      </c>
      <c r="B62" s="35"/>
      <c r="C62" s="35"/>
      <c r="D62" s="35"/>
      <c r="E62" s="35">
        <v>23.686</v>
      </c>
      <c r="F62" s="35"/>
      <c r="G62" s="35"/>
      <c r="H62" s="35"/>
      <c r="I62" s="35"/>
      <c r="J62" s="35">
        <v>42.16</v>
      </c>
      <c r="K62" s="35"/>
      <c r="L62" s="35"/>
      <c r="M62" s="35"/>
      <c r="N62" s="35">
        <v>124.182</v>
      </c>
      <c r="O62" s="35"/>
      <c r="P62" s="35"/>
      <c r="Q62" s="35"/>
      <c r="R62" s="35">
        <f t="shared" si="1"/>
        <v>190.02800000000002</v>
      </c>
    </row>
    <row r="63" spans="1:18" x14ac:dyDescent="0.25">
      <c r="A63" s="82" t="s">
        <v>148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>
        <v>172.35900000000001</v>
      </c>
      <c r="M63" s="35">
        <v>20</v>
      </c>
      <c r="N63" s="35"/>
      <c r="O63" s="35"/>
      <c r="P63" s="35"/>
      <c r="Q63" s="35"/>
      <c r="R63" s="35">
        <f t="shared" si="1"/>
        <v>192.35900000000001</v>
      </c>
    </row>
    <row r="64" spans="1:18" s="17" customFormat="1" x14ac:dyDescent="0.25">
      <c r="A64" s="82" t="s">
        <v>296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>
        <f t="shared" si="1"/>
        <v>0</v>
      </c>
    </row>
    <row r="65" spans="1:18" x14ac:dyDescent="0.25">
      <c r="A65" s="82" t="s">
        <v>167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>
        <f>134.425+50</f>
        <v>184.42500000000001</v>
      </c>
      <c r="O65" s="35"/>
      <c r="P65" s="35"/>
      <c r="Q65" s="35"/>
      <c r="R65" s="35">
        <f t="shared" si="1"/>
        <v>184.42500000000001</v>
      </c>
    </row>
    <row r="66" spans="1:18" x14ac:dyDescent="0.25">
      <c r="A66" s="82" t="s">
        <v>200</v>
      </c>
      <c r="B66" s="35"/>
      <c r="C66" s="35"/>
      <c r="D66" s="35"/>
      <c r="E66" s="35"/>
      <c r="F66" s="35">
        <v>166.31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>
        <f t="shared" ref="R66:R97" si="2">SUM(B66:Q66)</f>
        <v>166.31</v>
      </c>
    </row>
    <row r="67" spans="1:18" x14ac:dyDescent="0.25">
      <c r="A67" s="82" t="s">
        <v>199</v>
      </c>
      <c r="B67" s="35"/>
      <c r="C67" s="35"/>
      <c r="D67" s="35"/>
      <c r="E67" s="35"/>
      <c r="F67" s="35"/>
      <c r="G67" s="35">
        <v>110.879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>
        <f t="shared" si="2"/>
        <v>110.879</v>
      </c>
    </row>
    <row r="68" spans="1:18" x14ac:dyDescent="0.25">
      <c r="A68" s="82" t="s">
        <v>225</v>
      </c>
      <c r="B68" s="35"/>
      <c r="C68" s="35">
        <v>138.626</v>
      </c>
      <c r="D68" s="35"/>
      <c r="E68" s="35"/>
      <c r="F68" s="35"/>
      <c r="G68" s="35"/>
      <c r="H68" s="35"/>
      <c r="I68" s="35"/>
      <c r="J68" s="35"/>
      <c r="K68" s="35"/>
      <c r="L68" s="35">
        <v>26.549999999999997</v>
      </c>
      <c r="M68" s="35"/>
      <c r="N68" s="35"/>
      <c r="O68" s="35"/>
      <c r="P68" s="35"/>
      <c r="Q68" s="35"/>
      <c r="R68" s="35">
        <f t="shared" si="2"/>
        <v>165.17599999999999</v>
      </c>
    </row>
    <row r="69" spans="1:18" x14ac:dyDescent="0.25">
      <c r="A69" s="82" t="s">
        <v>226</v>
      </c>
      <c r="B69" s="35"/>
      <c r="C69" s="35"/>
      <c r="D69" s="35"/>
      <c r="E69" s="35"/>
      <c r="F69" s="35"/>
      <c r="G69" s="35">
        <v>112.92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>
        <f t="shared" si="2"/>
        <v>112.92</v>
      </c>
    </row>
    <row r="70" spans="1:18" x14ac:dyDescent="0.25">
      <c r="A70" s="82" t="s">
        <v>169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>
        <v>192.25400000000002</v>
      </c>
      <c r="M70" s="35"/>
      <c r="N70" s="35"/>
      <c r="O70" s="35"/>
      <c r="P70" s="35"/>
      <c r="Q70" s="35"/>
      <c r="R70" s="35">
        <f t="shared" si="2"/>
        <v>192.25400000000002</v>
      </c>
    </row>
    <row r="71" spans="1:18" x14ac:dyDescent="0.25">
      <c r="A71" s="82" t="s">
        <v>120</v>
      </c>
      <c r="B71" s="35"/>
      <c r="C71" s="35"/>
      <c r="D71" s="35"/>
      <c r="E71" s="35"/>
      <c r="F71" s="35"/>
      <c r="G71" s="35"/>
      <c r="H71" s="35"/>
      <c r="I71" s="35"/>
      <c r="J71" s="35"/>
      <c r="K71" s="35">
        <v>152.74</v>
      </c>
      <c r="L71" s="35"/>
      <c r="M71" s="35"/>
      <c r="N71" s="35"/>
      <c r="O71" s="35"/>
      <c r="P71" s="35"/>
      <c r="Q71" s="35"/>
      <c r="R71" s="35">
        <f t="shared" si="2"/>
        <v>152.74</v>
      </c>
    </row>
    <row r="72" spans="1:18" x14ac:dyDescent="0.25">
      <c r="A72" s="82" t="s">
        <v>124</v>
      </c>
      <c r="B72" s="35"/>
      <c r="C72" s="35"/>
      <c r="D72" s="35"/>
      <c r="E72" s="35"/>
      <c r="F72" s="35"/>
      <c r="G72" s="35"/>
      <c r="H72" s="35"/>
      <c r="I72" s="35">
        <v>13.629000000000001</v>
      </c>
      <c r="J72" s="35"/>
      <c r="K72" s="35"/>
      <c r="L72" s="35">
        <v>108.759</v>
      </c>
      <c r="M72" s="35"/>
      <c r="N72" s="35"/>
      <c r="O72" s="35"/>
      <c r="P72" s="35"/>
      <c r="Q72" s="35"/>
      <c r="R72" s="35">
        <f t="shared" si="2"/>
        <v>122.38800000000001</v>
      </c>
    </row>
    <row r="73" spans="1:18" x14ac:dyDescent="0.25">
      <c r="A73" s="8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>
        <v>165.02</v>
      </c>
      <c r="L73" s="35"/>
      <c r="M73" s="35"/>
      <c r="N73" s="35"/>
      <c r="O73" s="35"/>
      <c r="P73" s="35"/>
      <c r="Q73" s="35"/>
      <c r="R73" s="35">
        <f t="shared" si="2"/>
        <v>165.02</v>
      </c>
    </row>
    <row r="74" spans="1:18" x14ac:dyDescent="0.25">
      <c r="A74" s="82" t="s">
        <v>178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>
        <v>181.51900000000001</v>
      </c>
      <c r="M74" s="35"/>
      <c r="N74" s="35"/>
      <c r="O74" s="35"/>
      <c r="P74" s="35"/>
      <c r="Q74" s="35"/>
      <c r="R74" s="35">
        <f t="shared" si="2"/>
        <v>181.51900000000001</v>
      </c>
    </row>
    <row r="75" spans="1:18" x14ac:dyDescent="0.25">
      <c r="A75" s="82" t="s">
        <v>126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>
        <v>138.31399999999999</v>
      </c>
      <c r="M75" s="35"/>
      <c r="N75" s="35"/>
      <c r="O75" s="35"/>
      <c r="P75" s="35"/>
      <c r="Q75" s="35"/>
      <c r="R75" s="35">
        <f t="shared" si="2"/>
        <v>138.31399999999999</v>
      </c>
    </row>
    <row r="76" spans="1:18" s="17" customFormat="1" x14ac:dyDescent="0.25">
      <c r="A76" s="82" t="s">
        <v>227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>
        <f t="shared" si="2"/>
        <v>0</v>
      </c>
    </row>
    <row r="77" spans="1:18" x14ac:dyDescent="0.25">
      <c r="A77" s="82" t="s">
        <v>186</v>
      </c>
      <c r="B77" s="35">
        <v>121.285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>
        <f t="shared" si="2"/>
        <v>121.285</v>
      </c>
    </row>
    <row r="78" spans="1:18" x14ac:dyDescent="0.25">
      <c r="A78" s="82" t="s">
        <v>195</v>
      </c>
      <c r="B78" s="35"/>
      <c r="C78" s="35"/>
      <c r="D78" s="35"/>
      <c r="E78" s="35">
        <f>77.494+10</f>
        <v>87.494</v>
      </c>
      <c r="F78" s="35"/>
      <c r="G78" s="35"/>
      <c r="H78" s="35"/>
      <c r="I78" s="35"/>
      <c r="J78" s="35"/>
      <c r="K78" s="35"/>
      <c r="L78" s="35"/>
      <c r="M78" s="35"/>
      <c r="N78" s="35">
        <v>21.402999999999999</v>
      </c>
      <c r="O78" s="35"/>
      <c r="P78" s="35"/>
      <c r="Q78" s="35"/>
      <c r="R78" s="35">
        <f t="shared" si="2"/>
        <v>108.89699999999999</v>
      </c>
    </row>
    <row r="79" spans="1:18" x14ac:dyDescent="0.25">
      <c r="A79" s="82" t="s">
        <v>165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>
        <v>99.94</v>
      </c>
      <c r="M79" s="35"/>
      <c r="N79" s="35"/>
      <c r="O79" s="35"/>
      <c r="P79" s="35"/>
      <c r="Q79" s="35"/>
      <c r="R79" s="35">
        <f t="shared" si="2"/>
        <v>99.94</v>
      </c>
    </row>
    <row r="80" spans="1:18" x14ac:dyDescent="0.25">
      <c r="A80" s="82" t="s">
        <v>137</v>
      </c>
      <c r="B80" s="35"/>
      <c r="C80" s="35"/>
      <c r="D80" s="35">
        <f>139.268+20</f>
        <v>159.268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>
        <f t="shared" si="2"/>
        <v>159.268</v>
      </c>
    </row>
    <row r="81" spans="1:19" x14ac:dyDescent="0.25">
      <c r="A81" s="82" t="s">
        <v>141</v>
      </c>
      <c r="B81" s="35"/>
      <c r="C81" s="35"/>
      <c r="D81" s="35"/>
      <c r="E81" s="35"/>
      <c r="F81" s="35"/>
      <c r="G81" s="35"/>
      <c r="H81" s="35"/>
      <c r="I81" s="35"/>
      <c r="J81" s="35"/>
      <c r="K81" s="35">
        <v>135.6</v>
      </c>
      <c r="L81" s="35"/>
      <c r="M81" s="35"/>
      <c r="N81" s="35"/>
      <c r="O81" s="35"/>
      <c r="P81" s="35"/>
      <c r="Q81" s="35"/>
      <c r="R81" s="35">
        <f t="shared" si="2"/>
        <v>135.6</v>
      </c>
    </row>
    <row r="82" spans="1:19" x14ac:dyDescent="0.25">
      <c r="A82" s="8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>
        <v>180.65</v>
      </c>
      <c r="L82" s="35"/>
      <c r="M82" s="35"/>
      <c r="N82" s="35"/>
      <c r="O82" s="35"/>
      <c r="P82" s="35"/>
      <c r="Q82" s="35"/>
      <c r="R82" s="35">
        <f t="shared" si="2"/>
        <v>180.65</v>
      </c>
    </row>
    <row r="83" spans="1:19" x14ac:dyDescent="0.25">
      <c r="A83" s="82" t="s">
        <v>202</v>
      </c>
      <c r="B83" s="35"/>
      <c r="C83" s="35"/>
      <c r="D83" s="35"/>
      <c r="E83" s="35"/>
      <c r="F83" s="35"/>
      <c r="G83" s="35">
        <f>121.613+100</f>
        <v>221.613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>
        <f t="shared" si="2"/>
        <v>221.613</v>
      </c>
    </row>
    <row r="84" spans="1:19" x14ac:dyDescent="0.25">
      <c r="A84" s="8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>
        <v>132.989</v>
      </c>
      <c r="O84" s="35"/>
      <c r="P84" s="35"/>
      <c r="Q84" s="35"/>
      <c r="R84" s="35">
        <f t="shared" si="2"/>
        <v>132.989</v>
      </c>
    </row>
    <row r="85" spans="1:19" x14ac:dyDescent="0.25">
      <c r="A85" s="82" t="s">
        <v>138</v>
      </c>
      <c r="B85" s="35"/>
      <c r="C85" s="35"/>
      <c r="D85" s="35"/>
      <c r="E85" s="35"/>
      <c r="F85" s="35"/>
      <c r="G85" s="35">
        <f>142.568+100</f>
        <v>242.56800000000001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>
        <f t="shared" si="2"/>
        <v>242.56800000000001</v>
      </c>
    </row>
    <row r="86" spans="1:19" x14ac:dyDescent="0.25">
      <c r="A86" s="82" t="s">
        <v>190</v>
      </c>
      <c r="B86" s="35"/>
      <c r="C86" s="35"/>
      <c r="D86" s="35"/>
      <c r="E86" s="35"/>
      <c r="F86" s="35"/>
      <c r="G86" s="35">
        <v>112.07599999999999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>
        <f t="shared" si="2"/>
        <v>112.07599999999999</v>
      </c>
    </row>
    <row r="87" spans="1:19" x14ac:dyDescent="0.25">
      <c r="A87" s="82" t="s">
        <v>166</v>
      </c>
      <c r="B87" s="35"/>
      <c r="C87" s="35"/>
      <c r="D87" s="35"/>
      <c r="E87" s="35"/>
      <c r="F87" s="35"/>
      <c r="G87" s="35"/>
      <c r="H87" s="35"/>
      <c r="I87" s="35"/>
      <c r="J87" s="35"/>
      <c r="K87" s="35">
        <v>45.94</v>
      </c>
      <c r="L87" s="35"/>
      <c r="M87" s="35"/>
      <c r="N87" s="35"/>
      <c r="O87" s="35"/>
      <c r="P87" s="35">
        <v>16.2</v>
      </c>
      <c r="Q87" s="35"/>
      <c r="R87" s="35">
        <f t="shared" si="2"/>
        <v>62.14</v>
      </c>
    </row>
    <row r="88" spans="1:19" x14ac:dyDescent="0.25">
      <c r="A88" s="82" t="s">
        <v>179</v>
      </c>
      <c r="B88" s="35"/>
      <c r="C88" s="35"/>
      <c r="D88" s="35"/>
      <c r="E88" s="35"/>
      <c r="F88" s="35"/>
      <c r="G88" s="35"/>
      <c r="H88" s="35"/>
      <c r="I88" s="35"/>
      <c r="J88" s="35"/>
      <c r="K88" s="35">
        <v>141.47</v>
      </c>
      <c r="L88" s="35"/>
      <c r="M88" s="35"/>
      <c r="N88" s="35"/>
      <c r="O88" s="35"/>
      <c r="P88" s="35"/>
      <c r="Q88" s="35"/>
      <c r="R88" s="35">
        <f t="shared" si="2"/>
        <v>141.47</v>
      </c>
    </row>
    <row r="89" spans="1:19" x14ac:dyDescent="0.25">
      <c r="A89" s="82" t="s">
        <v>228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>
        <v>200.81200000000001</v>
      </c>
      <c r="M89" s="35"/>
      <c r="N89" s="35"/>
      <c r="O89" s="35"/>
      <c r="P89" s="35"/>
      <c r="Q89" s="35"/>
      <c r="R89" s="35">
        <f t="shared" si="2"/>
        <v>200.81200000000001</v>
      </c>
    </row>
    <row r="90" spans="1:19" x14ac:dyDescent="0.25">
      <c r="A90" s="82" t="s">
        <v>181</v>
      </c>
      <c r="B90" s="35">
        <v>114.23699999999999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>
        <f t="shared" si="2"/>
        <v>114.23699999999999</v>
      </c>
    </row>
    <row r="91" spans="1:19" x14ac:dyDescent="0.25">
      <c r="A91" s="82" t="s">
        <v>129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>
        <v>207.73500000000001</v>
      </c>
      <c r="M91" s="35"/>
      <c r="N91" s="35"/>
      <c r="O91" s="35"/>
      <c r="P91" s="35"/>
      <c r="Q91" s="35"/>
      <c r="R91" s="35">
        <f t="shared" si="2"/>
        <v>207.73500000000001</v>
      </c>
    </row>
    <row r="92" spans="1:19" x14ac:dyDescent="0.25">
      <c r="A92" s="82" t="s">
        <v>161</v>
      </c>
      <c r="B92" s="35"/>
      <c r="C92" s="35"/>
      <c r="D92" s="35"/>
      <c r="E92" s="35"/>
      <c r="F92" s="35"/>
      <c r="G92" s="35"/>
      <c r="H92" s="35"/>
      <c r="I92" s="35"/>
      <c r="J92" s="35"/>
      <c r="K92" s="35">
        <v>58.67</v>
      </c>
      <c r="L92" s="35">
        <v>142.12200000000001</v>
      </c>
      <c r="M92" s="35"/>
      <c r="N92" s="35"/>
      <c r="O92" s="35"/>
      <c r="P92" s="35"/>
      <c r="Q92" s="35"/>
      <c r="R92" s="35">
        <f t="shared" si="2"/>
        <v>200.79200000000003</v>
      </c>
    </row>
    <row r="93" spans="1:19" x14ac:dyDescent="0.25">
      <c r="A93" s="82" t="s">
        <v>127</v>
      </c>
      <c r="B93" s="35"/>
      <c r="C93" s="35"/>
      <c r="D93" s="35"/>
      <c r="E93" s="35"/>
      <c r="F93" s="35"/>
      <c r="G93" s="35"/>
      <c r="H93" s="35"/>
      <c r="I93" s="35">
        <f>114.712+18</f>
        <v>132.71199999999999</v>
      </c>
      <c r="J93" s="35"/>
      <c r="K93" s="35"/>
      <c r="L93" s="35"/>
      <c r="M93" s="35"/>
      <c r="N93" s="35"/>
      <c r="O93" s="35"/>
      <c r="P93" s="35"/>
      <c r="Q93" s="35">
        <v>22</v>
      </c>
      <c r="R93" s="35">
        <f t="shared" si="2"/>
        <v>154.71199999999999</v>
      </c>
    </row>
    <row r="94" spans="1:19" x14ac:dyDescent="0.25">
      <c r="A94" s="82" t="s">
        <v>153</v>
      </c>
      <c r="B94" s="35"/>
      <c r="C94" s="35"/>
      <c r="D94" s="35"/>
      <c r="E94" s="35">
        <v>9.5</v>
      </c>
      <c r="F94" s="35"/>
      <c r="G94" s="35"/>
      <c r="H94" s="35"/>
      <c r="I94" s="35"/>
      <c r="J94" s="35"/>
      <c r="K94" s="35"/>
      <c r="L94" s="35">
        <v>4.9660000000000002</v>
      </c>
      <c r="M94" s="35"/>
      <c r="N94" s="35"/>
      <c r="O94" s="35"/>
      <c r="P94" s="35"/>
      <c r="Q94" s="35"/>
      <c r="R94" s="35">
        <f t="shared" si="2"/>
        <v>14.466000000000001</v>
      </c>
    </row>
    <row r="95" spans="1:19" x14ac:dyDescent="0.25">
      <c r="A95" s="82" t="s">
        <v>157</v>
      </c>
      <c r="B95" s="35"/>
      <c r="C95" s="35"/>
      <c r="D95" s="35"/>
      <c r="E95" s="35"/>
      <c r="F95" s="35"/>
      <c r="G95" s="35"/>
      <c r="H95" s="35">
        <v>38</v>
      </c>
      <c r="I95" s="35">
        <f>44.361+40+40</f>
        <v>124.36099999999999</v>
      </c>
      <c r="J95" s="35"/>
      <c r="K95" s="35"/>
      <c r="L95" s="35"/>
      <c r="M95" s="35"/>
      <c r="N95" s="35"/>
      <c r="O95" s="35"/>
      <c r="P95" s="35"/>
      <c r="Q95" s="35">
        <v>40</v>
      </c>
      <c r="R95" s="35">
        <f t="shared" si="2"/>
        <v>202.36099999999999</v>
      </c>
      <c r="S95" s="11"/>
    </row>
    <row r="96" spans="1:19" x14ac:dyDescent="0.25">
      <c r="A96" s="82" t="s">
        <v>144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>
        <v>52.759</v>
      </c>
      <c r="O96" s="35"/>
      <c r="P96" s="35"/>
      <c r="Q96" s="35"/>
      <c r="R96" s="35">
        <f t="shared" si="2"/>
        <v>52.759</v>
      </c>
    </row>
    <row r="97" spans="1:18" x14ac:dyDescent="0.25">
      <c r="A97" s="82" t="s">
        <v>132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>
        <v>148.16999999999999</v>
      </c>
      <c r="O97" s="35"/>
      <c r="P97" s="35"/>
      <c r="Q97" s="35"/>
      <c r="R97" s="35">
        <f t="shared" si="2"/>
        <v>148.16999999999999</v>
      </c>
    </row>
    <row r="98" spans="1:18" s="17" customFormat="1" x14ac:dyDescent="0.25">
      <c r="A98" s="82" t="s">
        <v>34</v>
      </c>
      <c r="B98" s="83"/>
      <c r="C98" s="83"/>
      <c r="D98" s="83"/>
      <c r="E98" s="83"/>
      <c r="F98" s="83"/>
      <c r="G98" s="83">
        <v>230</v>
      </c>
      <c r="H98" s="83"/>
      <c r="J98" s="83">
        <v>50</v>
      </c>
      <c r="K98" s="83"/>
      <c r="L98" s="83"/>
      <c r="M98" s="83"/>
      <c r="N98" s="83"/>
      <c r="O98" s="83"/>
      <c r="P98" s="83"/>
      <c r="Q98" s="83"/>
      <c r="R98" s="35">
        <f t="shared" ref="R98:R104" si="3">SUM(B98:Q98)</f>
        <v>280</v>
      </c>
    </row>
    <row r="99" spans="1:18" s="17" customFormat="1" x14ac:dyDescent="0.25">
      <c r="A99" s="82" t="s">
        <v>35</v>
      </c>
      <c r="B99" s="83"/>
      <c r="C99" s="83"/>
      <c r="D99" s="83"/>
      <c r="E99" s="83"/>
      <c r="F99" s="83">
        <v>89.9</v>
      </c>
      <c r="G99" s="83">
        <v>100</v>
      </c>
      <c r="H99" s="83">
        <v>25</v>
      </c>
      <c r="I99" s="83">
        <v>25</v>
      </c>
      <c r="J99" s="83"/>
      <c r="K99" s="83"/>
      <c r="L99" s="83"/>
      <c r="M99" s="83"/>
      <c r="N99" s="83"/>
      <c r="O99" s="83"/>
      <c r="P99" s="83"/>
      <c r="Q99" s="83"/>
      <c r="R99" s="35">
        <f t="shared" si="3"/>
        <v>239.9</v>
      </c>
    </row>
    <row r="100" spans="1:18" s="17" customFormat="1" x14ac:dyDescent="0.25">
      <c r="A100" s="82" t="s">
        <v>40</v>
      </c>
      <c r="B100" s="83"/>
      <c r="C100" s="83"/>
      <c r="D100" s="83">
        <v>37</v>
      </c>
      <c r="E100" s="83">
        <v>38</v>
      </c>
      <c r="F100" s="83"/>
      <c r="G100" s="83"/>
      <c r="H100" s="83"/>
      <c r="I100" s="83"/>
      <c r="J100" s="83"/>
      <c r="K100" s="83"/>
      <c r="L100" s="83"/>
      <c r="M100" s="83"/>
      <c r="N100" s="83">
        <v>159</v>
      </c>
      <c r="O100" s="83"/>
      <c r="P100" s="83"/>
      <c r="Q100" s="83"/>
      <c r="R100" s="35">
        <f t="shared" si="3"/>
        <v>234</v>
      </c>
    </row>
    <row r="101" spans="1:18" s="17" customFormat="1" x14ac:dyDescent="0.25">
      <c r="A101" s="82" t="s">
        <v>55</v>
      </c>
      <c r="B101" s="83">
        <v>150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35">
        <f t="shared" si="3"/>
        <v>150</v>
      </c>
    </row>
    <row r="102" spans="1:18" s="17" customFormat="1" x14ac:dyDescent="0.25">
      <c r="A102" s="82" t="s">
        <v>62</v>
      </c>
      <c r="B102" s="83">
        <v>50</v>
      </c>
      <c r="C102" s="83">
        <v>60</v>
      </c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35">
        <f t="shared" si="3"/>
        <v>110</v>
      </c>
    </row>
    <row r="103" spans="1:18" s="17" customFormat="1" x14ac:dyDescent="0.25">
      <c r="A103" s="82" t="s">
        <v>229</v>
      </c>
      <c r="B103" s="83"/>
      <c r="C103" s="83">
        <v>25</v>
      </c>
      <c r="D103" s="83"/>
      <c r="E103" s="83"/>
      <c r="F103" s="83"/>
      <c r="G103" s="83"/>
      <c r="H103" s="83"/>
      <c r="I103" s="83"/>
      <c r="J103" s="83"/>
      <c r="K103" s="83">
        <v>182</v>
      </c>
      <c r="L103" s="83">
        <v>346</v>
      </c>
      <c r="M103" s="83">
        <v>75</v>
      </c>
      <c r="N103" s="83">
        <v>40</v>
      </c>
      <c r="O103" s="83"/>
      <c r="P103" s="83"/>
      <c r="Q103" s="83"/>
      <c r="R103" s="35">
        <f t="shared" si="3"/>
        <v>668</v>
      </c>
    </row>
    <row r="104" spans="1:18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35">
        <f t="shared" si="3"/>
        <v>0</v>
      </c>
    </row>
    <row r="105" spans="1:18" x14ac:dyDescent="0.25">
      <c r="A105" s="84" t="s">
        <v>216</v>
      </c>
      <c r="B105" s="85">
        <f>SUM(B2:B104)</f>
        <v>2163.9459999999999</v>
      </c>
      <c r="C105" s="85">
        <f t="shared" ref="C105:P105" si="4">SUM(C2:C104)</f>
        <v>747.71100000000001</v>
      </c>
      <c r="D105" s="85">
        <f t="shared" si="4"/>
        <v>368.73599999999999</v>
      </c>
      <c r="E105" s="85">
        <f t="shared" si="4"/>
        <v>389.66800000000001</v>
      </c>
      <c r="F105" s="85">
        <f t="shared" si="4"/>
        <v>898.21399999999983</v>
      </c>
      <c r="G105" s="85">
        <f t="shared" si="4"/>
        <v>1994.9930000000002</v>
      </c>
      <c r="H105" s="85">
        <f t="shared" si="4"/>
        <v>249.81099999999998</v>
      </c>
      <c r="I105" s="85">
        <f t="shared" si="4"/>
        <v>369.471</v>
      </c>
      <c r="J105" s="85">
        <f t="shared" si="4"/>
        <v>456.79999999999995</v>
      </c>
      <c r="K105" s="85">
        <f t="shared" si="4"/>
        <v>1819.1800000000003</v>
      </c>
      <c r="L105" s="92">
        <f>SUM(L2:L104)+80</f>
        <v>3328.886</v>
      </c>
      <c r="M105" s="85">
        <f t="shared" si="4"/>
        <v>120</v>
      </c>
      <c r="N105" s="85">
        <f t="shared" si="4"/>
        <v>1781.7729999999999</v>
      </c>
      <c r="O105" s="85">
        <f t="shared" si="4"/>
        <v>14.077</v>
      </c>
      <c r="P105" s="85">
        <f t="shared" si="4"/>
        <v>138.505</v>
      </c>
      <c r="Q105" s="85">
        <f>SUM(Q2:Q104)</f>
        <v>168</v>
      </c>
      <c r="R105" s="92">
        <f>SUM(R2:R104)</f>
        <v>14929.771000000001</v>
      </c>
    </row>
    <row r="106" spans="1:18" x14ac:dyDescent="0.25">
      <c r="A106" s="87" t="s">
        <v>94</v>
      </c>
      <c r="B106" s="42">
        <f>710-100</f>
        <v>610</v>
      </c>
      <c r="C106" s="42">
        <v>4.4000000000000004</v>
      </c>
      <c r="D106" s="42">
        <v>0</v>
      </c>
      <c r="E106" s="42">
        <v>0</v>
      </c>
      <c r="F106" s="42">
        <v>0.7</v>
      </c>
      <c r="G106" s="42">
        <f>1956-1895</f>
        <v>61</v>
      </c>
      <c r="H106" s="42">
        <v>0.2</v>
      </c>
      <c r="I106" s="42">
        <v>0.5</v>
      </c>
      <c r="J106" s="42">
        <v>43.2</v>
      </c>
      <c r="K106" s="42">
        <v>8.32</v>
      </c>
      <c r="L106" s="35">
        <v>129.1</v>
      </c>
      <c r="M106" s="42">
        <v>0</v>
      </c>
      <c r="N106" s="42">
        <v>198</v>
      </c>
      <c r="O106" s="42">
        <v>0</v>
      </c>
      <c r="P106" s="42">
        <v>3.3</v>
      </c>
      <c r="Q106" s="42">
        <v>0</v>
      </c>
      <c r="R106" s="42">
        <f>SUM(B106:Q106)</f>
        <v>1058.72</v>
      </c>
    </row>
    <row r="108" spans="1:18" s="17" customFormat="1" x14ac:dyDescent="0.25"/>
    <row r="109" spans="1:18" s="17" customFormat="1" x14ac:dyDescent="0.25"/>
    <row r="111" spans="1:18" s="17" customFormat="1" x14ac:dyDescent="0.25">
      <c r="A111" s="100">
        <v>664</v>
      </c>
      <c r="B111" s="100">
        <v>687</v>
      </c>
      <c r="C111" s="100" t="s">
        <v>307</v>
      </c>
    </row>
    <row r="112" spans="1:18" s="17" customFormat="1" x14ac:dyDescent="0.25">
      <c r="A112" s="100">
        <v>1888</v>
      </c>
      <c r="B112" s="100">
        <v>1348</v>
      </c>
      <c r="C112" s="100" t="s">
        <v>308</v>
      </c>
    </row>
    <row r="113" spans="1:3" s="17" customFormat="1" x14ac:dyDescent="0.25">
      <c r="A113" s="100">
        <v>2164</v>
      </c>
      <c r="B113" s="100">
        <v>3391</v>
      </c>
      <c r="C113" s="100" t="s">
        <v>309</v>
      </c>
    </row>
    <row r="114" spans="1:3" s="17" customFormat="1" x14ac:dyDescent="0.25"/>
    <row r="115" spans="1:3" x14ac:dyDescent="0.25">
      <c r="A115" s="100"/>
      <c r="B115" s="100"/>
      <c r="C115" s="100"/>
    </row>
    <row r="116" spans="1:3" s="17" customFormat="1" x14ac:dyDescent="0.25">
      <c r="A116" s="100">
        <v>4716</v>
      </c>
      <c r="B116" s="100">
        <v>5426</v>
      </c>
      <c r="C116" s="100"/>
    </row>
    <row r="117" spans="1:3" x14ac:dyDescent="0.25">
      <c r="A117" s="100"/>
      <c r="B117" s="100"/>
      <c r="C117" s="100"/>
    </row>
    <row r="118" spans="1:3" x14ac:dyDescent="0.25">
      <c r="A118" s="100">
        <f>B116-A116</f>
        <v>710</v>
      </c>
      <c r="B118" s="100"/>
      <c r="C118" s="100"/>
    </row>
  </sheetData>
  <customSheetViews>
    <customSheetView guid="{DA8006FA-F549-4B7E-8C3D-B376CE1F2F3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F0DA5CBD-521B-45E5-999C-010E89D9B2D8}" topLeftCell="B1">
      <selection activeCell="U1" sqref="U1:AB5"/>
      <pageMargins left="0.7" right="0.7" top="0.75" bottom="0.75" header="0.3" footer="0.3"/>
    </customSheetView>
    <customSheetView guid="{5F1CCD53-A6B6-4801-9001-0C0BEBA8D20D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D364304B-E18C-453B-A624-DE6197120D49}" showAutoFilter="1">
      <pane ySplit="1" topLeftCell="A95" activePane="bottomLeft" state="frozen"/>
      <selection pane="bottomLeft" activeCell="J107" sqref="J107"/>
      <pageMargins left="0.7" right="0.7" top="0.75" bottom="0.75" header="0.3" footer="0.3"/>
      <autoFilter ref="A1:R106"/>
    </customSheetView>
    <customSheetView guid="{BDA34D52-B4BA-426C-853B-2B50F8AB0C7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C66BF055-7613-4DC3-BA99-25F44C751266}" topLeftCell="A76">
      <selection activeCell="F106" sqref="F106"/>
      <pageMargins left="0.7" right="0.7" top="0.75" bottom="0.75" header="0.3" footer="0.3"/>
      <pageSetup orientation="portrait" r:id="rId1"/>
    </customSheetView>
    <customSheetView guid="{7A751D0E-E1DB-4CA9-844E-987730CC2DF7}" topLeftCell="A88">
      <selection activeCell="F1" sqref="F1:F1048576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"/>
  <sheetViews>
    <sheetView zoomScale="85" zoomScaleNormal="85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defaultRowHeight="15" x14ac:dyDescent="0.25"/>
  <cols>
    <col min="1" max="1" width="25.28515625" style="17" bestFit="1" customWidth="1"/>
    <col min="2" max="18" width="9.140625" style="17"/>
    <col min="19" max="19" width="11.85546875" style="17" bestFit="1" customWidth="1"/>
    <col min="20" max="20" width="9.140625" style="17"/>
    <col min="22" max="22" width="4.7109375" bestFit="1" customWidth="1"/>
    <col min="23" max="23" width="3.71093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45" x14ac:dyDescent="0.25">
      <c r="A1" s="102" t="s">
        <v>0</v>
      </c>
      <c r="B1" s="103" t="s">
        <v>306</v>
      </c>
      <c r="C1" s="103" t="s">
        <v>314</v>
      </c>
      <c r="D1" s="103" t="s">
        <v>317</v>
      </c>
      <c r="E1" s="103" t="s">
        <v>275</v>
      </c>
      <c r="F1" s="103" t="s">
        <v>260</v>
      </c>
      <c r="G1" s="103" t="s">
        <v>276</v>
      </c>
      <c r="H1" s="103" t="s">
        <v>277</v>
      </c>
      <c r="I1" s="103" t="s">
        <v>261</v>
      </c>
      <c r="J1" s="103" t="s">
        <v>278</v>
      </c>
      <c r="K1" s="103" t="s">
        <v>279</v>
      </c>
      <c r="L1" s="103" t="s">
        <v>262</v>
      </c>
      <c r="M1" s="103" t="s">
        <v>267</v>
      </c>
      <c r="N1" s="103" t="s">
        <v>280</v>
      </c>
      <c r="O1" s="103" t="s">
        <v>281</v>
      </c>
      <c r="P1" s="103" t="s">
        <v>302</v>
      </c>
      <c r="Q1" s="103" t="s">
        <v>305</v>
      </c>
      <c r="R1" s="103" t="s">
        <v>315</v>
      </c>
      <c r="S1" s="102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82" t="s">
        <v>172</v>
      </c>
      <c r="B2" s="42">
        <v>37.199999999999996</v>
      </c>
      <c r="C2" s="83"/>
      <c r="D2" s="83"/>
      <c r="E2" s="83"/>
      <c r="F2" s="83"/>
      <c r="G2" s="83"/>
      <c r="H2" s="83"/>
      <c r="I2" s="83"/>
      <c r="J2" s="83"/>
      <c r="K2" s="83"/>
      <c r="L2" s="83">
        <v>61.460000000000008</v>
      </c>
      <c r="M2" s="83"/>
      <c r="N2" s="83"/>
      <c r="O2" s="83"/>
      <c r="P2" s="83"/>
      <c r="Q2" s="83"/>
      <c r="R2" s="83"/>
      <c r="S2" s="83">
        <f>SUM(B2:R2)</f>
        <v>98.66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82" t="s">
        <v>150</v>
      </c>
      <c r="B3" s="96">
        <v>208</v>
      </c>
      <c r="C3" s="107"/>
      <c r="D3" s="107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>
        <f t="shared" ref="S3:S67" si="0">SUM(B3:R3)</f>
        <v>208</v>
      </c>
      <c r="V3" s="70"/>
      <c r="W3" s="53"/>
      <c r="X3" s="53"/>
      <c r="Y3" s="53"/>
      <c r="Z3" s="53"/>
      <c r="AA3" s="53"/>
      <c r="AB3" s="53"/>
      <c r="AC3" s="55"/>
    </row>
    <row r="4" spans="1:29" x14ac:dyDescent="0.25">
      <c r="A4" s="82" t="s">
        <v>128</v>
      </c>
      <c r="B4" s="96"/>
      <c r="C4" s="107"/>
      <c r="D4" s="107"/>
      <c r="E4" s="83"/>
      <c r="F4" s="83"/>
      <c r="G4" s="83"/>
      <c r="H4" s="83"/>
      <c r="I4" s="83">
        <f>143.556+72.33</f>
        <v>215.88600000000002</v>
      </c>
      <c r="J4" s="83"/>
      <c r="K4" s="83"/>
      <c r="L4" s="83"/>
      <c r="M4" s="83"/>
      <c r="N4" s="83"/>
      <c r="O4" s="83"/>
      <c r="P4" s="83"/>
      <c r="Q4" s="83"/>
      <c r="R4" s="83"/>
      <c r="S4" s="83">
        <f t="shared" si="0"/>
        <v>215.88600000000002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ht="15.75" thickBot="1" x14ac:dyDescent="0.3">
      <c r="A5" s="82" t="s">
        <v>134</v>
      </c>
      <c r="B5" s="2">
        <v>9.6</v>
      </c>
      <c r="C5" s="107">
        <v>14.905000000000001</v>
      </c>
      <c r="D5" s="107"/>
      <c r="E5" s="83"/>
      <c r="F5" s="83"/>
      <c r="G5" s="83"/>
      <c r="H5" s="83"/>
      <c r="I5" s="83"/>
      <c r="J5" s="83"/>
      <c r="K5" s="83"/>
      <c r="L5" s="83"/>
      <c r="M5" s="83"/>
      <c r="N5" s="83"/>
      <c r="O5" s="83">
        <v>7.1</v>
      </c>
      <c r="P5" s="83"/>
      <c r="Q5" s="83"/>
      <c r="R5" s="83"/>
      <c r="S5" s="83">
        <f t="shared" si="0"/>
        <v>31.605000000000004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96"/>
      <c r="C6" s="107">
        <v>16.693000000000001</v>
      </c>
      <c r="D6" s="107">
        <v>90.45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f t="shared" si="0"/>
        <v>107.143</v>
      </c>
    </row>
    <row r="7" spans="1:29" x14ac:dyDescent="0.25">
      <c r="A7" s="82" t="s">
        <v>122</v>
      </c>
      <c r="B7" s="96"/>
      <c r="C7" s="107"/>
      <c r="D7" s="107"/>
      <c r="E7" s="83"/>
      <c r="F7" s="83"/>
      <c r="G7" s="83"/>
      <c r="H7" s="83"/>
      <c r="I7" s="83"/>
      <c r="J7" s="83"/>
      <c r="K7" s="83"/>
      <c r="L7" s="83"/>
      <c r="M7" s="83"/>
      <c r="N7" s="83"/>
      <c r="O7" s="83">
        <v>171.40799999999999</v>
      </c>
      <c r="P7" s="83"/>
      <c r="Q7" s="83"/>
      <c r="R7" s="83"/>
      <c r="S7" s="83">
        <f t="shared" si="0"/>
        <v>171.40799999999999</v>
      </c>
    </row>
    <row r="8" spans="1:29" x14ac:dyDescent="0.25">
      <c r="A8" s="82" t="s">
        <v>217</v>
      </c>
      <c r="B8" s="96"/>
      <c r="C8" s="107">
        <v>103.57599999999999</v>
      </c>
      <c r="D8" s="107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>
        <f t="shared" si="0"/>
        <v>103.57599999999999</v>
      </c>
    </row>
    <row r="9" spans="1:29" x14ac:dyDescent="0.25">
      <c r="A9" s="82" t="s">
        <v>125</v>
      </c>
      <c r="B9" s="2">
        <v>16.8</v>
      </c>
      <c r="C9" s="107">
        <v>44.768000000000001</v>
      </c>
      <c r="D9" s="107">
        <v>78.95</v>
      </c>
      <c r="E9" s="83">
        <v>4.3140000000000001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f t="shared" si="0"/>
        <v>144.83199999999999</v>
      </c>
    </row>
    <row r="10" spans="1:29" x14ac:dyDescent="0.25">
      <c r="A10" s="82" t="s">
        <v>158</v>
      </c>
      <c r="B10" s="96"/>
      <c r="C10" s="107"/>
      <c r="D10" s="107"/>
      <c r="E10" s="83"/>
      <c r="F10" s="83"/>
      <c r="G10" s="83"/>
      <c r="H10" s="83">
        <v>71.451999999999998</v>
      </c>
      <c r="I10" s="83"/>
      <c r="J10" s="83"/>
      <c r="K10" s="83">
        <v>7.93</v>
      </c>
      <c r="L10" s="83"/>
      <c r="M10" s="83"/>
      <c r="N10" s="83"/>
      <c r="O10" s="83"/>
      <c r="P10" s="83"/>
      <c r="Q10" s="83"/>
      <c r="R10" s="83"/>
      <c r="S10" s="83">
        <f t="shared" si="0"/>
        <v>79.382000000000005</v>
      </c>
    </row>
    <row r="11" spans="1:29" x14ac:dyDescent="0.25">
      <c r="A11" s="82" t="s">
        <v>189</v>
      </c>
      <c r="B11" s="96"/>
      <c r="C11" s="107"/>
      <c r="D11" s="107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117.35000000000001</v>
      </c>
      <c r="P11" s="83"/>
      <c r="Q11" s="83"/>
      <c r="R11" s="83"/>
      <c r="S11" s="83">
        <f t="shared" si="0"/>
        <v>117.35000000000001</v>
      </c>
    </row>
    <row r="12" spans="1:29" x14ac:dyDescent="0.25">
      <c r="A12" s="82" t="s">
        <v>185</v>
      </c>
      <c r="B12" s="96"/>
      <c r="C12" s="107"/>
      <c r="D12" s="107"/>
      <c r="E12" s="83"/>
      <c r="F12" s="83"/>
      <c r="G12" s="83"/>
      <c r="H12" s="83"/>
      <c r="I12" s="83"/>
      <c r="J12" s="83">
        <v>56.730999999999995</v>
      </c>
      <c r="K12" s="83">
        <v>6.7619999999999996</v>
      </c>
      <c r="L12" s="83"/>
      <c r="M12" s="83"/>
      <c r="N12" s="83"/>
      <c r="O12" s="83"/>
      <c r="P12" s="83"/>
      <c r="Q12" s="83"/>
      <c r="R12" s="83"/>
      <c r="S12" s="83">
        <f t="shared" si="0"/>
        <v>63.492999999999995</v>
      </c>
    </row>
    <row r="13" spans="1:29" x14ac:dyDescent="0.25">
      <c r="A13" s="82" t="s">
        <v>149</v>
      </c>
      <c r="B13" s="96"/>
      <c r="C13" s="107"/>
      <c r="D13" s="107"/>
      <c r="E13" s="83">
        <v>18.922000000000001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97.571000000000012</v>
      </c>
      <c r="R13" s="83"/>
      <c r="S13" s="83">
        <f t="shared" si="0"/>
        <v>116.49300000000001</v>
      </c>
    </row>
    <row r="14" spans="1:29" x14ac:dyDescent="0.25">
      <c r="A14" s="82" t="s">
        <v>197</v>
      </c>
      <c r="B14" s="96"/>
      <c r="C14" s="107"/>
      <c r="D14" s="107">
        <v>93.46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>
        <v>81.344000000000008</v>
      </c>
      <c r="P14" s="83"/>
      <c r="Q14" s="83"/>
      <c r="R14" s="83"/>
      <c r="S14" s="83">
        <f t="shared" si="0"/>
        <v>174.804</v>
      </c>
    </row>
    <row r="15" spans="1:29" x14ac:dyDescent="0.25">
      <c r="A15" s="82" t="s">
        <v>198</v>
      </c>
      <c r="B15" s="96"/>
      <c r="C15" s="107">
        <v>5.9269999999999996</v>
      </c>
      <c r="D15" s="107"/>
      <c r="E15" s="83"/>
      <c r="F15" s="83"/>
      <c r="G15" s="83"/>
      <c r="H15" s="83"/>
      <c r="I15" s="83">
        <v>133.25100000000003</v>
      </c>
      <c r="J15" s="83"/>
      <c r="K15" s="83"/>
      <c r="L15" s="83"/>
      <c r="M15" s="83"/>
      <c r="N15" s="83"/>
      <c r="O15" s="83"/>
      <c r="P15" s="83"/>
      <c r="Q15" s="83"/>
      <c r="R15" s="83"/>
      <c r="S15" s="83">
        <f t="shared" si="0"/>
        <v>139.17800000000003</v>
      </c>
    </row>
    <row r="16" spans="1:29" x14ac:dyDescent="0.25">
      <c r="A16" s="101" t="s">
        <v>147</v>
      </c>
      <c r="B16" s="2">
        <v>30</v>
      </c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>
        <f>88.65+2.67</f>
        <v>91.320000000000007</v>
      </c>
      <c r="O16" s="7"/>
      <c r="P16" s="7"/>
      <c r="Q16" s="7"/>
      <c r="R16" s="7"/>
      <c r="S16" s="83">
        <f t="shared" si="0"/>
        <v>121.32000000000001</v>
      </c>
      <c r="U16" s="108"/>
    </row>
    <row r="17" spans="1:21" x14ac:dyDescent="0.25">
      <c r="A17" s="82" t="s">
        <v>142</v>
      </c>
      <c r="B17" s="96"/>
      <c r="C17" s="107"/>
      <c r="D17" s="107"/>
      <c r="E17" s="83"/>
      <c r="F17" s="83"/>
      <c r="G17" s="83"/>
      <c r="H17" s="83"/>
      <c r="I17" s="83">
        <f>123.099+30</f>
        <v>153.09899999999999</v>
      </c>
      <c r="J17" s="83"/>
      <c r="K17" s="83"/>
      <c r="L17" s="83"/>
      <c r="M17" s="83"/>
      <c r="N17" s="83"/>
      <c r="O17" s="83"/>
      <c r="P17" s="83"/>
      <c r="Q17" s="83"/>
      <c r="R17" s="83"/>
      <c r="S17" s="83">
        <f t="shared" si="0"/>
        <v>153.09899999999999</v>
      </c>
      <c r="U17" s="108"/>
    </row>
    <row r="18" spans="1:21" x14ac:dyDescent="0.25">
      <c r="A18" s="101" t="s">
        <v>218</v>
      </c>
      <c r="B18" s="96">
        <v>35</v>
      </c>
      <c r="C18" s="12"/>
      <c r="D18" s="12"/>
      <c r="E18" s="7"/>
      <c r="F18" s="7"/>
      <c r="G18" s="7"/>
      <c r="H18" s="7"/>
      <c r="I18" s="7"/>
      <c r="J18" s="7"/>
      <c r="K18" s="7"/>
      <c r="L18" s="7"/>
      <c r="M18" s="7">
        <f>173.489+20</f>
        <v>193.489</v>
      </c>
      <c r="N18" s="7"/>
      <c r="O18" s="7"/>
      <c r="P18" s="7"/>
      <c r="Q18" s="7"/>
      <c r="R18" s="7">
        <v>18.602</v>
      </c>
      <c r="S18" s="83">
        <f t="shared" si="0"/>
        <v>247.09100000000001</v>
      </c>
      <c r="U18" s="108"/>
    </row>
    <row r="19" spans="1:21" x14ac:dyDescent="0.25">
      <c r="A19" s="101" t="s">
        <v>156</v>
      </c>
      <c r="B19" s="96"/>
      <c r="C19" s="12">
        <v>58.695999999999991</v>
      </c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17.89</v>
      </c>
      <c r="P19" s="7"/>
      <c r="Q19" s="7"/>
      <c r="R19" s="7"/>
      <c r="S19" s="83">
        <f t="shared" si="0"/>
        <v>76.585999999999984</v>
      </c>
      <c r="U19" s="108"/>
    </row>
    <row r="20" spans="1:21" x14ac:dyDescent="0.25">
      <c r="A20" s="82" t="s">
        <v>171</v>
      </c>
      <c r="B20" s="96"/>
      <c r="C20" s="107">
        <v>136.12</v>
      </c>
      <c r="D20" s="10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f t="shared" si="0"/>
        <v>136.12</v>
      </c>
      <c r="U20" s="108"/>
    </row>
    <row r="21" spans="1:21" x14ac:dyDescent="0.25">
      <c r="A21" s="82" t="s">
        <v>176</v>
      </c>
      <c r="B21" s="96"/>
      <c r="C21" s="107"/>
      <c r="D21" s="107"/>
      <c r="E21" s="83"/>
      <c r="F21" s="83"/>
      <c r="G21" s="83">
        <v>197.23800000000003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f t="shared" si="0"/>
        <v>197.23800000000003</v>
      </c>
      <c r="U21" s="108"/>
    </row>
    <row r="22" spans="1:21" x14ac:dyDescent="0.25">
      <c r="A22" s="82" t="s">
        <v>114</v>
      </c>
      <c r="B22" s="96"/>
      <c r="C22" s="107"/>
      <c r="D22" s="107"/>
      <c r="E22" s="83"/>
      <c r="F22" s="83"/>
      <c r="G22" s="83"/>
      <c r="H22" s="83"/>
      <c r="I22" s="83">
        <v>13.741999999999997</v>
      </c>
      <c r="J22" s="83"/>
      <c r="K22" s="83"/>
      <c r="L22" s="83"/>
      <c r="M22" s="83"/>
      <c r="N22" s="83"/>
      <c r="O22" s="83"/>
      <c r="P22" s="83"/>
      <c r="Q22" s="83"/>
      <c r="R22" s="83"/>
      <c r="S22" s="83">
        <f t="shared" si="0"/>
        <v>13.741999999999997</v>
      </c>
      <c r="U22" s="108"/>
    </row>
    <row r="23" spans="1:21" x14ac:dyDescent="0.25">
      <c r="A23" s="82" t="s">
        <v>183</v>
      </c>
      <c r="B23" s="2"/>
      <c r="C23" s="107"/>
      <c r="D23" s="107"/>
      <c r="E23" s="83"/>
      <c r="F23" s="83"/>
      <c r="G23" s="83"/>
      <c r="H23" s="83"/>
      <c r="I23" s="83">
        <v>104.72700000000002</v>
      </c>
      <c r="J23" s="83"/>
      <c r="K23" s="83"/>
      <c r="L23" s="83"/>
      <c r="M23" s="83"/>
      <c r="N23" s="83"/>
      <c r="O23" s="83"/>
      <c r="P23" s="83"/>
      <c r="Q23" s="83"/>
      <c r="R23" s="83"/>
      <c r="S23" s="83">
        <f t="shared" si="0"/>
        <v>104.72700000000002</v>
      </c>
      <c r="U23" s="108"/>
    </row>
    <row r="24" spans="1:21" x14ac:dyDescent="0.25">
      <c r="A24" s="82" t="s">
        <v>135</v>
      </c>
      <c r="B24" s="96"/>
      <c r="C24" s="107"/>
      <c r="D24" s="107"/>
      <c r="E24" s="83"/>
      <c r="F24" s="83"/>
      <c r="G24" s="83"/>
      <c r="H24" s="83"/>
      <c r="I24" s="83"/>
      <c r="J24" s="83"/>
      <c r="K24" s="83"/>
      <c r="L24" s="83">
        <v>130.69000000000003</v>
      </c>
      <c r="M24" s="83"/>
      <c r="N24" s="83">
        <v>27.86</v>
      </c>
      <c r="O24" s="83"/>
      <c r="P24" s="83">
        <v>7.33</v>
      </c>
      <c r="Q24" s="83"/>
      <c r="R24" s="83"/>
      <c r="S24" s="83">
        <f t="shared" si="0"/>
        <v>165.88000000000002</v>
      </c>
    </row>
    <row r="25" spans="1:21" x14ac:dyDescent="0.25">
      <c r="A25" s="82" t="s">
        <v>180</v>
      </c>
      <c r="B25" s="96"/>
      <c r="C25" s="107"/>
      <c r="D25" s="107"/>
      <c r="E25" s="83"/>
      <c r="F25" s="83"/>
      <c r="G25" s="83"/>
      <c r="H25" s="83"/>
      <c r="I25" s="83">
        <v>108.13899999999998</v>
      </c>
      <c r="J25" s="83"/>
      <c r="K25" s="83"/>
      <c r="L25" s="83"/>
      <c r="M25" s="83"/>
      <c r="N25" s="83">
        <v>51.74</v>
      </c>
      <c r="O25" s="83"/>
      <c r="P25" s="83"/>
      <c r="Q25" s="83"/>
      <c r="R25" s="83"/>
      <c r="S25" s="83">
        <f t="shared" si="0"/>
        <v>159.87899999999999</v>
      </c>
    </row>
    <row r="26" spans="1:21" x14ac:dyDescent="0.25">
      <c r="A26" s="82" t="s">
        <v>123</v>
      </c>
      <c r="B26" s="2">
        <v>17.399999999999999</v>
      </c>
      <c r="C26" s="107">
        <v>138.94899999999998</v>
      </c>
      <c r="D26" s="107"/>
      <c r="E26" s="83">
        <v>53.311999999999998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f t="shared" si="0"/>
        <v>209.661</v>
      </c>
    </row>
    <row r="27" spans="1:21" x14ac:dyDescent="0.25">
      <c r="A27" s="82" t="s">
        <v>151</v>
      </c>
      <c r="B27" s="96"/>
      <c r="C27" s="107">
        <v>127.85199999999998</v>
      </c>
      <c r="D27" s="107"/>
      <c r="E27" s="83">
        <v>14.413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f t="shared" si="0"/>
        <v>142.26499999999999</v>
      </c>
    </row>
    <row r="28" spans="1:21" x14ac:dyDescent="0.25">
      <c r="A28" s="82" t="s">
        <v>168</v>
      </c>
      <c r="B28" s="96">
        <v>50</v>
      </c>
      <c r="C28" s="107"/>
      <c r="D28" s="107"/>
      <c r="E28" s="83"/>
      <c r="F28" s="83"/>
      <c r="G28" s="83"/>
      <c r="H28" s="83"/>
      <c r="I28" s="83"/>
      <c r="J28" s="83"/>
      <c r="K28" s="83">
        <v>19.615000000000002</v>
      </c>
      <c r="L28" s="83"/>
      <c r="M28" s="83"/>
      <c r="N28" s="83"/>
      <c r="O28" s="83"/>
      <c r="P28" s="83"/>
      <c r="Q28" s="83"/>
      <c r="R28" s="83"/>
      <c r="S28" s="83">
        <f t="shared" si="0"/>
        <v>69.615000000000009</v>
      </c>
    </row>
    <row r="29" spans="1:21" x14ac:dyDescent="0.25">
      <c r="A29" s="82" t="s">
        <v>173</v>
      </c>
      <c r="B29" s="96"/>
      <c r="C29" s="107"/>
      <c r="D29" s="107"/>
      <c r="E29" s="83"/>
      <c r="F29" s="83"/>
      <c r="G29" s="83"/>
      <c r="H29" s="83">
        <v>8.7100000000000009</v>
      </c>
      <c r="I29" s="83"/>
      <c r="J29" s="83">
        <v>102.235</v>
      </c>
      <c r="K29" s="83"/>
      <c r="L29" s="83"/>
      <c r="M29" s="83"/>
      <c r="N29" s="83"/>
      <c r="O29" s="83"/>
      <c r="P29" s="83"/>
      <c r="Q29" s="83"/>
      <c r="R29" s="83"/>
      <c r="S29" s="83">
        <f t="shared" si="0"/>
        <v>110.94499999999999</v>
      </c>
    </row>
    <row r="30" spans="1:21" x14ac:dyDescent="0.25">
      <c r="A30" s="82" t="s">
        <v>182</v>
      </c>
      <c r="B30" s="96">
        <v>30</v>
      </c>
      <c r="C30" s="107"/>
      <c r="D30" s="107"/>
      <c r="E30" s="83"/>
      <c r="F30" s="83"/>
      <c r="G30" s="83"/>
      <c r="H30" s="83"/>
      <c r="I30" s="83"/>
      <c r="J30" s="83"/>
      <c r="K30" s="83"/>
      <c r="L30" s="83"/>
      <c r="M30" s="83">
        <v>133.14600000000004</v>
      </c>
      <c r="N30" s="83"/>
      <c r="O30" s="83"/>
      <c r="P30" s="83"/>
      <c r="Q30" s="83"/>
      <c r="R30" s="83">
        <v>27.831</v>
      </c>
      <c r="S30" s="83">
        <f t="shared" si="0"/>
        <v>190.97700000000003</v>
      </c>
    </row>
    <row r="31" spans="1:21" s="17" customFormat="1" x14ac:dyDescent="0.25">
      <c r="A31" s="82" t="s">
        <v>316</v>
      </c>
      <c r="B31" s="96"/>
      <c r="C31" s="107">
        <v>200</v>
      </c>
      <c r="D31" s="107">
        <v>50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f>SUM(B31:R31)</f>
        <v>250</v>
      </c>
    </row>
    <row r="32" spans="1:21" x14ac:dyDescent="0.25">
      <c r="A32" s="82" t="s">
        <v>145</v>
      </c>
      <c r="B32" s="2">
        <v>30.599999999999998</v>
      </c>
      <c r="C32" s="107">
        <v>83.524999999999991</v>
      </c>
      <c r="D32" s="107">
        <v>72.52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>
        <f t="shared" si="0"/>
        <v>186.64499999999998</v>
      </c>
    </row>
    <row r="33" spans="1:19" x14ac:dyDescent="0.25">
      <c r="A33" s="82" t="s">
        <v>219</v>
      </c>
      <c r="B33" s="2">
        <v>14.399999999999999</v>
      </c>
      <c r="C33" s="107"/>
      <c r="D33" s="107"/>
      <c r="E33" s="83"/>
      <c r="F33" s="83"/>
      <c r="G33" s="83"/>
      <c r="H33" s="83"/>
      <c r="I33" s="83"/>
      <c r="J33" s="83"/>
      <c r="K33" s="83"/>
      <c r="L33" s="83"/>
      <c r="M33" s="83"/>
      <c r="N33" s="83">
        <v>131.91</v>
      </c>
      <c r="O33" s="83"/>
      <c r="P33" s="83"/>
      <c r="Q33" s="83"/>
      <c r="R33" s="83"/>
      <c r="S33" s="83">
        <f t="shared" si="0"/>
        <v>146.31</v>
      </c>
    </row>
    <row r="34" spans="1:19" x14ac:dyDescent="0.25">
      <c r="A34" s="82" t="s">
        <v>196</v>
      </c>
      <c r="B34" s="2">
        <v>30.599999999999998</v>
      </c>
      <c r="C34" s="107">
        <v>111.375</v>
      </c>
      <c r="D34" s="107"/>
      <c r="E34" s="83">
        <v>33.114999999999995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>
        <f t="shared" si="0"/>
        <v>175.08999999999997</v>
      </c>
    </row>
    <row r="35" spans="1:19" x14ac:dyDescent="0.25">
      <c r="A35" s="82" t="s">
        <v>154</v>
      </c>
      <c r="B35" s="96"/>
      <c r="C35" s="107"/>
      <c r="D35" s="107"/>
      <c r="E35" s="83"/>
      <c r="F35" s="83"/>
      <c r="G35" s="83"/>
      <c r="H35" s="83"/>
      <c r="I35" s="83">
        <v>38.204000000000001</v>
      </c>
      <c r="J35" s="83"/>
      <c r="K35" s="83"/>
      <c r="L35" s="83"/>
      <c r="M35" s="83"/>
      <c r="N35" s="83"/>
      <c r="O35" s="83"/>
      <c r="P35" s="83"/>
      <c r="Q35" s="83"/>
      <c r="R35" s="83"/>
      <c r="S35" s="83">
        <f t="shared" si="0"/>
        <v>38.204000000000001</v>
      </c>
    </row>
    <row r="36" spans="1:19" x14ac:dyDescent="0.25">
      <c r="A36" s="82" t="s">
        <v>136</v>
      </c>
      <c r="B36" s="2">
        <v>9.6</v>
      </c>
      <c r="C36" s="107"/>
      <c r="D36" s="107"/>
      <c r="E36" s="83"/>
      <c r="F36" s="83"/>
      <c r="G36" s="83"/>
      <c r="H36" s="83"/>
      <c r="I36" s="83"/>
      <c r="J36" s="83"/>
      <c r="K36" s="83"/>
      <c r="L36" s="83"/>
      <c r="M36" s="83"/>
      <c r="N36" s="83">
        <v>101.82999999999998</v>
      </c>
      <c r="O36" s="83"/>
      <c r="P36" s="83"/>
      <c r="Q36" s="83"/>
      <c r="R36" s="83"/>
      <c r="S36" s="83">
        <f t="shared" si="0"/>
        <v>111.42999999999998</v>
      </c>
    </row>
    <row r="37" spans="1:19" x14ac:dyDescent="0.25">
      <c r="A37" s="82" t="s">
        <v>220</v>
      </c>
      <c r="B37" s="96">
        <v>30</v>
      </c>
      <c r="C37" s="107"/>
      <c r="D37" s="107"/>
      <c r="E37" s="83"/>
      <c r="F37" s="83"/>
      <c r="G37" s="83"/>
      <c r="H37" s="83"/>
      <c r="I37" s="83"/>
      <c r="J37" s="83"/>
      <c r="K37" s="83"/>
      <c r="L37" s="83">
        <v>158.601</v>
      </c>
      <c r="M37" s="83"/>
      <c r="N37" s="83"/>
      <c r="O37" s="83"/>
      <c r="P37" s="83"/>
      <c r="Q37" s="83"/>
      <c r="R37" s="83"/>
      <c r="S37" s="83">
        <f t="shared" si="0"/>
        <v>188.601</v>
      </c>
    </row>
    <row r="38" spans="1:19" x14ac:dyDescent="0.25">
      <c r="A38" s="82" t="s">
        <v>159</v>
      </c>
      <c r="B38" s="96"/>
      <c r="C38" s="107"/>
      <c r="D38" s="107"/>
      <c r="E38" s="83"/>
      <c r="F38" s="83"/>
      <c r="G38" s="83"/>
      <c r="H38" s="83"/>
      <c r="I38" s="83"/>
      <c r="J38" s="83"/>
      <c r="K38" s="83"/>
      <c r="L38" s="83"/>
      <c r="M38" s="83">
        <v>10.08</v>
      </c>
      <c r="N38" s="83"/>
      <c r="O38" s="83"/>
      <c r="P38" s="83"/>
      <c r="Q38" s="83"/>
      <c r="R38" s="83">
        <v>15.7</v>
      </c>
      <c r="S38" s="83">
        <f t="shared" si="0"/>
        <v>25.78</v>
      </c>
    </row>
    <row r="39" spans="1:19" x14ac:dyDescent="0.25">
      <c r="A39" s="82" t="s">
        <v>193</v>
      </c>
      <c r="B39" s="96"/>
      <c r="C39" s="107"/>
      <c r="D39" s="107"/>
      <c r="E39" s="83"/>
      <c r="F39" s="83"/>
      <c r="G39" s="83"/>
      <c r="H39" s="83">
        <v>77.723000000000013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f t="shared" si="0"/>
        <v>77.723000000000013</v>
      </c>
    </row>
    <row r="40" spans="1:19" x14ac:dyDescent="0.25">
      <c r="A40" s="82" t="s">
        <v>251</v>
      </c>
      <c r="B40" s="96"/>
      <c r="C40" s="107"/>
      <c r="D40" s="10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>
        <v>107.92000000000002</v>
      </c>
      <c r="Q40" s="83"/>
      <c r="R40" s="83"/>
      <c r="S40" s="83">
        <f t="shared" si="0"/>
        <v>107.92000000000002</v>
      </c>
    </row>
    <row r="41" spans="1:19" x14ac:dyDescent="0.25">
      <c r="A41" s="82" t="s">
        <v>188</v>
      </c>
      <c r="B41" s="96"/>
      <c r="C41" s="107">
        <v>154.88</v>
      </c>
      <c r="D41" s="107"/>
      <c r="E41" s="83">
        <v>35.707999999999998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>
        <f t="shared" si="0"/>
        <v>190.58799999999999</v>
      </c>
    </row>
    <row r="42" spans="1:19" x14ac:dyDescent="0.25">
      <c r="A42" s="82" t="s">
        <v>310</v>
      </c>
      <c r="B42" s="96"/>
      <c r="C42" s="107"/>
      <c r="D42" s="107"/>
      <c r="E42" s="83"/>
      <c r="F42" s="83"/>
      <c r="G42" s="83"/>
      <c r="H42" s="83">
        <v>40</v>
      </c>
      <c r="I42" s="83">
        <v>187</v>
      </c>
      <c r="J42" s="83">
        <v>24</v>
      </c>
      <c r="K42" s="83">
        <v>20</v>
      </c>
      <c r="L42" s="83">
        <v>80</v>
      </c>
      <c r="M42" s="83"/>
      <c r="N42" s="83"/>
      <c r="O42" s="83"/>
      <c r="P42" s="83"/>
      <c r="Q42" s="83"/>
      <c r="R42" s="83"/>
      <c r="S42" s="83">
        <f t="shared" si="0"/>
        <v>351</v>
      </c>
    </row>
    <row r="43" spans="1:19" x14ac:dyDescent="0.25">
      <c r="A43" s="82" t="s">
        <v>175</v>
      </c>
      <c r="B43" s="96"/>
      <c r="C43" s="107"/>
      <c r="D43" s="10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>
        <v>41.765999999999998</v>
      </c>
      <c r="R43" s="83"/>
      <c r="S43" s="83">
        <f t="shared" si="0"/>
        <v>41.765999999999998</v>
      </c>
    </row>
    <row r="44" spans="1:19" x14ac:dyDescent="0.25">
      <c r="A44" s="82" t="s">
        <v>130</v>
      </c>
      <c r="B44" s="96"/>
      <c r="C44" s="107"/>
      <c r="D44" s="107"/>
      <c r="E44" s="83"/>
      <c r="F44" s="83"/>
      <c r="G44" s="83"/>
      <c r="H44" s="83"/>
      <c r="I44" s="83">
        <v>116.565</v>
      </c>
      <c r="J44" s="83"/>
      <c r="K44" s="83"/>
      <c r="L44" s="83"/>
      <c r="M44" s="83"/>
      <c r="N44" s="83"/>
      <c r="O44" s="83"/>
      <c r="P44" s="83"/>
      <c r="Q44" s="83">
        <v>67.069999999999993</v>
      </c>
      <c r="R44" s="83"/>
      <c r="S44" s="83">
        <f t="shared" si="0"/>
        <v>183.63499999999999</v>
      </c>
    </row>
    <row r="45" spans="1:19" x14ac:dyDescent="0.25">
      <c r="A45" s="82" t="s">
        <v>160</v>
      </c>
      <c r="B45" s="96"/>
      <c r="C45" s="107"/>
      <c r="D45" s="107"/>
      <c r="E45" s="83">
        <v>48.084999999999994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>
        <v>130.77099999999999</v>
      </c>
      <c r="R45" s="83"/>
      <c r="S45" s="83">
        <f t="shared" si="0"/>
        <v>178.85599999999999</v>
      </c>
    </row>
    <row r="46" spans="1:19" x14ac:dyDescent="0.25">
      <c r="A46" s="82" t="s">
        <v>170</v>
      </c>
      <c r="B46" s="96"/>
      <c r="C46" s="107"/>
      <c r="D46" s="107"/>
      <c r="E46" s="83"/>
      <c r="F46" s="83"/>
      <c r="G46" s="83"/>
      <c r="H46" s="83">
        <f>97.915+16</f>
        <v>113.91500000000001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>
        <f t="shared" si="0"/>
        <v>113.91500000000001</v>
      </c>
    </row>
    <row r="47" spans="1:19" x14ac:dyDescent="0.25">
      <c r="A47" s="82" t="s">
        <v>297</v>
      </c>
      <c r="B47" s="96"/>
      <c r="C47" s="107"/>
      <c r="D47" s="107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>
        <v>161.14999999999998</v>
      </c>
      <c r="P47" s="83"/>
      <c r="Q47" s="83"/>
      <c r="R47" s="83"/>
      <c r="S47" s="83">
        <f t="shared" si="0"/>
        <v>161.14999999999998</v>
      </c>
    </row>
    <row r="48" spans="1:19" x14ac:dyDescent="0.25">
      <c r="A48" s="82" t="s">
        <v>155</v>
      </c>
      <c r="B48" s="96"/>
      <c r="C48" s="107"/>
      <c r="D48" s="107"/>
      <c r="E48" s="83"/>
      <c r="F48" s="83">
        <v>139.55999999999997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>
        <f t="shared" si="0"/>
        <v>139.55999999999997</v>
      </c>
    </row>
    <row r="49" spans="1:19" x14ac:dyDescent="0.25">
      <c r="A49" s="82" t="s">
        <v>221</v>
      </c>
      <c r="B49" s="2">
        <v>25.2</v>
      </c>
      <c r="C49" s="107"/>
      <c r="D49" s="107"/>
      <c r="E49" s="83"/>
      <c r="F49" s="83"/>
      <c r="G49" s="83"/>
      <c r="H49" s="83"/>
      <c r="I49" s="83"/>
      <c r="J49" s="83"/>
      <c r="K49" s="83"/>
      <c r="L49" s="83"/>
      <c r="M49" s="83"/>
      <c r="N49" s="83">
        <v>78.990000000000023</v>
      </c>
      <c r="O49" s="83"/>
      <c r="P49" s="83"/>
      <c r="Q49" s="83"/>
      <c r="R49" s="83"/>
      <c r="S49" s="83">
        <f t="shared" si="0"/>
        <v>104.19000000000003</v>
      </c>
    </row>
    <row r="50" spans="1:19" x14ac:dyDescent="0.25">
      <c r="A50" s="82" t="s">
        <v>174</v>
      </c>
      <c r="B50" s="96"/>
      <c r="C50" s="107">
        <v>167.81999999999996</v>
      </c>
      <c r="D50" s="107"/>
      <c r="E50" s="83">
        <v>12.360999999999999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f t="shared" si="0"/>
        <v>180.18099999999995</v>
      </c>
    </row>
    <row r="51" spans="1:19" x14ac:dyDescent="0.25">
      <c r="A51" s="82" t="s">
        <v>298</v>
      </c>
      <c r="B51" s="2">
        <v>22.2</v>
      </c>
      <c r="C51" s="107">
        <v>108.41500000000001</v>
      </c>
      <c r="D51" s="107"/>
      <c r="E51" s="83">
        <v>22.161000000000001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>
        <f t="shared" si="0"/>
        <v>152.77600000000001</v>
      </c>
    </row>
    <row r="52" spans="1:19" x14ac:dyDescent="0.25">
      <c r="A52" s="82" t="s">
        <v>187</v>
      </c>
      <c r="B52" s="96">
        <v>60</v>
      </c>
      <c r="C52" s="107">
        <v>76.150000000000006</v>
      </c>
      <c r="D52" s="107">
        <v>59.5</v>
      </c>
      <c r="E52" s="83">
        <v>39.552</v>
      </c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>
        <f t="shared" si="0"/>
        <v>235.202</v>
      </c>
    </row>
    <row r="53" spans="1:19" x14ac:dyDescent="0.25">
      <c r="A53" s="82" t="s">
        <v>191</v>
      </c>
      <c r="B53" s="96"/>
      <c r="C53" s="107"/>
      <c r="D53" s="107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>
        <v>98.9</v>
      </c>
      <c r="Q53" s="83"/>
      <c r="R53" s="83"/>
      <c r="S53" s="83">
        <f t="shared" si="0"/>
        <v>98.9</v>
      </c>
    </row>
    <row r="54" spans="1:19" x14ac:dyDescent="0.25">
      <c r="A54" s="82" t="s">
        <v>311</v>
      </c>
      <c r="B54" s="96"/>
      <c r="C54" s="107"/>
      <c r="D54" s="107"/>
      <c r="E54" s="83"/>
      <c r="F54" s="83">
        <v>28</v>
      </c>
      <c r="G54" s="83">
        <v>45.5</v>
      </c>
      <c r="H54" s="83"/>
      <c r="I54" s="83"/>
      <c r="J54" s="83"/>
      <c r="K54" s="83"/>
      <c r="L54" s="83"/>
      <c r="M54" s="83"/>
      <c r="N54" s="83"/>
      <c r="O54" s="83"/>
      <c r="P54" s="83">
        <v>109</v>
      </c>
      <c r="Q54" s="83"/>
      <c r="R54" s="83"/>
      <c r="S54" s="83">
        <f t="shared" si="0"/>
        <v>182.5</v>
      </c>
    </row>
    <row r="55" spans="1:19" x14ac:dyDescent="0.25">
      <c r="A55" s="82" t="s">
        <v>194</v>
      </c>
      <c r="B55" s="96"/>
      <c r="C55" s="107"/>
      <c r="D55" s="107"/>
      <c r="E55" s="83"/>
      <c r="F55" s="83"/>
      <c r="G55" s="83"/>
      <c r="H55" s="83"/>
      <c r="I55" s="83"/>
      <c r="J55" s="83"/>
      <c r="K55" s="83"/>
      <c r="L55" s="83">
        <v>186.16599999999997</v>
      </c>
      <c r="M55" s="83"/>
      <c r="N55" s="83"/>
      <c r="O55" s="83"/>
      <c r="P55" s="83">
        <v>50</v>
      </c>
      <c r="Q55" s="83"/>
      <c r="R55" s="83"/>
      <c r="S55" s="83">
        <f t="shared" si="0"/>
        <v>236.16599999999997</v>
      </c>
    </row>
    <row r="56" spans="1:19" x14ac:dyDescent="0.25">
      <c r="A56" s="82" t="s">
        <v>192</v>
      </c>
      <c r="B56" s="96"/>
      <c r="C56" s="107"/>
      <c r="D56" s="107"/>
      <c r="E56" s="83"/>
      <c r="F56" s="83"/>
      <c r="G56" s="83"/>
      <c r="H56" s="83"/>
      <c r="I56" s="83"/>
      <c r="J56" s="83"/>
      <c r="K56" s="83"/>
      <c r="L56" s="83"/>
      <c r="M56" s="83">
        <v>127.96499999999999</v>
      </c>
      <c r="N56" s="83"/>
      <c r="O56" s="83"/>
      <c r="P56" s="83"/>
      <c r="Q56" s="83"/>
      <c r="R56" s="83"/>
      <c r="S56" s="83">
        <f t="shared" si="0"/>
        <v>127.96499999999999</v>
      </c>
    </row>
    <row r="57" spans="1:19" x14ac:dyDescent="0.25">
      <c r="A57" s="82" t="s">
        <v>143</v>
      </c>
      <c r="B57" s="96">
        <v>20</v>
      </c>
      <c r="C57" s="107">
        <v>79.315999999999988</v>
      </c>
      <c r="D57" s="107">
        <v>81.849999999999994</v>
      </c>
      <c r="E57" s="83">
        <v>13.759</v>
      </c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f t="shared" si="0"/>
        <v>194.92500000000001</v>
      </c>
    </row>
    <row r="58" spans="1:19" x14ac:dyDescent="0.25">
      <c r="A58" s="82" t="s">
        <v>146</v>
      </c>
      <c r="B58" s="96"/>
      <c r="C58" s="107"/>
      <c r="D58" s="10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>
        <v>157.28300000000002</v>
      </c>
      <c r="R58" s="83"/>
      <c r="S58" s="83">
        <f t="shared" si="0"/>
        <v>157.28300000000002</v>
      </c>
    </row>
    <row r="59" spans="1:19" x14ac:dyDescent="0.25">
      <c r="A59" s="82" t="s">
        <v>299</v>
      </c>
      <c r="B59" s="96"/>
      <c r="C59" s="107"/>
      <c r="D59" s="107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>
        <v>55.365000000000002</v>
      </c>
      <c r="P59" s="83"/>
      <c r="Q59" s="83"/>
      <c r="R59" s="83"/>
      <c r="S59" s="83">
        <f t="shared" si="0"/>
        <v>55.365000000000002</v>
      </c>
    </row>
    <row r="60" spans="1:19" x14ac:dyDescent="0.25">
      <c r="A60" s="82" t="s">
        <v>312</v>
      </c>
      <c r="B60" s="96"/>
      <c r="C60" s="107"/>
      <c r="D60" s="107"/>
      <c r="E60" s="83">
        <v>20</v>
      </c>
      <c r="F60" s="83"/>
      <c r="G60" s="83"/>
      <c r="H60" s="83"/>
      <c r="I60" s="83"/>
      <c r="J60" s="83"/>
      <c r="K60" s="83"/>
      <c r="L60" s="83"/>
      <c r="M60" s="83">
        <v>85</v>
      </c>
      <c r="N60" s="83"/>
      <c r="O60" s="83"/>
      <c r="P60" s="83"/>
      <c r="Q60" s="83">
        <v>66</v>
      </c>
      <c r="R60" s="83"/>
      <c r="S60" s="83">
        <f t="shared" si="0"/>
        <v>171</v>
      </c>
    </row>
    <row r="61" spans="1:19" x14ac:dyDescent="0.25">
      <c r="A61" s="82" t="s">
        <v>133</v>
      </c>
      <c r="B61" s="96"/>
      <c r="C61" s="107"/>
      <c r="D61" s="10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>
        <v>120.45000000000002</v>
      </c>
      <c r="Q61" s="83"/>
      <c r="R61" s="83"/>
      <c r="S61" s="83">
        <f t="shared" si="0"/>
        <v>120.45000000000002</v>
      </c>
    </row>
    <row r="62" spans="1:19" x14ac:dyDescent="0.25">
      <c r="A62" s="82" t="s">
        <v>140</v>
      </c>
      <c r="B62" s="96"/>
      <c r="C62" s="107"/>
      <c r="D62" s="107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123.19999999999999</v>
      </c>
      <c r="R62" s="83"/>
      <c r="S62" s="83">
        <f t="shared" si="0"/>
        <v>123.19999999999999</v>
      </c>
    </row>
    <row r="63" spans="1:19" x14ac:dyDescent="0.25">
      <c r="A63" s="82" t="s">
        <v>222</v>
      </c>
      <c r="B63" s="96"/>
      <c r="C63" s="107"/>
      <c r="D63" s="107"/>
      <c r="E63" s="83"/>
      <c r="F63" s="83"/>
      <c r="G63" s="83">
        <v>104.718</v>
      </c>
      <c r="H63" s="83"/>
      <c r="I63" s="83"/>
      <c r="J63" s="83"/>
      <c r="K63" s="83"/>
      <c r="L63" s="83"/>
      <c r="M63" s="83"/>
      <c r="N63" s="83"/>
      <c r="O63" s="83"/>
      <c r="P63" s="83">
        <v>77.400000000000006</v>
      </c>
      <c r="Q63" s="83"/>
      <c r="R63" s="83"/>
      <c r="S63" s="83">
        <f t="shared" si="0"/>
        <v>182.11799999999999</v>
      </c>
    </row>
    <row r="64" spans="1:19" x14ac:dyDescent="0.25">
      <c r="A64" s="82" t="s">
        <v>162</v>
      </c>
      <c r="B64" s="2">
        <v>7.1999999999999993</v>
      </c>
      <c r="C64" s="107">
        <v>168.76</v>
      </c>
      <c r="D64" s="107"/>
      <c r="E64" s="83">
        <v>18.881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>
        <f t="shared" si="0"/>
        <v>194.84099999999998</v>
      </c>
    </row>
    <row r="65" spans="1:19" x14ac:dyDescent="0.25">
      <c r="A65" s="82" t="s">
        <v>223</v>
      </c>
      <c r="B65" s="96"/>
      <c r="C65" s="107"/>
      <c r="D65" s="107"/>
      <c r="E65" s="83">
        <v>12.773</v>
      </c>
      <c r="F65" s="83"/>
      <c r="G65" s="83"/>
      <c r="H65" s="83"/>
      <c r="I65" s="83"/>
      <c r="J65" s="83"/>
      <c r="K65" s="83"/>
      <c r="L65" s="83"/>
      <c r="M65" s="83">
        <v>8.8149999999999995</v>
      </c>
      <c r="N65" s="83"/>
      <c r="O65" s="83"/>
      <c r="P65" s="83"/>
      <c r="Q65" s="83"/>
      <c r="R65" s="83"/>
      <c r="S65" s="83">
        <f t="shared" si="0"/>
        <v>21.588000000000001</v>
      </c>
    </row>
    <row r="66" spans="1:19" x14ac:dyDescent="0.25">
      <c r="A66" s="82" t="s">
        <v>184</v>
      </c>
      <c r="B66" s="96">
        <v>5</v>
      </c>
      <c r="C66" s="107"/>
      <c r="D66" s="107"/>
      <c r="E66" s="83"/>
      <c r="F66" s="83"/>
      <c r="G66" s="83"/>
      <c r="H66" s="83"/>
      <c r="I66" s="83"/>
      <c r="J66" s="83"/>
      <c r="K66" s="83"/>
      <c r="L66" s="83">
        <v>174.60799999999998</v>
      </c>
      <c r="M66" s="83"/>
      <c r="N66" s="83"/>
      <c r="O66" s="83"/>
      <c r="P66" s="83">
        <v>52.39</v>
      </c>
      <c r="Q66" s="83"/>
      <c r="R66" s="83"/>
      <c r="S66" s="83">
        <f t="shared" si="0"/>
        <v>231.99799999999999</v>
      </c>
    </row>
    <row r="67" spans="1:19" x14ac:dyDescent="0.25">
      <c r="A67" s="82" t="s">
        <v>148</v>
      </c>
      <c r="B67" s="96"/>
      <c r="C67" s="107"/>
      <c r="D67" s="107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>
        <v>188.61999999999995</v>
      </c>
      <c r="P67" s="83"/>
      <c r="Q67" s="83"/>
      <c r="R67" s="83"/>
      <c r="S67" s="83">
        <f t="shared" si="0"/>
        <v>188.61999999999995</v>
      </c>
    </row>
    <row r="68" spans="1:19" x14ac:dyDescent="0.25">
      <c r="A68" s="82" t="s">
        <v>296</v>
      </c>
      <c r="B68" s="96">
        <v>194</v>
      </c>
      <c r="C68" s="107"/>
      <c r="D68" s="107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>
        <f t="shared" ref="S68:S102" si="1">SUM(B68:R68)</f>
        <v>194</v>
      </c>
    </row>
    <row r="69" spans="1:19" x14ac:dyDescent="0.25">
      <c r="A69" s="82" t="s">
        <v>167</v>
      </c>
      <c r="B69" s="96"/>
      <c r="C69" s="107"/>
      <c r="D69" s="10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>
        <v>148.17999999999998</v>
      </c>
      <c r="Q69" s="83"/>
      <c r="R69" s="83"/>
      <c r="S69" s="83">
        <f t="shared" si="1"/>
        <v>148.17999999999998</v>
      </c>
    </row>
    <row r="70" spans="1:19" x14ac:dyDescent="0.25">
      <c r="A70" s="82" t="s">
        <v>200</v>
      </c>
      <c r="B70" s="96"/>
      <c r="C70" s="107"/>
      <c r="D70" s="107"/>
      <c r="E70" s="83"/>
      <c r="F70" s="83"/>
      <c r="G70" s="83"/>
      <c r="H70" s="83">
        <v>47.044999999999995</v>
      </c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f t="shared" si="1"/>
        <v>47.044999999999995</v>
      </c>
    </row>
    <row r="71" spans="1:19" x14ac:dyDescent="0.25">
      <c r="A71" s="82" t="s">
        <v>199</v>
      </c>
      <c r="B71" s="96"/>
      <c r="C71" s="107"/>
      <c r="D71" s="107"/>
      <c r="E71" s="83"/>
      <c r="F71" s="83"/>
      <c r="G71" s="83"/>
      <c r="H71" s="83"/>
      <c r="I71" s="83">
        <v>159.54399999999995</v>
      </c>
      <c r="J71" s="83"/>
      <c r="K71" s="83"/>
      <c r="L71" s="83"/>
      <c r="M71" s="83"/>
      <c r="N71" s="83"/>
      <c r="O71" s="83"/>
      <c r="P71" s="83"/>
      <c r="Q71" s="83"/>
      <c r="R71" s="83"/>
      <c r="S71" s="83">
        <f t="shared" si="1"/>
        <v>159.54399999999995</v>
      </c>
    </row>
    <row r="72" spans="1:19" x14ac:dyDescent="0.25">
      <c r="A72" s="82" t="s">
        <v>225</v>
      </c>
      <c r="B72" s="96"/>
      <c r="C72" s="107"/>
      <c r="D72" s="107"/>
      <c r="E72" s="83"/>
      <c r="F72" s="83"/>
      <c r="G72" s="83"/>
      <c r="H72" s="83"/>
      <c r="I72" s="83"/>
      <c r="J72" s="83"/>
      <c r="K72" s="83"/>
      <c r="L72" s="83"/>
      <c r="M72" s="83">
        <v>113.82</v>
      </c>
      <c r="N72" s="83"/>
      <c r="O72" s="83"/>
      <c r="P72" s="83"/>
      <c r="Q72" s="83"/>
      <c r="R72" s="83">
        <v>32.013000000000005</v>
      </c>
      <c r="S72" s="83">
        <f t="shared" si="1"/>
        <v>145.833</v>
      </c>
    </row>
    <row r="73" spans="1:19" x14ac:dyDescent="0.25">
      <c r="A73" s="82" t="s">
        <v>226</v>
      </c>
      <c r="B73" s="96"/>
      <c r="C73" s="107"/>
      <c r="D73" s="107"/>
      <c r="E73" s="83"/>
      <c r="F73" s="83"/>
      <c r="G73" s="83"/>
      <c r="H73" s="83"/>
      <c r="I73" s="83">
        <v>122.94899999999996</v>
      </c>
      <c r="J73" s="83"/>
      <c r="K73" s="83"/>
      <c r="L73" s="83"/>
      <c r="M73" s="83"/>
      <c r="N73" s="83"/>
      <c r="O73" s="83"/>
      <c r="P73" s="83"/>
      <c r="Q73" s="83"/>
      <c r="R73" s="83"/>
      <c r="S73" s="83">
        <f t="shared" si="1"/>
        <v>122.94899999999996</v>
      </c>
    </row>
    <row r="74" spans="1:19" x14ac:dyDescent="0.25">
      <c r="A74" s="82" t="s">
        <v>324</v>
      </c>
      <c r="B74" s="96">
        <v>62</v>
      </c>
      <c r="C74" s="107"/>
      <c r="D74" s="10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f t="shared" si="1"/>
        <v>62</v>
      </c>
    </row>
    <row r="75" spans="1:19" x14ac:dyDescent="0.25">
      <c r="A75" s="82" t="s">
        <v>169</v>
      </c>
      <c r="B75" s="96"/>
      <c r="C75" s="107"/>
      <c r="D75" s="107">
        <v>54.08</v>
      </c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>
        <v>52.03</v>
      </c>
      <c r="P75" s="83"/>
      <c r="Q75" s="83"/>
      <c r="R75" s="83"/>
      <c r="S75" s="83">
        <f t="shared" si="1"/>
        <v>106.11</v>
      </c>
    </row>
    <row r="76" spans="1:19" x14ac:dyDescent="0.25">
      <c r="A76" s="82" t="s">
        <v>120</v>
      </c>
      <c r="B76" s="96"/>
      <c r="C76" s="107"/>
      <c r="D76" s="107"/>
      <c r="E76" s="83"/>
      <c r="F76" s="83"/>
      <c r="G76" s="83"/>
      <c r="H76" s="83"/>
      <c r="I76" s="83"/>
      <c r="J76" s="83"/>
      <c r="K76" s="83"/>
      <c r="L76" s="83"/>
      <c r="M76" s="83"/>
      <c r="N76" s="83">
        <v>127.98</v>
      </c>
      <c r="O76" s="83"/>
      <c r="P76" s="83"/>
      <c r="Q76" s="83"/>
      <c r="R76" s="83"/>
      <c r="S76" s="83">
        <f t="shared" si="1"/>
        <v>127.98</v>
      </c>
    </row>
    <row r="77" spans="1:19" x14ac:dyDescent="0.25">
      <c r="A77" s="82" t="s">
        <v>124</v>
      </c>
      <c r="B77" s="96"/>
      <c r="C77" s="107"/>
      <c r="D77" s="107"/>
      <c r="E77" s="83"/>
      <c r="F77" s="83"/>
      <c r="G77" s="83"/>
      <c r="H77" s="83"/>
      <c r="I77" s="83"/>
      <c r="J77" s="83"/>
      <c r="K77" s="83"/>
      <c r="L77" s="83"/>
      <c r="M77" s="83">
        <v>94.855000000000004</v>
      </c>
      <c r="N77" s="83"/>
      <c r="O77" s="83"/>
      <c r="P77" s="83"/>
      <c r="Q77" s="83"/>
      <c r="R77" s="83">
        <v>14.547000000000001</v>
      </c>
      <c r="S77" s="83">
        <f t="shared" si="1"/>
        <v>109.402</v>
      </c>
    </row>
    <row r="78" spans="1:19" x14ac:dyDescent="0.25">
      <c r="A78" s="82" t="s">
        <v>177</v>
      </c>
      <c r="B78" s="2">
        <v>6.6</v>
      </c>
      <c r="C78" s="107">
        <v>10.379</v>
      </c>
      <c r="D78" s="107"/>
      <c r="E78" s="83"/>
      <c r="F78" s="83"/>
      <c r="G78" s="83"/>
      <c r="H78" s="83"/>
      <c r="I78" s="83"/>
      <c r="J78" s="83"/>
      <c r="K78" s="83"/>
      <c r="L78" s="83"/>
      <c r="M78" s="83"/>
      <c r="N78" s="83">
        <v>171.16000000000003</v>
      </c>
      <c r="O78" s="83"/>
      <c r="P78" s="83"/>
      <c r="Q78" s="83"/>
      <c r="R78" s="83"/>
      <c r="S78" s="83">
        <f t="shared" si="1"/>
        <v>188.13900000000001</v>
      </c>
    </row>
    <row r="79" spans="1:19" x14ac:dyDescent="0.25">
      <c r="A79" s="82" t="s">
        <v>178</v>
      </c>
      <c r="B79" s="96"/>
      <c r="C79" s="107"/>
      <c r="D79" s="107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>
        <v>126.25999999999998</v>
      </c>
      <c r="P79" s="83"/>
      <c r="Q79" s="83"/>
      <c r="R79" s="83"/>
      <c r="S79" s="83">
        <f t="shared" si="1"/>
        <v>126.25999999999998</v>
      </c>
    </row>
    <row r="80" spans="1:19" x14ac:dyDescent="0.25">
      <c r="A80" s="82" t="s">
        <v>126</v>
      </c>
      <c r="B80" s="96"/>
      <c r="C80" s="107">
        <v>61.35</v>
      </c>
      <c r="D80" s="107">
        <v>140.43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f t="shared" si="1"/>
        <v>201.78</v>
      </c>
    </row>
    <row r="81" spans="1:19" x14ac:dyDescent="0.25">
      <c r="A81" s="82" t="s">
        <v>227</v>
      </c>
      <c r="B81" s="96">
        <v>215</v>
      </c>
      <c r="C81" s="107"/>
      <c r="D81" s="107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>
        <f t="shared" si="1"/>
        <v>215</v>
      </c>
    </row>
    <row r="82" spans="1:19" x14ac:dyDescent="0.25">
      <c r="A82" s="82" t="s">
        <v>186</v>
      </c>
      <c r="B82" s="35"/>
      <c r="C82" s="107">
        <v>154.47</v>
      </c>
      <c r="D82" s="107"/>
      <c r="E82" s="83">
        <v>8.42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f t="shared" si="1"/>
        <v>162.88999999999999</v>
      </c>
    </row>
    <row r="83" spans="1:19" x14ac:dyDescent="0.25">
      <c r="A83" s="82" t="s">
        <v>195</v>
      </c>
      <c r="B83" s="35"/>
      <c r="C83" s="107"/>
      <c r="D83" s="107"/>
      <c r="E83" s="83"/>
      <c r="F83" s="83"/>
      <c r="G83" s="83">
        <v>103.65499999999999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>
        <f t="shared" si="1"/>
        <v>103.65499999999999</v>
      </c>
    </row>
    <row r="84" spans="1:19" x14ac:dyDescent="0.25">
      <c r="A84" s="82" t="s">
        <v>165</v>
      </c>
      <c r="B84" s="35"/>
      <c r="C84" s="107"/>
      <c r="D84" s="107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>
        <v>95.77000000000001</v>
      </c>
      <c r="P84" s="83"/>
      <c r="Q84" s="83"/>
      <c r="R84" s="83"/>
      <c r="S84" s="83">
        <f t="shared" si="1"/>
        <v>95.77000000000001</v>
      </c>
    </row>
    <row r="85" spans="1:19" x14ac:dyDescent="0.25">
      <c r="A85" s="82" t="s">
        <v>137</v>
      </c>
      <c r="B85" s="35"/>
      <c r="C85" s="107"/>
      <c r="D85" s="107"/>
      <c r="E85" s="83"/>
      <c r="F85" s="83">
        <v>136.27999999999997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f t="shared" si="1"/>
        <v>136.27999999999997</v>
      </c>
    </row>
    <row r="86" spans="1:19" x14ac:dyDescent="0.25">
      <c r="A86" s="82" t="s">
        <v>141</v>
      </c>
      <c r="B86" s="35"/>
      <c r="C86" s="107"/>
      <c r="D86" s="107"/>
      <c r="E86" s="83"/>
      <c r="F86" s="83"/>
      <c r="G86" s="83"/>
      <c r="H86" s="83"/>
      <c r="I86" s="83"/>
      <c r="J86" s="83"/>
      <c r="K86" s="83"/>
      <c r="L86" s="83"/>
      <c r="M86" s="83"/>
      <c r="N86" s="83">
        <v>86.179999999999993</v>
      </c>
      <c r="O86" s="83"/>
      <c r="P86" s="83"/>
      <c r="Q86" s="83"/>
      <c r="R86" s="83"/>
      <c r="S86" s="83">
        <f t="shared" si="1"/>
        <v>86.179999999999993</v>
      </c>
    </row>
    <row r="87" spans="1:19" x14ac:dyDescent="0.25">
      <c r="A87" s="82" t="s">
        <v>203</v>
      </c>
      <c r="B87" s="35">
        <v>50</v>
      </c>
      <c r="C87" s="107"/>
      <c r="D87" s="107"/>
      <c r="E87" s="83"/>
      <c r="F87" s="83"/>
      <c r="G87" s="83"/>
      <c r="H87" s="83"/>
      <c r="I87" s="83"/>
      <c r="J87" s="83"/>
      <c r="K87" s="83"/>
      <c r="L87" s="83"/>
      <c r="M87" s="83"/>
      <c r="N87" s="83">
        <v>142.03</v>
      </c>
      <c r="O87" s="83"/>
      <c r="P87" s="83"/>
      <c r="Q87" s="83"/>
      <c r="R87" s="83"/>
      <c r="S87" s="83">
        <f t="shared" si="1"/>
        <v>192.03</v>
      </c>
    </row>
    <row r="88" spans="1:19" x14ac:dyDescent="0.25">
      <c r="A88" s="82" t="s">
        <v>313</v>
      </c>
      <c r="B88" s="35"/>
      <c r="C88" s="107">
        <v>50</v>
      </c>
      <c r="D88" s="107">
        <v>20</v>
      </c>
      <c r="E88" s="83"/>
      <c r="F88" s="83"/>
      <c r="G88" s="83"/>
      <c r="H88" s="83"/>
      <c r="I88" s="83"/>
      <c r="J88" s="83"/>
      <c r="K88" s="83"/>
      <c r="L88" s="83"/>
      <c r="M88" s="83"/>
      <c r="N88" s="83">
        <v>130</v>
      </c>
      <c r="O88" s="83">
        <v>170</v>
      </c>
      <c r="P88" s="83"/>
      <c r="Q88" s="83"/>
      <c r="R88" s="83"/>
      <c r="S88" s="83">
        <f t="shared" si="1"/>
        <v>370</v>
      </c>
    </row>
    <row r="89" spans="1:19" x14ac:dyDescent="0.25">
      <c r="A89" s="82" t="s">
        <v>202</v>
      </c>
      <c r="B89" s="35"/>
      <c r="C89" s="107"/>
      <c r="D89" s="107"/>
      <c r="E89" s="83"/>
      <c r="F89" s="83"/>
      <c r="G89" s="83"/>
      <c r="H89" s="83"/>
      <c r="I89" s="83">
        <f>115.635+83.77</f>
        <v>199.405</v>
      </c>
      <c r="J89" s="83"/>
      <c r="K89" s="83"/>
      <c r="L89" s="83"/>
      <c r="M89" s="83"/>
      <c r="N89" s="83"/>
      <c r="O89" s="83"/>
      <c r="P89" s="83"/>
      <c r="Q89" s="83"/>
      <c r="R89" s="83"/>
      <c r="S89" s="83">
        <f t="shared" si="1"/>
        <v>199.405</v>
      </c>
    </row>
    <row r="90" spans="1:19" x14ac:dyDescent="0.25">
      <c r="A90" s="82" t="s">
        <v>164</v>
      </c>
      <c r="B90" s="35"/>
      <c r="C90" s="107"/>
      <c r="D90" s="107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141.63</v>
      </c>
      <c r="Q90" s="83"/>
      <c r="R90" s="83"/>
      <c r="S90" s="83">
        <f t="shared" si="1"/>
        <v>141.63</v>
      </c>
    </row>
    <row r="91" spans="1:19" x14ac:dyDescent="0.25">
      <c r="A91" s="82" t="s">
        <v>138</v>
      </c>
      <c r="B91" s="35"/>
      <c r="C91" s="107"/>
      <c r="D91" s="107"/>
      <c r="E91" s="83"/>
      <c r="F91" s="83"/>
      <c r="G91" s="83"/>
      <c r="H91" s="83"/>
      <c r="I91" s="83">
        <f>98.026+87.6</f>
        <v>185.62599999999998</v>
      </c>
      <c r="J91" s="83"/>
      <c r="K91" s="83"/>
      <c r="L91" s="83"/>
      <c r="M91" s="83"/>
      <c r="N91" s="83"/>
      <c r="O91" s="83"/>
      <c r="P91" s="83"/>
      <c r="Q91" s="83"/>
      <c r="R91" s="83"/>
      <c r="S91" s="83">
        <f t="shared" si="1"/>
        <v>185.62599999999998</v>
      </c>
    </row>
    <row r="92" spans="1:19" x14ac:dyDescent="0.25">
      <c r="A92" s="82" t="s">
        <v>190</v>
      </c>
      <c r="B92" s="35"/>
      <c r="C92" s="107"/>
      <c r="D92" s="107"/>
      <c r="E92" s="83"/>
      <c r="F92" s="83"/>
      <c r="G92" s="83"/>
      <c r="H92" s="83"/>
      <c r="I92" s="83">
        <v>185.46999999999997</v>
      </c>
      <c r="J92" s="83"/>
      <c r="K92" s="83"/>
      <c r="L92" s="83"/>
      <c r="M92" s="83"/>
      <c r="N92" s="83"/>
      <c r="O92" s="83"/>
      <c r="P92" s="83"/>
      <c r="Q92" s="83"/>
      <c r="R92" s="83"/>
      <c r="S92" s="83">
        <f t="shared" si="1"/>
        <v>185.46999999999997</v>
      </c>
    </row>
    <row r="93" spans="1:19" x14ac:dyDescent="0.25">
      <c r="A93" s="82" t="s">
        <v>166</v>
      </c>
      <c r="B93" s="35"/>
      <c r="C93" s="107">
        <v>84.390000000000015</v>
      </c>
      <c r="D93" s="107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f t="shared" si="1"/>
        <v>84.390000000000015</v>
      </c>
    </row>
    <row r="94" spans="1:19" x14ac:dyDescent="0.25">
      <c r="A94" s="82" t="s">
        <v>179</v>
      </c>
      <c r="B94" s="42">
        <v>9.6</v>
      </c>
      <c r="C94" s="107"/>
      <c r="D94" s="107"/>
      <c r="E94" s="83"/>
      <c r="F94" s="83"/>
      <c r="G94" s="83"/>
      <c r="H94" s="83"/>
      <c r="I94" s="83"/>
      <c r="J94" s="83"/>
      <c r="K94" s="83"/>
      <c r="L94" s="83"/>
      <c r="M94" s="83"/>
      <c r="N94" s="83">
        <v>107.33999999999999</v>
      </c>
      <c r="O94" s="83"/>
      <c r="P94" s="83"/>
      <c r="Q94" s="83"/>
      <c r="R94" s="83"/>
      <c r="S94" s="83">
        <f t="shared" si="1"/>
        <v>116.93999999999998</v>
      </c>
    </row>
    <row r="95" spans="1:19" x14ac:dyDescent="0.25">
      <c r="A95" s="82" t="s">
        <v>228</v>
      </c>
      <c r="B95" s="35"/>
      <c r="C95" s="107"/>
      <c r="D95" s="107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>
        <v>182.76</v>
      </c>
      <c r="P95" s="83"/>
      <c r="Q95" s="83"/>
      <c r="R95" s="83"/>
      <c r="S95" s="83">
        <f t="shared" si="1"/>
        <v>182.76</v>
      </c>
    </row>
    <row r="96" spans="1:19" x14ac:dyDescent="0.25">
      <c r="A96" s="82" t="s">
        <v>181</v>
      </c>
      <c r="B96" s="35"/>
      <c r="C96" s="107">
        <v>155.91000000000003</v>
      </c>
      <c r="D96" s="107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>
        <f t="shared" si="1"/>
        <v>155.91000000000003</v>
      </c>
    </row>
    <row r="97" spans="1:20" x14ac:dyDescent="0.25">
      <c r="A97" s="82" t="s">
        <v>129</v>
      </c>
      <c r="B97" s="35"/>
      <c r="C97" s="107"/>
      <c r="D97" s="107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>
        <v>139.42000000000002</v>
      </c>
      <c r="P97" s="83"/>
      <c r="Q97" s="83"/>
      <c r="R97" s="83"/>
      <c r="S97" s="83">
        <f t="shared" si="1"/>
        <v>139.42000000000002</v>
      </c>
    </row>
    <row r="98" spans="1:20" x14ac:dyDescent="0.25">
      <c r="A98" s="82" t="s">
        <v>161</v>
      </c>
      <c r="B98" s="35"/>
      <c r="C98" s="107"/>
      <c r="D98" s="107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>
        <v>159.99999999999994</v>
      </c>
      <c r="P98" s="83"/>
      <c r="Q98" s="83"/>
      <c r="R98" s="83"/>
      <c r="S98" s="83">
        <f t="shared" si="1"/>
        <v>159.99999999999994</v>
      </c>
    </row>
    <row r="99" spans="1:20" x14ac:dyDescent="0.25">
      <c r="A99" s="82" t="s">
        <v>127</v>
      </c>
      <c r="B99" s="35"/>
      <c r="C99" s="107"/>
      <c r="D99" s="107"/>
      <c r="E99" s="83"/>
      <c r="F99" s="83"/>
      <c r="G99" s="83"/>
      <c r="H99" s="83">
        <v>20</v>
      </c>
      <c r="I99" s="83"/>
      <c r="J99" s="83">
        <v>20</v>
      </c>
      <c r="K99" s="83">
        <f>56.32+24</f>
        <v>80.319999999999993</v>
      </c>
      <c r="L99" s="83"/>
      <c r="M99" s="83"/>
      <c r="N99" s="83"/>
      <c r="O99" s="83"/>
      <c r="P99" s="83"/>
      <c r="Q99" s="83"/>
      <c r="R99" s="83"/>
      <c r="S99" s="83">
        <f t="shared" si="1"/>
        <v>120.32</v>
      </c>
    </row>
    <row r="100" spans="1:20" x14ac:dyDescent="0.25">
      <c r="A100" s="82" t="s">
        <v>157</v>
      </c>
      <c r="B100" s="35"/>
      <c r="C100" s="107"/>
      <c r="D100" s="107"/>
      <c r="E100" s="83"/>
      <c r="F100" s="83"/>
      <c r="G100" s="83"/>
      <c r="H100" s="83">
        <v>20</v>
      </c>
      <c r="I100" s="83"/>
      <c r="J100" s="83">
        <f>25.119+20</f>
        <v>45.119</v>
      </c>
      <c r="K100" s="83">
        <f>38.568+20</f>
        <v>58.567999999999998</v>
      </c>
      <c r="L100" s="83"/>
      <c r="M100" s="83"/>
      <c r="N100" s="83"/>
      <c r="O100" s="83"/>
      <c r="P100" s="83"/>
      <c r="Q100" s="83"/>
      <c r="R100" s="83"/>
      <c r="S100" s="83">
        <f t="shared" si="1"/>
        <v>123.687</v>
      </c>
    </row>
    <row r="101" spans="1:20" x14ac:dyDescent="0.25">
      <c r="A101" s="82" t="s">
        <v>144</v>
      </c>
      <c r="B101" s="35"/>
      <c r="C101" s="107"/>
      <c r="D101" s="107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>
        <v>21.64</v>
      </c>
      <c r="Q101" s="83"/>
      <c r="R101" s="83"/>
      <c r="S101" s="83">
        <f t="shared" si="1"/>
        <v>21.64</v>
      </c>
    </row>
    <row r="102" spans="1:20" x14ac:dyDescent="0.25">
      <c r="A102" s="82" t="s">
        <v>132</v>
      </c>
      <c r="B102" s="35"/>
      <c r="C102" s="107"/>
      <c r="D102" s="107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>
        <v>147.26</v>
      </c>
      <c r="Q102" s="83"/>
      <c r="R102" s="83"/>
      <c r="S102" s="83">
        <f t="shared" si="1"/>
        <v>147.26</v>
      </c>
    </row>
    <row r="103" spans="1:20" x14ac:dyDescent="0.25">
      <c r="A103" s="104" t="s">
        <v>216</v>
      </c>
      <c r="B103" s="109">
        <f>SUM(B2:B102)</f>
        <v>1226</v>
      </c>
      <c r="C103" s="105">
        <f t="shared" ref="C103:R103" si="2">SUM(C2:C102)</f>
        <v>2314.2259999999997</v>
      </c>
      <c r="D103" s="105">
        <f>SUM(D2:D102)</f>
        <v>741.24</v>
      </c>
      <c r="E103" s="105">
        <f t="shared" si="2"/>
        <v>355.77600000000001</v>
      </c>
      <c r="F103" s="105">
        <f t="shared" si="2"/>
        <v>303.83999999999992</v>
      </c>
      <c r="G103" s="105">
        <f t="shared" si="2"/>
        <v>451.11099999999999</v>
      </c>
      <c r="H103" s="105">
        <f>SUM(H2:H102)</f>
        <v>398.84500000000003</v>
      </c>
      <c r="I103" s="105">
        <f t="shared" si="2"/>
        <v>1923.6069999999997</v>
      </c>
      <c r="J103" s="105">
        <f t="shared" si="2"/>
        <v>248.08500000000001</v>
      </c>
      <c r="K103" s="105">
        <f t="shared" si="2"/>
        <v>193.19499999999999</v>
      </c>
      <c r="L103" s="105">
        <f t="shared" si="2"/>
        <v>791.52499999999998</v>
      </c>
      <c r="M103" s="105">
        <f>SUM(M2:M102)</f>
        <v>767.17000000000007</v>
      </c>
      <c r="N103" s="105">
        <f t="shared" si="2"/>
        <v>1248.3399999999999</v>
      </c>
      <c r="O103" s="105">
        <f t="shared" si="2"/>
        <v>1726.4669999999999</v>
      </c>
      <c r="P103" s="105">
        <f t="shared" si="2"/>
        <v>1082.0999999999999</v>
      </c>
      <c r="Q103" s="105">
        <f t="shared" si="2"/>
        <v>683.66100000000006</v>
      </c>
      <c r="R103" s="105">
        <f t="shared" si="2"/>
        <v>108.693</v>
      </c>
      <c r="S103" s="106">
        <f>SUM(S2:S102)</f>
        <v>14563.881000000003</v>
      </c>
    </row>
    <row r="104" spans="1:20" s="17" customFormat="1" x14ac:dyDescent="0.25">
      <c r="A104" s="86" t="s">
        <v>94</v>
      </c>
      <c r="B104" s="42">
        <v>0</v>
      </c>
      <c r="C104" s="42">
        <v>250</v>
      </c>
      <c r="D104" s="42">
        <v>18.5</v>
      </c>
      <c r="E104" s="42">
        <v>139</v>
      </c>
      <c r="F104" s="42">
        <v>0.2</v>
      </c>
      <c r="G104" s="42">
        <v>3.89</v>
      </c>
      <c r="H104" s="35"/>
      <c r="I104" s="42">
        <v>6.4</v>
      </c>
      <c r="J104" s="35">
        <f>250-J103</f>
        <v>1.914999999999992</v>
      </c>
      <c r="K104" s="35"/>
      <c r="L104" s="42">
        <v>8.5</v>
      </c>
      <c r="M104" s="42">
        <v>82</v>
      </c>
      <c r="N104" s="42">
        <v>25</v>
      </c>
      <c r="O104" s="42">
        <v>0</v>
      </c>
      <c r="P104" s="42">
        <v>11.93</v>
      </c>
      <c r="Q104" s="42">
        <v>101</v>
      </c>
      <c r="R104" s="42">
        <v>0</v>
      </c>
      <c r="S104" s="87">
        <f>SUM(B104:R104)</f>
        <v>648.33499999999992</v>
      </c>
    </row>
    <row r="105" spans="1:20" x14ac:dyDescent="0.25">
      <c r="S105" s="95">
        <v>830</v>
      </c>
      <c r="T105" s="95" t="s">
        <v>318</v>
      </c>
    </row>
    <row r="106" spans="1:20" x14ac:dyDescent="0.25">
      <c r="E106" s="11"/>
    </row>
    <row r="107" spans="1:20" x14ac:dyDescent="0.25">
      <c r="C107" s="11"/>
      <c r="D107" s="11"/>
    </row>
    <row r="109" spans="1:20" x14ac:dyDescent="0.25">
      <c r="M109" s="11"/>
    </row>
    <row r="110" spans="1:20" s="17" customFormat="1" x14ac:dyDescent="0.25"/>
  </sheetData>
  <autoFilter ref="A1:S105"/>
  <customSheetViews>
    <customSheetView guid="{DA8006FA-F549-4B7E-8C3D-B376CE1F2F3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F0DA5CBD-521B-45E5-999C-010E89D9B2D8}" showAutoFilter="1">
      <pane ySplit="1" topLeftCell="A56" activePane="bottomLeft" state="frozen"/>
      <selection pane="bottomLeft" activeCell="D105" sqref="D105"/>
      <pageMargins left="0.7" right="0.7" top="0.75" bottom="0.75" header="0.3" footer="0.3"/>
      <autoFilter ref="A1:S105"/>
    </customSheetView>
    <customSheetView guid="{5F1CCD53-A6B6-4801-9001-0C0BEBA8D20D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D364304B-E18C-453B-A624-DE6197120D49}" scale="115" showAutoFilter="1">
      <pane xSplit="1" ySplit="1" topLeftCell="B86" activePane="bottomRight" state="frozen"/>
      <selection pane="bottomRight" activeCell="H105" sqref="H105"/>
      <pageMargins left="0.7" right="0.7" top="0.75" bottom="0.75" header="0.3" footer="0.3"/>
      <autoFilter ref="A1:S105"/>
    </customSheetView>
    <customSheetView guid="{BDA34D52-B4BA-426C-853B-2B50F8AB0C7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C66BF055-7613-4DC3-BA99-25F44C751266}" scale="85" showAutoFilter="1">
      <pane xSplit="1" ySplit="1" topLeftCell="B86" activePane="bottomRight" state="frozen"/>
      <selection pane="bottomRight" activeCell="S105" sqref="S105"/>
      <pageMargins left="0.7" right="0.7" top="0.75" bottom="0.75" header="0.3" footer="0.3"/>
      <autoFilter ref="A1:S105"/>
    </customSheetView>
    <customSheetView guid="{7A751D0E-E1DB-4CA9-844E-987730CC2DF7}" scale="85" showAutoFilter="1">
      <pane xSplit="1" ySplit="1" topLeftCell="B53" activePane="bottomRight" state="frozen"/>
      <selection pane="bottomRight" activeCell="A74" sqref="A74"/>
      <pageMargins left="0.7" right="0.7" top="0.75" bottom="0.75" header="0.3" footer="0.3"/>
      <autoFilter ref="A1:S105"/>
    </customSheetView>
  </customSheetView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5"/>
  <sheetViews>
    <sheetView zoomScaleNormal="77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C102" sqref="C102"/>
    </sheetView>
  </sheetViews>
  <sheetFormatPr defaultRowHeight="15" x14ac:dyDescent="0.25"/>
  <cols>
    <col min="1" max="1" width="24" bestFit="1" customWidth="1"/>
    <col min="15" max="15" width="9.140625" style="17"/>
    <col min="22" max="22" width="4.7109375" bestFit="1" customWidth="1"/>
    <col min="23" max="23" width="3.855468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30" x14ac:dyDescent="0.25">
      <c r="A1" s="110" t="s">
        <v>0</v>
      </c>
      <c r="B1" s="111" t="s">
        <v>314</v>
      </c>
      <c r="C1" s="111" t="s">
        <v>317</v>
      </c>
      <c r="D1" s="111" t="s">
        <v>321</v>
      </c>
      <c r="E1" s="111" t="s">
        <v>260</v>
      </c>
      <c r="F1" s="111" t="s">
        <v>276</v>
      </c>
      <c r="G1" s="111" t="s">
        <v>277</v>
      </c>
      <c r="H1" s="111" t="s">
        <v>261</v>
      </c>
      <c r="I1" s="111" t="s">
        <v>278</v>
      </c>
      <c r="J1" s="111" t="s">
        <v>279</v>
      </c>
      <c r="K1" s="111" t="s">
        <v>262</v>
      </c>
      <c r="L1" s="111" t="s">
        <v>281</v>
      </c>
      <c r="M1" s="111" t="s">
        <v>305</v>
      </c>
      <c r="N1" s="111" t="s">
        <v>315</v>
      </c>
      <c r="O1" s="111" t="s">
        <v>306</v>
      </c>
      <c r="P1" s="111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42" t="s">
        <v>172</v>
      </c>
      <c r="B2" s="42"/>
      <c r="C2" s="42"/>
      <c r="D2" s="42"/>
      <c r="E2" s="42"/>
      <c r="F2" s="42"/>
      <c r="G2" s="42"/>
      <c r="H2" s="42"/>
      <c r="I2" s="42"/>
      <c r="J2" s="35"/>
      <c r="K2" s="42">
        <v>90.662000000000006</v>
      </c>
      <c r="L2" s="42"/>
      <c r="M2" s="42"/>
      <c r="N2" s="42"/>
      <c r="O2" s="42">
        <v>60</v>
      </c>
      <c r="P2" s="42">
        <f>SUM(B2:O2)</f>
        <v>150.66200000000001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42" t="s">
        <v>128</v>
      </c>
      <c r="B3" s="42"/>
      <c r="C3" s="42"/>
      <c r="D3" s="42"/>
      <c r="E3" s="42"/>
      <c r="F3" s="42"/>
      <c r="G3" s="42"/>
      <c r="H3" s="42">
        <v>150.184</v>
      </c>
      <c r="I3" s="42"/>
      <c r="J3" s="35"/>
      <c r="K3" s="42"/>
      <c r="L3" s="42"/>
      <c r="M3" s="42"/>
      <c r="N3" s="42"/>
      <c r="O3" s="42"/>
      <c r="P3" s="42">
        <f t="shared" ref="P3:P66" si="0">SUM(B3:O3)</f>
        <v>150.184</v>
      </c>
      <c r="V3" s="70" t="s">
        <v>249</v>
      </c>
      <c r="W3" s="66" t="s">
        <v>71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71"/>
    </row>
    <row r="4" spans="1:29" x14ac:dyDescent="0.25">
      <c r="A4" s="42" t="s">
        <v>134</v>
      </c>
      <c r="B4" s="42"/>
      <c r="C4" s="42"/>
      <c r="D4" s="42"/>
      <c r="E4" s="42"/>
      <c r="F4" s="42"/>
      <c r="G4" s="42"/>
      <c r="H4" s="42">
        <v>88.201000000000008</v>
      </c>
      <c r="I4" s="42"/>
      <c r="J4" s="35"/>
      <c r="K4" s="42"/>
      <c r="L4" s="42"/>
      <c r="M4" s="42"/>
      <c r="N4" s="42"/>
      <c r="O4" s="42">
        <v>20</v>
      </c>
      <c r="P4" s="42">
        <f t="shared" si="0"/>
        <v>108.20100000000001</v>
      </c>
      <c r="V4" s="70" t="s">
        <v>322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x14ac:dyDescent="0.25">
      <c r="A5" s="42" t="s">
        <v>139</v>
      </c>
      <c r="B5" s="42">
        <v>13.067</v>
      </c>
      <c r="C5" s="42">
        <v>108.336</v>
      </c>
      <c r="D5" s="42"/>
      <c r="E5" s="42"/>
      <c r="F5" s="42"/>
      <c r="G5" s="42"/>
      <c r="H5" s="42"/>
      <c r="I5" s="42"/>
      <c r="J5" s="35"/>
      <c r="K5" s="42"/>
      <c r="L5" s="42"/>
      <c r="M5" s="42"/>
      <c r="N5" s="42"/>
      <c r="O5" s="42"/>
      <c r="P5" s="42">
        <f t="shared" si="0"/>
        <v>121.40299999999999</v>
      </c>
    </row>
    <row r="6" spans="1:29" x14ac:dyDescent="0.25">
      <c r="A6" s="42" t="s">
        <v>122</v>
      </c>
      <c r="B6" s="42"/>
      <c r="C6" s="42"/>
      <c r="D6" s="42"/>
      <c r="E6" s="42"/>
      <c r="F6" s="42"/>
      <c r="G6" s="42"/>
      <c r="H6" s="42"/>
      <c r="I6" s="42"/>
      <c r="J6" s="35"/>
      <c r="K6" s="42"/>
      <c r="L6" s="42">
        <v>164.22999999999996</v>
      </c>
      <c r="M6" s="42"/>
      <c r="N6" s="42"/>
      <c r="O6" s="42"/>
      <c r="P6" s="42">
        <f t="shared" si="0"/>
        <v>164.22999999999996</v>
      </c>
    </row>
    <row r="7" spans="1:29" x14ac:dyDescent="0.25">
      <c r="A7" s="42" t="s">
        <v>217</v>
      </c>
      <c r="B7" s="42">
        <v>137.624</v>
      </c>
      <c r="C7" s="42"/>
      <c r="D7" s="42"/>
      <c r="E7" s="42"/>
      <c r="F7" s="42"/>
      <c r="G7" s="42"/>
      <c r="H7" s="42"/>
      <c r="I7" s="42"/>
      <c r="J7" s="35"/>
      <c r="K7" s="42"/>
      <c r="L7" s="42"/>
      <c r="M7" s="42"/>
      <c r="N7" s="42"/>
      <c r="O7" s="42"/>
      <c r="P7" s="42">
        <f t="shared" si="0"/>
        <v>137.624</v>
      </c>
    </row>
    <row r="8" spans="1:29" x14ac:dyDescent="0.25">
      <c r="A8" s="42" t="s">
        <v>125</v>
      </c>
      <c r="B8" s="42">
        <v>19.033000000000001</v>
      </c>
      <c r="C8" s="42">
        <v>105.935</v>
      </c>
      <c r="D8" s="42"/>
      <c r="E8" s="42"/>
      <c r="F8" s="42"/>
      <c r="G8" s="42"/>
      <c r="H8" s="42"/>
      <c r="I8" s="42"/>
      <c r="J8" s="35"/>
      <c r="K8" s="42"/>
      <c r="L8" s="42"/>
      <c r="M8" s="42"/>
      <c r="N8" s="42"/>
      <c r="O8" s="42"/>
      <c r="P8" s="42">
        <f t="shared" si="0"/>
        <v>124.968</v>
      </c>
    </row>
    <row r="9" spans="1:29" x14ac:dyDescent="0.25">
      <c r="A9" s="42" t="s">
        <v>158</v>
      </c>
      <c r="B9" s="42"/>
      <c r="C9" s="42"/>
      <c r="D9" s="42"/>
      <c r="E9" s="42"/>
      <c r="F9" s="42"/>
      <c r="G9" s="42">
        <v>10.161</v>
      </c>
      <c r="H9" s="42"/>
      <c r="I9" s="42"/>
      <c r="J9" s="35">
        <v>263.53300000000007</v>
      </c>
      <c r="K9" s="42"/>
      <c r="L9" s="42"/>
      <c r="M9" s="42"/>
      <c r="N9" s="42"/>
      <c r="O9" s="42"/>
      <c r="P9" s="42">
        <f t="shared" si="0"/>
        <v>273.69400000000007</v>
      </c>
    </row>
    <row r="10" spans="1:29" x14ac:dyDescent="0.25">
      <c r="A10" s="42" t="s">
        <v>189</v>
      </c>
      <c r="B10" s="42"/>
      <c r="C10" s="42"/>
      <c r="D10" s="42"/>
      <c r="E10" s="42"/>
      <c r="F10" s="42"/>
      <c r="G10" s="42"/>
      <c r="H10" s="42"/>
      <c r="I10" s="42"/>
      <c r="J10" s="35"/>
      <c r="K10" s="42"/>
      <c r="L10" s="42">
        <v>147.22</v>
      </c>
      <c r="M10" s="42"/>
      <c r="N10" s="42"/>
      <c r="O10" s="42"/>
      <c r="P10" s="42">
        <f t="shared" si="0"/>
        <v>147.22</v>
      </c>
    </row>
    <row r="11" spans="1:29" x14ac:dyDescent="0.25">
      <c r="A11" s="42" t="s">
        <v>185</v>
      </c>
      <c r="B11" s="42">
        <v>40.649000000000001</v>
      </c>
      <c r="C11" s="42"/>
      <c r="D11" s="42"/>
      <c r="E11" s="42"/>
      <c r="F11" s="42"/>
      <c r="G11" s="42"/>
      <c r="H11" s="42"/>
      <c r="I11" s="42">
        <v>36.941000000000003</v>
      </c>
      <c r="J11" s="35"/>
      <c r="K11" s="42"/>
      <c r="L11" s="42"/>
      <c r="M11" s="42"/>
      <c r="N11" s="42">
        <v>17.984999999999999</v>
      </c>
      <c r="O11" s="42"/>
      <c r="P11" s="42">
        <f t="shared" si="0"/>
        <v>95.575000000000003</v>
      </c>
    </row>
    <row r="12" spans="1:29" x14ac:dyDescent="0.25">
      <c r="A12" s="42" t="s">
        <v>149</v>
      </c>
      <c r="B12" s="42"/>
      <c r="C12" s="42"/>
      <c r="D12" s="42"/>
      <c r="E12" s="42"/>
      <c r="F12" s="42"/>
      <c r="G12" s="42"/>
      <c r="H12" s="42"/>
      <c r="I12" s="42"/>
      <c r="J12" s="35"/>
      <c r="K12" s="42"/>
      <c r="L12" s="42"/>
      <c r="M12" s="42">
        <v>56.198</v>
      </c>
      <c r="N12" s="42"/>
      <c r="O12" s="42"/>
      <c r="P12" s="42">
        <f t="shared" si="0"/>
        <v>56.198</v>
      </c>
    </row>
    <row r="13" spans="1:29" x14ac:dyDescent="0.25">
      <c r="A13" s="42" t="s">
        <v>197</v>
      </c>
      <c r="B13" s="42">
        <v>6.7970000000000006</v>
      </c>
      <c r="C13" s="42">
        <v>106.30799999999999</v>
      </c>
      <c r="D13" s="42"/>
      <c r="E13" s="42"/>
      <c r="F13" s="42"/>
      <c r="G13" s="42"/>
      <c r="H13" s="42"/>
      <c r="I13" s="42"/>
      <c r="J13" s="35"/>
      <c r="K13" s="42"/>
      <c r="L13" s="42"/>
      <c r="M13" s="42"/>
      <c r="N13" s="42"/>
      <c r="O13" s="42"/>
      <c r="P13" s="42">
        <f t="shared" si="0"/>
        <v>113.10499999999999</v>
      </c>
    </row>
    <row r="14" spans="1:29" x14ac:dyDescent="0.25">
      <c r="A14" s="42" t="s">
        <v>198</v>
      </c>
      <c r="B14" s="42">
        <v>95.477000000000004</v>
      </c>
      <c r="C14" s="42"/>
      <c r="D14" s="42"/>
      <c r="E14" s="42"/>
      <c r="F14" s="42"/>
      <c r="G14" s="42"/>
      <c r="H14" s="42">
        <v>27.675999999999998</v>
      </c>
      <c r="I14" s="42"/>
      <c r="J14" s="35"/>
      <c r="K14" s="42"/>
      <c r="L14" s="42"/>
      <c r="M14" s="42"/>
      <c r="N14" s="42"/>
      <c r="O14" s="42"/>
      <c r="P14" s="42">
        <f t="shared" si="0"/>
        <v>123.15300000000001</v>
      </c>
    </row>
    <row r="15" spans="1:29" x14ac:dyDescent="0.25">
      <c r="A15" s="42" t="s">
        <v>147</v>
      </c>
      <c r="B15" s="42"/>
      <c r="C15" s="42"/>
      <c r="D15" s="42"/>
      <c r="E15" s="42"/>
      <c r="F15" s="42"/>
      <c r="G15" s="42"/>
      <c r="H15" s="42"/>
      <c r="I15" s="42"/>
      <c r="J15" s="35">
        <v>129.13400000000001</v>
      </c>
      <c r="K15" s="42"/>
      <c r="L15" s="42"/>
      <c r="M15" s="42"/>
      <c r="N15" s="42"/>
      <c r="O15" s="42"/>
      <c r="P15" s="42">
        <f t="shared" si="0"/>
        <v>129.13400000000001</v>
      </c>
    </row>
    <row r="16" spans="1:29" x14ac:dyDescent="0.25">
      <c r="A16" s="42" t="s">
        <v>142</v>
      </c>
      <c r="B16" s="42"/>
      <c r="C16" s="42"/>
      <c r="D16" s="42"/>
      <c r="E16" s="42"/>
      <c r="F16" s="42"/>
      <c r="G16" s="42"/>
      <c r="H16" s="42">
        <v>105.60900000000001</v>
      </c>
      <c r="I16" s="42"/>
      <c r="J16" s="35"/>
      <c r="K16" s="42"/>
      <c r="L16" s="42">
        <v>45.93</v>
      </c>
      <c r="M16" s="42"/>
      <c r="N16" s="42"/>
      <c r="O16" s="42">
        <v>20</v>
      </c>
      <c r="P16" s="42">
        <f t="shared" si="0"/>
        <v>171.53900000000002</v>
      </c>
    </row>
    <row r="17" spans="1:16" x14ac:dyDescent="0.25">
      <c r="A17" s="42" t="s">
        <v>218</v>
      </c>
      <c r="B17" s="42"/>
      <c r="C17" s="42"/>
      <c r="D17" s="42"/>
      <c r="E17" s="42"/>
      <c r="F17" s="42"/>
      <c r="G17" s="42"/>
      <c r="H17" s="42"/>
      <c r="I17" s="42"/>
      <c r="J17" s="35"/>
      <c r="K17" s="42"/>
      <c r="L17" s="42"/>
      <c r="M17" s="42"/>
      <c r="N17" s="42">
        <v>123.639</v>
      </c>
      <c r="O17" s="42"/>
      <c r="P17" s="42">
        <f t="shared" si="0"/>
        <v>123.639</v>
      </c>
    </row>
    <row r="18" spans="1:16" x14ac:dyDescent="0.25">
      <c r="A18" s="42" t="s">
        <v>156</v>
      </c>
      <c r="B18" s="42"/>
      <c r="C18" s="42"/>
      <c r="D18" s="42"/>
      <c r="E18" s="42"/>
      <c r="F18" s="42"/>
      <c r="G18" s="42"/>
      <c r="H18" s="42"/>
      <c r="I18" s="42"/>
      <c r="J18" s="35"/>
      <c r="K18" s="42">
        <v>99.633999999999986</v>
      </c>
      <c r="L18" s="42"/>
      <c r="M18" s="42"/>
      <c r="N18" s="42"/>
      <c r="O18" s="42"/>
      <c r="P18" s="42">
        <f t="shared" si="0"/>
        <v>99.633999999999986</v>
      </c>
    </row>
    <row r="19" spans="1:16" x14ac:dyDescent="0.25">
      <c r="A19" s="42" t="s">
        <v>171</v>
      </c>
      <c r="B19" s="42">
        <v>153.50699999999998</v>
      </c>
      <c r="C19" s="42"/>
      <c r="D19" s="42"/>
      <c r="E19" s="42"/>
      <c r="F19" s="42"/>
      <c r="G19" s="42"/>
      <c r="H19" s="42"/>
      <c r="I19" s="42"/>
      <c r="J19" s="35"/>
      <c r="K19" s="42"/>
      <c r="L19" s="42"/>
      <c r="M19" s="42"/>
      <c r="N19" s="42"/>
      <c r="O19" s="42"/>
      <c r="P19" s="42">
        <f t="shared" si="0"/>
        <v>153.50699999999998</v>
      </c>
    </row>
    <row r="20" spans="1:16" x14ac:dyDescent="0.25">
      <c r="A20" s="42" t="s">
        <v>176</v>
      </c>
      <c r="B20" s="42"/>
      <c r="C20" s="42"/>
      <c r="D20" s="42"/>
      <c r="E20" s="42"/>
      <c r="F20" s="42">
        <v>209.61100000000002</v>
      </c>
      <c r="G20" s="42"/>
      <c r="H20" s="42"/>
      <c r="I20" s="42"/>
      <c r="J20" s="35"/>
      <c r="K20" s="42"/>
      <c r="L20" s="42"/>
      <c r="M20" s="42"/>
      <c r="N20" s="42"/>
      <c r="O20" s="42"/>
      <c r="P20" s="42">
        <f t="shared" si="0"/>
        <v>209.61100000000002</v>
      </c>
    </row>
    <row r="21" spans="1:16" x14ac:dyDescent="0.25">
      <c r="A21" s="42" t="s">
        <v>183</v>
      </c>
      <c r="B21" s="42"/>
      <c r="C21" s="42"/>
      <c r="D21" s="42"/>
      <c r="E21" s="42"/>
      <c r="F21" s="42"/>
      <c r="G21" s="42"/>
      <c r="H21" s="42">
        <v>167.55400000000003</v>
      </c>
      <c r="I21" s="42"/>
      <c r="J21" s="35"/>
      <c r="K21" s="42"/>
      <c r="L21" s="42"/>
      <c r="M21" s="42"/>
      <c r="N21" s="42"/>
      <c r="O21" s="42"/>
      <c r="P21" s="42">
        <f t="shared" si="0"/>
        <v>167.55400000000003</v>
      </c>
    </row>
    <row r="22" spans="1:16" x14ac:dyDescent="0.25">
      <c r="A22" s="42" t="s">
        <v>135</v>
      </c>
      <c r="B22" s="42"/>
      <c r="C22" s="42"/>
      <c r="D22" s="42"/>
      <c r="E22" s="42"/>
      <c r="F22" s="42"/>
      <c r="G22" s="42"/>
      <c r="H22" s="42"/>
      <c r="I22" s="42"/>
      <c r="J22" s="35"/>
      <c r="K22" s="42">
        <v>149.87</v>
      </c>
      <c r="L22" s="42"/>
      <c r="M22" s="42"/>
      <c r="N22" s="42"/>
      <c r="O22" s="42"/>
      <c r="P22" s="42">
        <f t="shared" si="0"/>
        <v>149.87</v>
      </c>
    </row>
    <row r="23" spans="1:16" x14ac:dyDescent="0.25">
      <c r="A23" s="42" t="s">
        <v>180</v>
      </c>
      <c r="B23" s="42"/>
      <c r="C23" s="42"/>
      <c r="D23" s="42"/>
      <c r="E23" s="42"/>
      <c r="F23" s="42"/>
      <c r="G23" s="42"/>
      <c r="H23" s="42">
        <v>104.82900000000001</v>
      </c>
      <c r="I23" s="42"/>
      <c r="J23" s="35"/>
      <c r="K23" s="42"/>
      <c r="L23" s="42">
        <v>27.5</v>
      </c>
      <c r="M23" s="42"/>
      <c r="N23" s="42"/>
      <c r="O23" s="42"/>
      <c r="P23" s="42">
        <f t="shared" si="0"/>
        <v>132.32900000000001</v>
      </c>
    </row>
    <row r="24" spans="1:16" x14ac:dyDescent="0.25">
      <c r="A24" s="42" t="s">
        <v>123</v>
      </c>
      <c r="B24" s="42">
        <v>120.35</v>
      </c>
      <c r="C24" s="42"/>
      <c r="D24" s="42">
        <v>28.5</v>
      </c>
      <c r="E24" s="42"/>
      <c r="F24" s="42"/>
      <c r="G24" s="42"/>
      <c r="H24" s="42"/>
      <c r="I24" s="42"/>
      <c r="J24" s="35"/>
      <c r="K24" s="42"/>
      <c r="L24" s="42"/>
      <c r="M24" s="42"/>
      <c r="N24" s="42"/>
      <c r="O24" s="42"/>
      <c r="P24" s="42">
        <f t="shared" si="0"/>
        <v>148.85</v>
      </c>
    </row>
    <row r="25" spans="1:16" x14ac:dyDescent="0.25">
      <c r="A25" s="42" t="s">
        <v>151</v>
      </c>
      <c r="B25" s="42">
        <v>182.989</v>
      </c>
      <c r="C25" s="42"/>
      <c r="D25" s="42">
        <v>22.58</v>
      </c>
      <c r="E25" s="42"/>
      <c r="F25" s="42"/>
      <c r="G25" s="42"/>
      <c r="H25" s="42"/>
      <c r="I25" s="42"/>
      <c r="J25" s="35"/>
      <c r="K25" s="42"/>
      <c r="L25" s="42"/>
      <c r="M25" s="42"/>
      <c r="N25" s="42"/>
      <c r="O25" s="42"/>
      <c r="P25" s="42">
        <f t="shared" si="0"/>
        <v>205.56900000000002</v>
      </c>
    </row>
    <row r="26" spans="1:16" x14ac:dyDescent="0.25">
      <c r="A26" s="42" t="s">
        <v>168</v>
      </c>
      <c r="B26" s="42"/>
      <c r="C26" s="42"/>
      <c r="D26" s="42"/>
      <c r="E26" s="42"/>
      <c r="F26" s="42"/>
      <c r="G26" s="42"/>
      <c r="H26" s="42"/>
      <c r="I26" s="42"/>
      <c r="J26" s="35">
        <v>50.795999999999999</v>
      </c>
      <c r="K26" s="42"/>
      <c r="L26" s="42"/>
      <c r="M26" s="42"/>
      <c r="N26" s="42"/>
      <c r="O26" s="42"/>
      <c r="P26" s="42">
        <f t="shared" si="0"/>
        <v>50.795999999999999</v>
      </c>
    </row>
    <row r="27" spans="1:16" x14ac:dyDescent="0.25">
      <c r="A27" s="42" t="s">
        <v>173</v>
      </c>
      <c r="B27" s="42"/>
      <c r="C27" s="42"/>
      <c r="D27" s="42"/>
      <c r="E27" s="42"/>
      <c r="F27" s="42"/>
      <c r="G27" s="42"/>
      <c r="H27" s="42"/>
      <c r="I27" s="42">
        <f>54.064+20</f>
        <v>74.063999999999993</v>
      </c>
      <c r="J27" s="35">
        <v>25.321999999999999</v>
      </c>
      <c r="K27" s="42"/>
      <c r="L27" s="42"/>
      <c r="M27" s="42"/>
      <c r="N27" s="42"/>
      <c r="O27" s="42"/>
      <c r="P27" s="42">
        <f t="shared" si="0"/>
        <v>99.385999999999996</v>
      </c>
    </row>
    <row r="28" spans="1:16" x14ac:dyDescent="0.25">
      <c r="A28" s="42" t="s">
        <v>182</v>
      </c>
      <c r="B28" s="42"/>
      <c r="C28" s="42"/>
      <c r="D28" s="42"/>
      <c r="E28" s="42"/>
      <c r="F28" s="42"/>
      <c r="G28" s="42"/>
      <c r="H28" s="42"/>
      <c r="I28" s="42"/>
      <c r="J28" s="35"/>
      <c r="K28" s="42"/>
      <c r="L28" s="42"/>
      <c r="M28" s="42"/>
      <c r="N28" s="42">
        <v>180.56000000000003</v>
      </c>
      <c r="O28" s="42"/>
      <c r="P28" s="42">
        <f t="shared" si="0"/>
        <v>180.56000000000003</v>
      </c>
    </row>
    <row r="29" spans="1:16" x14ac:dyDescent="0.25">
      <c r="A29" s="42" t="s">
        <v>316</v>
      </c>
      <c r="B29" s="42">
        <v>250</v>
      </c>
      <c r="C29" s="42">
        <v>55</v>
      </c>
      <c r="D29" s="42"/>
      <c r="E29" s="42"/>
      <c r="F29" s="42"/>
      <c r="G29" s="42"/>
      <c r="H29" s="42"/>
      <c r="I29" s="42"/>
      <c r="J29" s="35"/>
      <c r="K29" s="42"/>
      <c r="L29" s="42">
        <v>100</v>
      </c>
      <c r="M29" s="42"/>
      <c r="N29" s="42"/>
      <c r="O29" s="42"/>
      <c r="P29" s="42">
        <f t="shared" si="0"/>
        <v>405</v>
      </c>
    </row>
    <row r="30" spans="1:16" x14ac:dyDescent="0.25">
      <c r="A30" s="42" t="s">
        <v>145</v>
      </c>
      <c r="B30" s="42">
        <v>135.369</v>
      </c>
      <c r="C30" s="42"/>
      <c r="D30" s="42"/>
      <c r="E30" s="42"/>
      <c r="F30" s="42"/>
      <c r="G30" s="42"/>
      <c r="H30" s="42"/>
      <c r="I30" s="42"/>
      <c r="J30" s="35"/>
      <c r="K30" s="42"/>
      <c r="L30" s="42"/>
      <c r="M30" s="42"/>
      <c r="N30" s="42"/>
      <c r="O30" s="42"/>
      <c r="P30" s="42">
        <f t="shared" si="0"/>
        <v>135.369</v>
      </c>
    </row>
    <row r="31" spans="1:16" x14ac:dyDescent="0.25">
      <c r="A31" s="42" t="s">
        <v>219</v>
      </c>
      <c r="B31" s="42"/>
      <c r="C31" s="42"/>
      <c r="D31" s="42"/>
      <c r="E31" s="42"/>
      <c r="F31" s="42"/>
      <c r="G31" s="42"/>
      <c r="H31" s="42"/>
      <c r="I31" s="42"/>
      <c r="J31" s="35"/>
      <c r="K31" s="42"/>
      <c r="L31" s="42">
        <v>135.50000000000003</v>
      </c>
      <c r="M31" s="42"/>
      <c r="N31" s="42"/>
      <c r="O31" s="42"/>
      <c r="P31" s="42">
        <f t="shared" si="0"/>
        <v>135.50000000000003</v>
      </c>
    </row>
    <row r="32" spans="1:16" x14ac:dyDescent="0.25">
      <c r="A32" s="42" t="s">
        <v>196</v>
      </c>
      <c r="B32" s="42">
        <v>108.254</v>
      </c>
      <c r="C32" s="42"/>
      <c r="D32" s="42"/>
      <c r="E32" s="42"/>
      <c r="F32" s="42"/>
      <c r="G32" s="42"/>
      <c r="H32" s="42"/>
      <c r="I32" s="42"/>
      <c r="J32" s="35"/>
      <c r="K32" s="42"/>
      <c r="L32" s="42"/>
      <c r="M32" s="42"/>
      <c r="N32" s="42"/>
      <c r="O32" s="42"/>
      <c r="P32" s="42">
        <f t="shared" si="0"/>
        <v>108.254</v>
      </c>
    </row>
    <row r="33" spans="1:16" x14ac:dyDescent="0.25">
      <c r="A33" s="42" t="s">
        <v>154</v>
      </c>
      <c r="B33" s="42"/>
      <c r="C33" s="42"/>
      <c r="D33" s="42"/>
      <c r="E33" s="42"/>
      <c r="F33" s="42"/>
      <c r="G33" s="42"/>
      <c r="H33" s="42">
        <v>35.158999999999999</v>
      </c>
      <c r="I33" s="42"/>
      <c r="J33" s="35"/>
      <c r="K33" s="42"/>
      <c r="L33" s="42"/>
      <c r="M33" s="42"/>
      <c r="N33" s="42">
        <v>142.38299999999998</v>
      </c>
      <c r="O33" s="42"/>
      <c r="P33" s="42">
        <f t="shared" si="0"/>
        <v>177.54199999999997</v>
      </c>
    </row>
    <row r="34" spans="1:16" x14ac:dyDescent="0.25">
      <c r="A34" s="42" t="s">
        <v>136</v>
      </c>
      <c r="B34" s="42"/>
      <c r="C34" s="42"/>
      <c r="D34" s="42"/>
      <c r="E34" s="42"/>
      <c r="F34" s="42"/>
      <c r="G34" s="42"/>
      <c r="H34" s="42"/>
      <c r="I34" s="42"/>
      <c r="J34" s="35"/>
      <c r="K34" s="42"/>
      <c r="L34" s="42">
        <v>173.96000000000004</v>
      </c>
      <c r="M34" s="42"/>
      <c r="N34" s="42"/>
      <c r="O34" s="42"/>
      <c r="P34" s="42">
        <f t="shared" si="0"/>
        <v>173.96000000000004</v>
      </c>
    </row>
    <row r="35" spans="1:16" x14ac:dyDescent="0.25">
      <c r="A35" s="42" t="s">
        <v>220</v>
      </c>
      <c r="B35" s="42"/>
      <c r="C35" s="42"/>
      <c r="D35" s="42"/>
      <c r="E35" s="42"/>
      <c r="F35" s="42"/>
      <c r="G35" s="42"/>
      <c r="H35" s="42"/>
      <c r="I35" s="42"/>
      <c r="J35" s="35"/>
      <c r="K35" s="42">
        <v>57.236999999999995</v>
      </c>
      <c r="L35" s="42"/>
      <c r="M35" s="42"/>
      <c r="N35" s="42"/>
      <c r="O35" s="42">
        <v>30</v>
      </c>
      <c r="P35" s="42">
        <f t="shared" si="0"/>
        <v>87.236999999999995</v>
      </c>
    </row>
    <row r="36" spans="1:16" x14ac:dyDescent="0.25">
      <c r="A36" s="42" t="s">
        <v>159</v>
      </c>
      <c r="B36" s="42"/>
      <c r="C36" s="42"/>
      <c r="D36" s="42"/>
      <c r="E36" s="42"/>
      <c r="F36" s="42"/>
      <c r="G36" s="42"/>
      <c r="H36" s="42"/>
      <c r="I36" s="42"/>
      <c r="J36" s="35"/>
      <c r="K36" s="42"/>
      <c r="L36" s="42"/>
      <c r="M36" s="42"/>
      <c r="N36" s="42">
        <v>102.49299999999999</v>
      </c>
      <c r="O36" s="42"/>
      <c r="P36" s="42">
        <f t="shared" si="0"/>
        <v>102.49299999999999</v>
      </c>
    </row>
    <row r="37" spans="1:16" x14ac:dyDescent="0.25">
      <c r="A37" s="42" t="s">
        <v>193</v>
      </c>
      <c r="B37" s="42"/>
      <c r="C37" s="42"/>
      <c r="D37" s="42"/>
      <c r="E37" s="42"/>
      <c r="F37" s="42"/>
      <c r="G37" s="42">
        <v>162.45999999999998</v>
      </c>
      <c r="H37" s="42"/>
      <c r="I37" s="42"/>
      <c r="J37" s="35"/>
      <c r="K37" s="42"/>
      <c r="L37" s="42"/>
      <c r="M37" s="42"/>
      <c r="N37" s="42"/>
      <c r="O37" s="42"/>
      <c r="P37" s="42">
        <f t="shared" si="0"/>
        <v>162.45999999999998</v>
      </c>
    </row>
    <row r="38" spans="1:16" x14ac:dyDescent="0.25">
      <c r="A38" s="42" t="s">
        <v>188</v>
      </c>
      <c r="B38" s="42">
        <v>122.904</v>
      </c>
      <c r="C38" s="42"/>
      <c r="D38" s="42"/>
      <c r="E38" s="42"/>
      <c r="F38" s="42"/>
      <c r="G38" s="42"/>
      <c r="H38" s="42"/>
      <c r="I38" s="42"/>
      <c r="J38" s="35"/>
      <c r="K38" s="42"/>
      <c r="L38" s="42"/>
      <c r="M38" s="42"/>
      <c r="N38" s="42"/>
      <c r="O38" s="42"/>
      <c r="P38" s="42">
        <f t="shared" si="0"/>
        <v>122.904</v>
      </c>
    </row>
    <row r="39" spans="1:16" x14ac:dyDescent="0.25">
      <c r="A39" s="42" t="s">
        <v>310</v>
      </c>
      <c r="B39" s="42"/>
      <c r="C39" s="42"/>
      <c r="D39" s="42"/>
      <c r="E39" s="42"/>
      <c r="F39" s="42"/>
      <c r="G39" s="42"/>
      <c r="H39" s="42">
        <v>197</v>
      </c>
      <c r="I39" s="42"/>
      <c r="J39" s="35"/>
      <c r="K39" s="42"/>
      <c r="L39" s="42"/>
      <c r="M39" s="42"/>
      <c r="N39" s="42"/>
      <c r="O39" s="42"/>
      <c r="P39" s="42">
        <f t="shared" si="0"/>
        <v>197</v>
      </c>
    </row>
    <row r="40" spans="1:16" x14ac:dyDescent="0.25">
      <c r="A40" s="42" t="s">
        <v>175</v>
      </c>
      <c r="B40" s="42"/>
      <c r="C40" s="42"/>
      <c r="D40" s="42"/>
      <c r="E40" s="42"/>
      <c r="F40" s="42"/>
      <c r="G40" s="42"/>
      <c r="H40" s="42"/>
      <c r="I40" s="42"/>
      <c r="J40" s="35"/>
      <c r="K40" s="42">
        <v>99.307999999999993</v>
      </c>
      <c r="L40" s="42"/>
      <c r="M40" s="42"/>
      <c r="N40" s="42"/>
      <c r="O40" s="42"/>
      <c r="P40" s="42">
        <f t="shared" si="0"/>
        <v>99.307999999999993</v>
      </c>
    </row>
    <row r="41" spans="1:16" x14ac:dyDescent="0.25">
      <c r="A41" s="42" t="s">
        <v>130</v>
      </c>
      <c r="B41" s="42">
        <v>111.386</v>
      </c>
      <c r="C41" s="42"/>
      <c r="D41" s="42"/>
      <c r="E41" s="42"/>
      <c r="F41" s="42"/>
      <c r="G41" s="42"/>
      <c r="H41" s="42">
        <v>22.332999999999998</v>
      </c>
      <c r="I41" s="42"/>
      <c r="J41" s="35"/>
      <c r="K41" s="42"/>
      <c r="L41" s="42"/>
      <c r="M41" s="42">
        <v>12.491</v>
      </c>
      <c r="N41" s="42"/>
      <c r="O41" s="42"/>
      <c r="P41" s="42">
        <f t="shared" si="0"/>
        <v>146.20999999999998</v>
      </c>
    </row>
    <row r="42" spans="1:16" x14ac:dyDescent="0.25">
      <c r="A42" s="42" t="s">
        <v>160</v>
      </c>
      <c r="B42" s="42"/>
      <c r="C42" s="42"/>
      <c r="D42" s="42"/>
      <c r="E42" s="42"/>
      <c r="F42" s="42"/>
      <c r="G42" s="42"/>
      <c r="H42" s="42"/>
      <c r="I42" s="42"/>
      <c r="J42" s="35"/>
      <c r="K42" s="42"/>
      <c r="L42" s="42">
        <v>23.7</v>
      </c>
      <c r="M42" s="42">
        <v>81.029999999999987</v>
      </c>
      <c r="N42" s="42"/>
      <c r="O42" s="42"/>
      <c r="P42" s="42">
        <f t="shared" si="0"/>
        <v>104.72999999999999</v>
      </c>
    </row>
    <row r="43" spans="1:16" x14ac:dyDescent="0.25">
      <c r="A43" s="42" t="s">
        <v>170</v>
      </c>
      <c r="B43" s="42"/>
      <c r="C43" s="42"/>
      <c r="D43" s="42"/>
      <c r="E43" s="42"/>
      <c r="F43" s="42"/>
      <c r="G43" s="42">
        <v>197.54900000000001</v>
      </c>
      <c r="H43" s="42"/>
      <c r="I43" s="42"/>
      <c r="J43" s="35"/>
      <c r="K43" s="42"/>
      <c r="L43" s="42"/>
      <c r="M43" s="42"/>
      <c r="N43" s="42"/>
      <c r="O43" s="42"/>
      <c r="P43" s="42">
        <f t="shared" si="0"/>
        <v>197.54900000000001</v>
      </c>
    </row>
    <row r="44" spans="1:16" x14ac:dyDescent="0.25">
      <c r="A44" s="42" t="s">
        <v>297</v>
      </c>
      <c r="B44" s="42"/>
      <c r="C44" s="42"/>
      <c r="D44" s="42"/>
      <c r="E44" s="42"/>
      <c r="F44" s="42"/>
      <c r="G44" s="42"/>
      <c r="H44" s="42"/>
      <c r="I44" s="42"/>
      <c r="J44" s="35"/>
      <c r="K44" s="42"/>
      <c r="L44" s="42">
        <v>167.34000000000003</v>
      </c>
      <c r="M44" s="42"/>
      <c r="N44" s="42"/>
      <c r="O44" s="42"/>
      <c r="P44" s="42">
        <f t="shared" si="0"/>
        <v>167.34000000000003</v>
      </c>
    </row>
    <row r="45" spans="1:16" x14ac:dyDescent="0.25">
      <c r="A45" s="42" t="s">
        <v>155</v>
      </c>
      <c r="B45" s="42"/>
      <c r="C45" s="42"/>
      <c r="D45" s="42"/>
      <c r="E45" s="42">
        <v>146.80799999999999</v>
      </c>
      <c r="F45" s="42"/>
      <c r="G45" s="42"/>
      <c r="H45" s="42"/>
      <c r="I45" s="42"/>
      <c r="J45" s="35"/>
      <c r="K45" s="42"/>
      <c r="L45" s="42"/>
      <c r="M45" s="42"/>
      <c r="N45" s="42"/>
      <c r="O45" s="42"/>
      <c r="P45" s="42">
        <f t="shared" si="0"/>
        <v>146.80799999999999</v>
      </c>
    </row>
    <row r="46" spans="1:16" x14ac:dyDescent="0.25">
      <c r="A46" s="42" t="s">
        <v>221</v>
      </c>
      <c r="B46" s="42"/>
      <c r="C46" s="42"/>
      <c r="D46" s="42"/>
      <c r="E46" s="42"/>
      <c r="F46" s="42"/>
      <c r="G46" s="42"/>
      <c r="H46" s="42"/>
      <c r="I46" s="42"/>
      <c r="J46" s="35"/>
      <c r="K46" s="42">
        <v>65.603999999999999</v>
      </c>
      <c r="L46" s="42"/>
      <c r="M46" s="42"/>
      <c r="N46" s="42"/>
      <c r="O46" s="42"/>
      <c r="P46" s="42">
        <f t="shared" si="0"/>
        <v>65.603999999999999</v>
      </c>
    </row>
    <row r="47" spans="1:16" x14ac:dyDescent="0.25">
      <c r="A47" s="42" t="s">
        <v>319</v>
      </c>
      <c r="B47" s="42"/>
      <c r="C47" s="42"/>
      <c r="D47" s="42"/>
      <c r="E47" s="42"/>
      <c r="F47" s="42"/>
      <c r="G47" s="42"/>
      <c r="H47" s="42"/>
      <c r="I47" s="42"/>
      <c r="J47" s="35"/>
      <c r="K47" s="42">
        <v>1.756</v>
      </c>
      <c r="L47" s="42"/>
      <c r="M47" s="42"/>
      <c r="N47" s="42"/>
      <c r="O47" s="42"/>
      <c r="P47" s="42">
        <f t="shared" si="0"/>
        <v>1.756</v>
      </c>
    </row>
    <row r="48" spans="1:16" x14ac:dyDescent="0.25">
      <c r="A48" s="42" t="s">
        <v>174</v>
      </c>
      <c r="B48" s="42">
        <v>127.16499999999999</v>
      </c>
      <c r="C48" s="42"/>
      <c r="D48" s="42"/>
      <c r="E48" s="42"/>
      <c r="F48" s="42"/>
      <c r="G48" s="42"/>
      <c r="H48" s="42"/>
      <c r="I48" s="42"/>
      <c r="J48" s="35"/>
      <c r="K48" s="42"/>
      <c r="L48" s="42"/>
      <c r="M48" s="42"/>
      <c r="N48" s="42"/>
      <c r="O48" s="42"/>
      <c r="P48" s="42">
        <f t="shared" si="0"/>
        <v>127.16499999999999</v>
      </c>
    </row>
    <row r="49" spans="1:16" x14ac:dyDescent="0.25">
      <c r="A49" s="42" t="s">
        <v>298</v>
      </c>
      <c r="B49" s="42">
        <v>91.353999999999999</v>
      </c>
      <c r="C49" s="42"/>
      <c r="D49" s="42"/>
      <c r="E49" s="42"/>
      <c r="F49" s="42"/>
      <c r="G49" s="42"/>
      <c r="H49" s="42"/>
      <c r="I49" s="42"/>
      <c r="J49" s="35"/>
      <c r="K49" s="42"/>
      <c r="L49" s="42"/>
      <c r="M49" s="42"/>
      <c r="N49" s="42"/>
      <c r="O49" s="42"/>
      <c r="P49" s="42">
        <f t="shared" si="0"/>
        <v>91.353999999999999</v>
      </c>
    </row>
    <row r="50" spans="1:16" x14ac:dyDescent="0.25">
      <c r="A50" s="42" t="s">
        <v>187</v>
      </c>
      <c r="B50" s="42">
        <v>127.592</v>
      </c>
      <c r="C50" s="42">
        <v>10.526</v>
      </c>
      <c r="D50" s="42"/>
      <c r="E50" s="42"/>
      <c r="F50" s="42"/>
      <c r="G50" s="42"/>
      <c r="H50" s="42"/>
      <c r="I50" s="42"/>
      <c r="J50" s="35"/>
      <c r="K50" s="42"/>
      <c r="L50" s="42"/>
      <c r="M50" s="42"/>
      <c r="N50" s="42"/>
      <c r="O50" s="42"/>
      <c r="P50" s="42">
        <f t="shared" si="0"/>
        <v>138.11799999999999</v>
      </c>
    </row>
    <row r="51" spans="1:16" x14ac:dyDescent="0.25">
      <c r="A51" s="42" t="s">
        <v>191</v>
      </c>
      <c r="B51" s="42"/>
      <c r="C51" s="42"/>
      <c r="D51" s="42"/>
      <c r="E51" s="42"/>
      <c r="F51" s="42"/>
      <c r="G51" s="42">
        <v>93.919999999999987</v>
      </c>
      <c r="H51" s="42"/>
      <c r="I51" s="42"/>
      <c r="J51" s="35"/>
      <c r="K51" s="42"/>
      <c r="L51" s="42"/>
      <c r="M51" s="42"/>
      <c r="N51" s="42"/>
      <c r="O51" s="42"/>
      <c r="P51" s="42">
        <f t="shared" si="0"/>
        <v>93.919999999999987</v>
      </c>
    </row>
    <row r="52" spans="1:16" x14ac:dyDescent="0.25">
      <c r="A52" s="42" t="s">
        <v>311</v>
      </c>
      <c r="B52" s="42"/>
      <c r="C52" s="42"/>
      <c r="D52" s="42"/>
      <c r="E52" s="42">
        <v>31.5</v>
      </c>
      <c r="F52" s="42">
        <v>51.4</v>
      </c>
      <c r="G52" s="42"/>
      <c r="H52" s="42"/>
      <c r="I52" s="42"/>
      <c r="J52" s="35"/>
      <c r="K52" s="42">
        <v>153.19999999999999</v>
      </c>
      <c r="L52" s="42"/>
      <c r="M52" s="42"/>
      <c r="N52" s="42"/>
      <c r="O52" s="42"/>
      <c r="P52" s="42">
        <f t="shared" si="0"/>
        <v>236.1</v>
      </c>
    </row>
    <row r="53" spans="1:16" x14ac:dyDescent="0.25">
      <c r="A53" s="42" t="s">
        <v>320</v>
      </c>
      <c r="B53" s="42"/>
      <c r="C53" s="42"/>
      <c r="D53" s="42"/>
      <c r="E53" s="42"/>
      <c r="F53" s="42"/>
      <c r="G53" s="42">
        <v>79.400000000000006</v>
      </c>
      <c r="H53" s="42"/>
      <c r="I53" s="42">
        <v>15</v>
      </c>
      <c r="J53" s="35">
        <v>80</v>
      </c>
      <c r="K53" s="42"/>
      <c r="L53" s="42"/>
      <c r="M53" s="42"/>
      <c r="N53" s="42"/>
      <c r="O53" s="42"/>
      <c r="P53" s="42">
        <f t="shared" si="0"/>
        <v>174.4</v>
      </c>
    </row>
    <row r="54" spans="1:16" x14ac:dyDescent="0.25">
      <c r="A54" s="42" t="s">
        <v>194</v>
      </c>
      <c r="B54" s="42"/>
      <c r="C54" s="42"/>
      <c r="D54" s="42"/>
      <c r="E54" s="42"/>
      <c r="F54" s="42"/>
      <c r="G54" s="42"/>
      <c r="H54" s="42"/>
      <c r="I54" s="42"/>
      <c r="J54" s="35"/>
      <c r="K54" s="42">
        <v>284.59399999999999</v>
      </c>
      <c r="L54" s="42"/>
      <c r="M54" s="42"/>
      <c r="N54" s="42"/>
      <c r="O54" s="42"/>
      <c r="P54" s="42">
        <f t="shared" si="0"/>
        <v>284.59399999999999</v>
      </c>
    </row>
    <row r="55" spans="1:16" x14ac:dyDescent="0.25">
      <c r="A55" s="42" t="s">
        <v>192</v>
      </c>
      <c r="B55" s="42"/>
      <c r="C55" s="42"/>
      <c r="D55" s="42"/>
      <c r="E55" s="42"/>
      <c r="F55" s="42"/>
      <c r="G55" s="42"/>
      <c r="H55" s="42"/>
      <c r="I55" s="42"/>
      <c r="J55" s="35"/>
      <c r="K55" s="42"/>
      <c r="L55" s="42"/>
      <c r="M55" s="42"/>
      <c r="N55" s="42">
        <v>174.864</v>
      </c>
      <c r="O55" s="42"/>
      <c r="P55" s="42">
        <f t="shared" si="0"/>
        <v>174.864</v>
      </c>
    </row>
    <row r="56" spans="1:16" x14ac:dyDescent="0.25">
      <c r="A56" s="42" t="s">
        <v>143</v>
      </c>
      <c r="B56" s="42">
        <v>126.23899999999998</v>
      </c>
      <c r="C56" s="42"/>
      <c r="D56" s="42">
        <v>20.67</v>
      </c>
      <c r="E56" s="42"/>
      <c r="F56" s="42"/>
      <c r="G56" s="42"/>
      <c r="H56" s="42"/>
      <c r="I56" s="42"/>
      <c r="J56" s="35"/>
      <c r="K56" s="42"/>
      <c r="L56" s="42"/>
      <c r="M56" s="42"/>
      <c r="N56" s="42"/>
      <c r="O56" s="42"/>
      <c r="P56" s="42">
        <f t="shared" si="0"/>
        <v>146.90899999999999</v>
      </c>
    </row>
    <row r="57" spans="1:16" x14ac:dyDescent="0.25">
      <c r="A57" s="42" t="s">
        <v>146</v>
      </c>
      <c r="B57" s="42"/>
      <c r="C57" s="42"/>
      <c r="D57" s="42"/>
      <c r="E57" s="42"/>
      <c r="F57" s="42"/>
      <c r="G57" s="42"/>
      <c r="H57" s="42"/>
      <c r="I57" s="42"/>
      <c r="J57" s="35"/>
      <c r="K57" s="42"/>
      <c r="L57" s="42">
        <v>11.46</v>
      </c>
      <c r="M57" s="42">
        <v>161.464</v>
      </c>
      <c r="N57" s="42"/>
      <c r="O57" s="42"/>
      <c r="P57" s="42">
        <f t="shared" si="0"/>
        <v>172.92400000000001</v>
      </c>
    </row>
    <row r="58" spans="1:16" x14ac:dyDescent="0.25">
      <c r="A58" s="42" t="s">
        <v>299</v>
      </c>
      <c r="B58" s="42"/>
      <c r="C58" s="42"/>
      <c r="D58" s="42"/>
      <c r="E58" s="42"/>
      <c r="F58" s="42"/>
      <c r="G58" s="42"/>
      <c r="H58" s="42"/>
      <c r="I58" s="42"/>
      <c r="J58" s="35"/>
      <c r="K58" s="42"/>
      <c r="L58" s="42">
        <v>48.96</v>
      </c>
      <c r="M58" s="42"/>
      <c r="N58" s="42"/>
      <c r="O58" s="42"/>
      <c r="P58" s="42">
        <f t="shared" si="0"/>
        <v>48.96</v>
      </c>
    </row>
    <row r="59" spans="1:16" x14ac:dyDescent="0.25">
      <c r="A59" s="42" t="s">
        <v>312</v>
      </c>
      <c r="B59" s="42"/>
      <c r="C59" s="42"/>
      <c r="D59" s="42"/>
      <c r="E59" s="42"/>
      <c r="F59" s="42"/>
      <c r="G59" s="42"/>
      <c r="H59" s="42"/>
      <c r="I59" s="42"/>
      <c r="J59" s="35"/>
      <c r="K59" s="42"/>
      <c r="L59" s="42"/>
      <c r="M59" s="42">
        <v>60</v>
      </c>
      <c r="N59" s="42">
        <v>100</v>
      </c>
      <c r="O59" s="42"/>
      <c r="P59" s="42">
        <f t="shared" si="0"/>
        <v>160</v>
      </c>
    </row>
    <row r="60" spans="1:16" x14ac:dyDescent="0.25">
      <c r="A60" s="42" t="s">
        <v>133</v>
      </c>
      <c r="B60" s="42"/>
      <c r="C60" s="42"/>
      <c r="D60" s="42"/>
      <c r="E60" s="42"/>
      <c r="F60" s="42"/>
      <c r="G60" s="42"/>
      <c r="H60" s="42"/>
      <c r="I60" s="42"/>
      <c r="J60" s="35"/>
      <c r="K60" s="42"/>
      <c r="L60" s="42">
        <v>35.6</v>
      </c>
      <c r="M60" s="42"/>
      <c r="N60" s="42"/>
      <c r="O60" s="42">
        <v>25</v>
      </c>
      <c r="P60" s="42">
        <f t="shared" si="0"/>
        <v>60.6</v>
      </c>
    </row>
    <row r="61" spans="1:16" x14ac:dyDescent="0.25">
      <c r="A61" s="42" t="s">
        <v>140</v>
      </c>
      <c r="B61" s="42"/>
      <c r="C61" s="42"/>
      <c r="D61" s="42"/>
      <c r="E61" s="42"/>
      <c r="F61" s="42"/>
      <c r="G61" s="42"/>
      <c r="H61" s="42"/>
      <c r="I61" s="42"/>
      <c r="J61" s="35"/>
      <c r="K61" s="42"/>
      <c r="L61" s="42"/>
      <c r="M61" s="42">
        <v>131.40899999999999</v>
      </c>
      <c r="N61" s="42"/>
      <c r="O61" s="42">
        <v>10</v>
      </c>
      <c r="P61" s="42">
        <f t="shared" si="0"/>
        <v>141.40899999999999</v>
      </c>
    </row>
    <row r="62" spans="1:16" x14ac:dyDescent="0.25">
      <c r="A62" s="42" t="s">
        <v>222</v>
      </c>
      <c r="B62" s="42"/>
      <c r="C62" s="42"/>
      <c r="D62" s="42"/>
      <c r="E62" s="42"/>
      <c r="F62" s="42">
        <v>25.887999999999998</v>
      </c>
      <c r="G62" s="42"/>
      <c r="H62" s="42"/>
      <c r="I62" s="42"/>
      <c r="J62" s="35"/>
      <c r="K62" s="42">
        <v>141.08099999999999</v>
      </c>
      <c r="L62" s="42"/>
      <c r="M62" s="42"/>
      <c r="N62" s="42"/>
      <c r="O62" s="42"/>
      <c r="P62" s="42">
        <f t="shared" si="0"/>
        <v>166.96899999999999</v>
      </c>
    </row>
    <row r="63" spans="1:16" x14ac:dyDescent="0.25">
      <c r="A63" s="42" t="s">
        <v>162</v>
      </c>
      <c r="B63" s="42">
        <v>165.02100000000002</v>
      </c>
      <c r="C63" s="42"/>
      <c r="D63" s="42">
        <v>23.08</v>
      </c>
      <c r="E63" s="42"/>
      <c r="F63" s="42"/>
      <c r="G63" s="42"/>
      <c r="H63" s="42"/>
      <c r="I63" s="42"/>
      <c r="J63" s="35"/>
      <c r="K63" s="42"/>
      <c r="L63" s="42"/>
      <c r="M63" s="42"/>
      <c r="N63" s="42"/>
      <c r="O63" s="42"/>
      <c r="P63" s="42">
        <f t="shared" si="0"/>
        <v>188.101</v>
      </c>
    </row>
    <row r="64" spans="1:16" x14ac:dyDescent="0.25">
      <c r="A64" s="42" t="s">
        <v>223</v>
      </c>
      <c r="B64" s="42"/>
      <c r="C64" s="42"/>
      <c r="D64" s="42"/>
      <c r="E64" s="42"/>
      <c r="F64" s="42"/>
      <c r="G64" s="42"/>
      <c r="H64" s="42"/>
      <c r="I64" s="42"/>
      <c r="J64" s="35"/>
      <c r="K64" s="42"/>
      <c r="L64" s="42">
        <v>45.61</v>
      </c>
      <c r="M64" s="42"/>
      <c r="N64" s="42"/>
      <c r="O64" s="42"/>
      <c r="P64" s="42">
        <f t="shared" si="0"/>
        <v>45.61</v>
      </c>
    </row>
    <row r="65" spans="1:16" x14ac:dyDescent="0.25">
      <c r="A65" s="42" t="s">
        <v>184</v>
      </c>
      <c r="B65" s="42"/>
      <c r="C65" s="42"/>
      <c r="D65" s="42"/>
      <c r="E65" s="42"/>
      <c r="F65" s="42"/>
      <c r="G65" s="42"/>
      <c r="H65" s="42"/>
      <c r="I65" s="42"/>
      <c r="J65" s="35"/>
      <c r="K65" s="42">
        <v>137.89000000000001</v>
      </c>
      <c r="L65" s="42"/>
      <c r="M65" s="42"/>
      <c r="N65" s="42"/>
      <c r="O65" s="42"/>
      <c r="P65" s="42">
        <f t="shared" si="0"/>
        <v>137.89000000000001</v>
      </c>
    </row>
    <row r="66" spans="1:16" x14ac:dyDescent="0.25">
      <c r="A66" s="42" t="s">
        <v>148</v>
      </c>
      <c r="B66" s="42"/>
      <c r="C66" s="42"/>
      <c r="D66" s="42"/>
      <c r="E66" s="42"/>
      <c r="F66" s="42"/>
      <c r="G66" s="42"/>
      <c r="H66" s="42"/>
      <c r="I66" s="42"/>
      <c r="J66" s="35"/>
      <c r="K66" s="42"/>
      <c r="L66" s="42">
        <v>117.52</v>
      </c>
      <c r="M66" s="42"/>
      <c r="N66" s="42"/>
      <c r="O66" s="42"/>
      <c r="P66" s="42">
        <f t="shared" si="0"/>
        <v>117.52</v>
      </c>
    </row>
    <row r="67" spans="1:16" x14ac:dyDescent="0.25">
      <c r="A67" s="42" t="s">
        <v>167</v>
      </c>
      <c r="B67" s="42"/>
      <c r="C67" s="42"/>
      <c r="D67" s="42"/>
      <c r="E67" s="42"/>
      <c r="F67" s="42"/>
      <c r="G67" s="42"/>
      <c r="H67" s="42"/>
      <c r="I67" s="42"/>
      <c r="J67" s="35"/>
      <c r="K67" s="42"/>
      <c r="L67" s="42">
        <v>136.65</v>
      </c>
      <c r="M67" s="42"/>
      <c r="N67" s="42"/>
      <c r="O67" s="42"/>
      <c r="P67" s="42">
        <f t="shared" ref="P67:P100" si="1">SUM(B67:O67)</f>
        <v>136.65</v>
      </c>
    </row>
    <row r="68" spans="1:16" x14ac:dyDescent="0.25">
      <c r="A68" s="42" t="s">
        <v>200</v>
      </c>
      <c r="B68" s="42"/>
      <c r="C68" s="42"/>
      <c r="D68" s="42"/>
      <c r="E68" s="42"/>
      <c r="F68" s="42"/>
      <c r="G68" s="42">
        <v>184.63900000000001</v>
      </c>
      <c r="H68" s="42"/>
      <c r="I68" s="42"/>
      <c r="J68" s="35"/>
      <c r="K68" s="42"/>
      <c r="L68" s="42"/>
      <c r="M68" s="42"/>
      <c r="N68" s="42"/>
      <c r="O68" s="42"/>
      <c r="P68" s="42">
        <f t="shared" si="1"/>
        <v>184.63900000000001</v>
      </c>
    </row>
    <row r="69" spans="1:16" x14ac:dyDescent="0.25">
      <c r="A69" s="42" t="s">
        <v>199</v>
      </c>
      <c r="B69" s="42"/>
      <c r="C69" s="42"/>
      <c r="D69" s="42"/>
      <c r="E69" s="42"/>
      <c r="F69" s="42"/>
      <c r="G69" s="42"/>
      <c r="H69" s="42">
        <v>179.358</v>
      </c>
      <c r="I69" s="42"/>
      <c r="J69" s="35"/>
      <c r="K69" s="42"/>
      <c r="L69" s="42"/>
      <c r="M69" s="42"/>
      <c r="N69" s="42"/>
      <c r="O69" s="42"/>
      <c r="P69" s="42">
        <f t="shared" si="1"/>
        <v>179.358</v>
      </c>
    </row>
    <row r="70" spans="1:16" x14ac:dyDescent="0.25">
      <c r="A70" s="42" t="s">
        <v>225</v>
      </c>
      <c r="B70" s="42"/>
      <c r="C70" s="42"/>
      <c r="D70" s="42"/>
      <c r="E70" s="42"/>
      <c r="F70" s="42">
        <v>27.613</v>
      </c>
      <c r="G70" s="42"/>
      <c r="H70" s="42"/>
      <c r="I70" s="42"/>
      <c r="J70" s="35"/>
      <c r="K70" s="42"/>
      <c r="L70" s="42"/>
      <c r="M70" s="42"/>
      <c r="N70" s="42">
        <v>47.593000000000004</v>
      </c>
      <c r="O70" s="42"/>
      <c r="P70" s="42">
        <f t="shared" si="1"/>
        <v>75.206000000000003</v>
      </c>
    </row>
    <row r="71" spans="1:16" x14ac:dyDescent="0.25">
      <c r="A71" s="42" t="s">
        <v>226</v>
      </c>
      <c r="B71" s="42"/>
      <c r="C71" s="42"/>
      <c r="D71" s="42"/>
      <c r="E71" s="42"/>
      <c r="F71" s="42"/>
      <c r="G71" s="42"/>
      <c r="H71" s="42">
        <v>21.471</v>
      </c>
      <c r="I71" s="42"/>
      <c r="J71" s="35"/>
      <c r="K71" s="42"/>
      <c r="L71" s="42">
        <v>74.17</v>
      </c>
      <c r="M71" s="42"/>
      <c r="N71" s="42"/>
      <c r="O71" s="42"/>
      <c r="P71" s="42">
        <f t="shared" si="1"/>
        <v>95.641000000000005</v>
      </c>
    </row>
    <row r="72" spans="1:16" x14ac:dyDescent="0.25">
      <c r="A72" s="42" t="s">
        <v>169</v>
      </c>
      <c r="B72" s="42"/>
      <c r="C72" s="42">
        <v>150.483</v>
      </c>
      <c r="D72" s="42"/>
      <c r="E72" s="42"/>
      <c r="F72" s="42"/>
      <c r="G72" s="42"/>
      <c r="H72" s="42"/>
      <c r="I72" s="42"/>
      <c r="J72" s="35"/>
      <c r="K72" s="42"/>
      <c r="L72" s="42"/>
      <c r="M72" s="42"/>
      <c r="N72" s="42"/>
      <c r="O72" s="42"/>
      <c r="P72" s="42">
        <f t="shared" si="1"/>
        <v>150.483</v>
      </c>
    </row>
    <row r="73" spans="1:16" x14ac:dyDescent="0.25">
      <c r="A73" s="42" t="s">
        <v>120</v>
      </c>
      <c r="B73" s="42"/>
      <c r="C73" s="42"/>
      <c r="D73" s="42"/>
      <c r="E73" s="42"/>
      <c r="F73" s="42"/>
      <c r="G73" s="42"/>
      <c r="H73" s="42"/>
      <c r="I73" s="42"/>
      <c r="J73" s="35"/>
      <c r="K73" s="42"/>
      <c r="L73" s="42">
        <v>135.04000000000002</v>
      </c>
      <c r="M73" s="42"/>
      <c r="N73" s="42"/>
      <c r="O73" s="42"/>
      <c r="P73" s="42">
        <f t="shared" si="1"/>
        <v>135.04000000000002</v>
      </c>
    </row>
    <row r="74" spans="1:16" x14ac:dyDescent="0.25">
      <c r="A74" s="42" t="s">
        <v>124</v>
      </c>
      <c r="B74" s="42"/>
      <c r="C74" s="42"/>
      <c r="D74" s="42"/>
      <c r="E74" s="42"/>
      <c r="F74" s="42"/>
      <c r="G74" s="42"/>
      <c r="H74" s="42"/>
      <c r="I74" s="42"/>
      <c r="J74" s="35"/>
      <c r="K74" s="42"/>
      <c r="L74" s="42">
        <v>77.94</v>
      </c>
      <c r="M74" s="42"/>
      <c r="N74" s="42"/>
      <c r="O74" s="42"/>
      <c r="P74" s="42">
        <f t="shared" si="1"/>
        <v>77.94</v>
      </c>
    </row>
    <row r="75" spans="1:16" x14ac:dyDescent="0.25">
      <c r="A75" s="42" t="s">
        <v>177</v>
      </c>
      <c r="B75" s="42">
        <v>129.56900000000002</v>
      </c>
      <c r="C75" s="42"/>
      <c r="D75" s="42"/>
      <c r="E75" s="42"/>
      <c r="F75" s="42"/>
      <c r="G75" s="42"/>
      <c r="H75" s="42"/>
      <c r="I75" s="42"/>
      <c r="J75" s="35"/>
      <c r="K75" s="42"/>
      <c r="L75" s="42"/>
      <c r="M75" s="42"/>
      <c r="N75" s="42"/>
      <c r="O75" s="42"/>
      <c r="P75" s="42">
        <f t="shared" si="1"/>
        <v>129.56900000000002</v>
      </c>
    </row>
    <row r="76" spans="1:16" x14ac:dyDescent="0.25">
      <c r="A76" s="42" t="s">
        <v>178</v>
      </c>
      <c r="B76" s="42"/>
      <c r="C76" s="42"/>
      <c r="D76" s="42"/>
      <c r="E76" s="42"/>
      <c r="F76" s="42"/>
      <c r="G76" s="42"/>
      <c r="H76" s="42"/>
      <c r="I76" s="42"/>
      <c r="J76" s="35"/>
      <c r="K76" s="42"/>
      <c r="L76" s="42">
        <v>105.08000000000001</v>
      </c>
      <c r="M76" s="42"/>
      <c r="N76" s="42"/>
      <c r="O76" s="42"/>
      <c r="P76" s="42">
        <f t="shared" si="1"/>
        <v>105.08000000000001</v>
      </c>
    </row>
    <row r="77" spans="1:16" s="17" customFormat="1" x14ac:dyDescent="0.25">
      <c r="A77" s="42" t="s">
        <v>324</v>
      </c>
      <c r="B77" s="42"/>
      <c r="C77" s="42"/>
      <c r="D77" s="42"/>
      <c r="E77" s="42"/>
      <c r="F77" s="42"/>
      <c r="G77" s="42"/>
      <c r="H77" s="42"/>
      <c r="I77" s="42"/>
      <c r="J77" s="35"/>
      <c r="K77" s="42"/>
      <c r="L77" s="42"/>
      <c r="M77" s="42"/>
      <c r="N77" s="42"/>
      <c r="O77" s="42">
        <v>150</v>
      </c>
      <c r="P77" s="42">
        <f>SUM(B77:O77)</f>
        <v>150</v>
      </c>
    </row>
    <row r="78" spans="1:16" x14ac:dyDescent="0.25">
      <c r="A78" s="42" t="s">
        <v>126</v>
      </c>
      <c r="B78" s="42">
        <v>3.1840000000000002</v>
      </c>
      <c r="C78" s="42">
        <v>117.57899999999998</v>
      </c>
      <c r="D78" s="42"/>
      <c r="E78" s="42"/>
      <c r="F78" s="42"/>
      <c r="G78" s="42"/>
      <c r="H78" s="42"/>
      <c r="I78" s="42"/>
      <c r="J78" s="35"/>
      <c r="K78" s="42"/>
      <c r="L78" s="42"/>
      <c r="M78" s="42"/>
      <c r="N78" s="42"/>
      <c r="O78" s="42"/>
      <c r="P78" s="42">
        <f t="shared" si="1"/>
        <v>120.76299999999998</v>
      </c>
    </row>
    <row r="79" spans="1:16" x14ac:dyDescent="0.25">
      <c r="A79" s="42" t="s">
        <v>186</v>
      </c>
      <c r="B79" s="42">
        <v>171.851</v>
      </c>
      <c r="C79" s="42"/>
      <c r="D79" s="42">
        <v>23.5</v>
      </c>
      <c r="E79" s="42"/>
      <c r="F79" s="42"/>
      <c r="G79" s="42"/>
      <c r="H79" s="42"/>
      <c r="I79" s="42"/>
      <c r="J79" s="35"/>
      <c r="K79" s="42"/>
      <c r="L79" s="42"/>
      <c r="M79" s="42"/>
      <c r="N79" s="42"/>
      <c r="O79" s="42"/>
      <c r="P79" s="42">
        <f t="shared" si="1"/>
        <v>195.351</v>
      </c>
    </row>
    <row r="80" spans="1:16" x14ac:dyDescent="0.25">
      <c r="A80" s="42" t="s">
        <v>195</v>
      </c>
      <c r="B80" s="42"/>
      <c r="C80" s="42"/>
      <c r="D80" s="42"/>
      <c r="E80" s="42"/>
      <c r="F80" s="42">
        <v>145.733</v>
      </c>
      <c r="G80" s="42"/>
      <c r="H80" s="42"/>
      <c r="I80" s="42"/>
      <c r="J80" s="35"/>
      <c r="K80" s="42"/>
      <c r="L80" s="42"/>
      <c r="M80" s="42"/>
      <c r="N80" s="42"/>
      <c r="O80" s="42">
        <v>25</v>
      </c>
      <c r="P80" s="42">
        <f t="shared" si="1"/>
        <v>170.733</v>
      </c>
    </row>
    <row r="81" spans="1:16" x14ac:dyDescent="0.25">
      <c r="A81" s="42" t="s">
        <v>165</v>
      </c>
      <c r="B81" s="42"/>
      <c r="C81" s="42"/>
      <c r="D81" s="42"/>
      <c r="E81" s="42"/>
      <c r="F81" s="42"/>
      <c r="G81" s="42"/>
      <c r="H81" s="42"/>
      <c r="I81" s="42"/>
      <c r="J81" s="35"/>
      <c r="K81" s="42"/>
      <c r="L81" s="42">
        <v>136.89999999999998</v>
      </c>
      <c r="M81" s="42"/>
      <c r="N81" s="42"/>
      <c r="O81" s="42"/>
      <c r="P81" s="42">
        <f t="shared" si="1"/>
        <v>136.89999999999998</v>
      </c>
    </row>
    <row r="82" spans="1:16" x14ac:dyDescent="0.25">
      <c r="A82" s="42" t="s">
        <v>137</v>
      </c>
      <c r="B82" s="42"/>
      <c r="C82" s="42"/>
      <c r="D82" s="42"/>
      <c r="E82" s="42">
        <v>138.39399999999998</v>
      </c>
      <c r="F82" s="42"/>
      <c r="G82" s="42"/>
      <c r="H82" s="42"/>
      <c r="I82" s="42"/>
      <c r="J82" s="35"/>
      <c r="K82" s="42"/>
      <c r="L82" s="42"/>
      <c r="M82" s="42"/>
      <c r="N82" s="42"/>
      <c r="O82" s="42"/>
      <c r="P82" s="42">
        <f t="shared" si="1"/>
        <v>138.39399999999998</v>
      </c>
    </row>
    <row r="83" spans="1:16" x14ac:dyDescent="0.25">
      <c r="A83" s="42" t="s">
        <v>141</v>
      </c>
      <c r="B83" s="42"/>
      <c r="C83" s="42"/>
      <c r="D83" s="42"/>
      <c r="E83" s="42"/>
      <c r="F83" s="42"/>
      <c r="G83" s="42"/>
      <c r="H83" s="42">
        <v>96.981999999999999</v>
      </c>
      <c r="I83" s="42"/>
      <c r="J83" s="35"/>
      <c r="K83" s="42"/>
      <c r="L83" s="42"/>
      <c r="M83" s="42"/>
      <c r="N83" s="42"/>
      <c r="O83" s="42"/>
      <c r="P83" s="42">
        <f t="shared" si="1"/>
        <v>96.981999999999999</v>
      </c>
    </row>
    <row r="84" spans="1:16" x14ac:dyDescent="0.25">
      <c r="A84" s="42" t="s">
        <v>203</v>
      </c>
      <c r="B84" s="42"/>
      <c r="C84" s="42"/>
      <c r="D84" s="42"/>
      <c r="E84" s="42"/>
      <c r="F84" s="42"/>
      <c r="G84" s="42"/>
      <c r="H84" s="42"/>
      <c r="I84" s="42"/>
      <c r="J84" s="35"/>
      <c r="K84" s="42"/>
      <c r="L84" s="42">
        <v>143.51</v>
      </c>
      <c r="M84" s="42"/>
      <c r="N84" s="42"/>
      <c r="O84" s="42">
        <v>25</v>
      </c>
      <c r="P84" s="42">
        <f t="shared" si="1"/>
        <v>168.51</v>
      </c>
    </row>
    <row r="85" spans="1:16" x14ac:dyDescent="0.25">
      <c r="A85" s="42" t="s">
        <v>313</v>
      </c>
      <c r="B85" s="42"/>
      <c r="C85" s="42"/>
      <c r="D85" s="42"/>
      <c r="E85" s="42"/>
      <c r="F85" s="42"/>
      <c r="G85" s="42"/>
      <c r="H85" s="42"/>
      <c r="I85" s="42"/>
      <c r="J85" s="35"/>
      <c r="K85" s="42"/>
      <c r="L85" s="42">
        <v>287</v>
      </c>
      <c r="M85" s="42"/>
      <c r="N85" s="42"/>
      <c r="O85" s="42"/>
      <c r="P85" s="42">
        <f t="shared" si="1"/>
        <v>287</v>
      </c>
    </row>
    <row r="86" spans="1:16" x14ac:dyDescent="0.25">
      <c r="A86" s="42" t="s">
        <v>202</v>
      </c>
      <c r="B86" s="42"/>
      <c r="C86" s="42"/>
      <c r="D86" s="42"/>
      <c r="E86" s="42"/>
      <c r="F86" s="42"/>
      <c r="G86" s="42"/>
      <c r="H86" s="42">
        <v>164.13499999999996</v>
      </c>
      <c r="I86" s="42"/>
      <c r="J86" s="35"/>
      <c r="K86" s="42"/>
      <c r="L86" s="42"/>
      <c r="M86" s="42"/>
      <c r="N86" s="42"/>
      <c r="O86" s="42">
        <v>30</v>
      </c>
      <c r="P86" s="42">
        <f t="shared" si="1"/>
        <v>194.13499999999996</v>
      </c>
    </row>
    <row r="87" spans="1:16" x14ac:dyDescent="0.25">
      <c r="A87" s="42" t="s">
        <v>164</v>
      </c>
      <c r="B87" s="42"/>
      <c r="C87" s="42"/>
      <c r="D87" s="42"/>
      <c r="E87" s="42"/>
      <c r="F87" s="42"/>
      <c r="G87" s="42"/>
      <c r="H87" s="42">
        <v>116.91500000000001</v>
      </c>
      <c r="I87" s="42"/>
      <c r="J87" s="35"/>
      <c r="K87" s="42"/>
      <c r="L87" s="42"/>
      <c r="M87" s="42"/>
      <c r="N87" s="42"/>
      <c r="O87" s="42"/>
      <c r="P87" s="42">
        <f t="shared" si="1"/>
        <v>116.91500000000001</v>
      </c>
    </row>
    <row r="88" spans="1:16" x14ac:dyDescent="0.25">
      <c r="A88" s="42" t="s">
        <v>138</v>
      </c>
      <c r="B88" s="42"/>
      <c r="C88" s="42"/>
      <c r="D88" s="42"/>
      <c r="E88" s="42"/>
      <c r="F88" s="42"/>
      <c r="G88" s="42"/>
      <c r="H88" s="42">
        <v>178.005</v>
      </c>
      <c r="I88" s="42"/>
      <c r="J88" s="35"/>
      <c r="K88" s="42"/>
      <c r="L88" s="42"/>
      <c r="M88" s="42"/>
      <c r="N88" s="42"/>
      <c r="O88" s="42"/>
      <c r="P88" s="42">
        <f t="shared" si="1"/>
        <v>178.005</v>
      </c>
    </row>
    <row r="89" spans="1:16" x14ac:dyDescent="0.25">
      <c r="A89" s="42" t="s">
        <v>190</v>
      </c>
      <c r="B89" s="42"/>
      <c r="C89" s="42"/>
      <c r="D89" s="42"/>
      <c r="E89" s="42"/>
      <c r="F89" s="42"/>
      <c r="G89" s="42"/>
      <c r="H89" s="42">
        <v>252.36699999999999</v>
      </c>
      <c r="I89" s="42"/>
      <c r="J89" s="35"/>
      <c r="K89" s="42"/>
      <c r="L89" s="42"/>
      <c r="M89" s="42"/>
      <c r="N89" s="42"/>
      <c r="O89" s="42"/>
      <c r="P89" s="42">
        <f t="shared" si="1"/>
        <v>252.36699999999999</v>
      </c>
    </row>
    <row r="90" spans="1:16" x14ac:dyDescent="0.25">
      <c r="A90" s="42" t="s">
        <v>166</v>
      </c>
      <c r="B90" s="42">
        <v>110.44400000000002</v>
      </c>
      <c r="C90" s="42"/>
      <c r="D90" s="42"/>
      <c r="E90" s="42"/>
      <c r="F90" s="42"/>
      <c r="G90" s="42"/>
      <c r="H90" s="42"/>
      <c r="I90" s="42"/>
      <c r="J90" s="35"/>
      <c r="K90" s="42"/>
      <c r="L90" s="42"/>
      <c r="M90" s="42"/>
      <c r="N90" s="42"/>
      <c r="O90" s="42"/>
      <c r="P90" s="42">
        <f t="shared" si="1"/>
        <v>110.44400000000002</v>
      </c>
    </row>
    <row r="91" spans="1:16" x14ac:dyDescent="0.25">
      <c r="A91" s="42" t="s">
        <v>179</v>
      </c>
      <c r="B91" s="42"/>
      <c r="C91" s="42"/>
      <c r="D91" s="42"/>
      <c r="E91" s="42"/>
      <c r="F91" s="42"/>
      <c r="G91" s="42"/>
      <c r="H91" s="42"/>
      <c r="I91" s="42"/>
      <c r="J91" s="35"/>
      <c r="K91" s="42"/>
      <c r="L91" s="42">
        <v>133.02000000000001</v>
      </c>
      <c r="M91" s="42"/>
      <c r="N91" s="42"/>
      <c r="O91" s="42"/>
      <c r="P91" s="42">
        <f t="shared" si="1"/>
        <v>133.02000000000001</v>
      </c>
    </row>
    <row r="92" spans="1:16" x14ac:dyDescent="0.25">
      <c r="A92" s="42" t="s">
        <v>228</v>
      </c>
      <c r="B92" s="42"/>
      <c r="C92" s="42"/>
      <c r="D92" s="42"/>
      <c r="E92" s="42"/>
      <c r="F92" s="42"/>
      <c r="G92" s="42"/>
      <c r="H92" s="42"/>
      <c r="I92" s="42"/>
      <c r="J92" s="35"/>
      <c r="K92" s="42"/>
      <c r="L92" s="42">
        <v>225.40000000000003</v>
      </c>
      <c r="M92" s="42"/>
      <c r="N92" s="42"/>
      <c r="O92" s="42"/>
      <c r="P92" s="42">
        <f t="shared" si="1"/>
        <v>225.40000000000003</v>
      </c>
    </row>
    <row r="93" spans="1:16" x14ac:dyDescent="0.25">
      <c r="A93" s="42" t="s">
        <v>181</v>
      </c>
      <c r="B93" s="42"/>
      <c r="C93" s="42"/>
      <c r="D93" s="42"/>
      <c r="E93" s="42"/>
      <c r="F93" s="42"/>
      <c r="G93" s="42"/>
      <c r="H93" s="42"/>
      <c r="I93" s="42"/>
      <c r="J93" s="35"/>
      <c r="K93" s="42">
        <v>132.851</v>
      </c>
      <c r="L93" s="42"/>
      <c r="M93" s="42"/>
      <c r="N93" s="42"/>
      <c r="O93" s="42"/>
      <c r="P93" s="42">
        <f t="shared" si="1"/>
        <v>132.851</v>
      </c>
    </row>
    <row r="94" spans="1:16" x14ac:dyDescent="0.25">
      <c r="A94" s="42" t="s">
        <v>129</v>
      </c>
      <c r="B94" s="42"/>
      <c r="C94" s="42"/>
      <c r="D94" s="42"/>
      <c r="E94" s="42"/>
      <c r="F94" s="42"/>
      <c r="G94" s="42"/>
      <c r="H94" s="42"/>
      <c r="I94" s="42"/>
      <c r="J94" s="35"/>
      <c r="K94" s="42"/>
      <c r="L94" s="42">
        <v>180.74</v>
      </c>
      <c r="M94" s="42"/>
      <c r="N94" s="42"/>
      <c r="O94" s="42"/>
      <c r="P94" s="42">
        <f t="shared" si="1"/>
        <v>180.74</v>
      </c>
    </row>
    <row r="95" spans="1:16" x14ac:dyDescent="0.25">
      <c r="A95" s="42" t="s">
        <v>161</v>
      </c>
      <c r="B95" s="42"/>
      <c r="C95" s="42"/>
      <c r="D95" s="42"/>
      <c r="E95" s="42"/>
      <c r="F95" s="42"/>
      <c r="G95" s="42"/>
      <c r="H95" s="42"/>
      <c r="I95" s="42"/>
      <c r="J95" s="35"/>
      <c r="K95" s="42"/>
      <c r="L95" s="42">
        <v>166.49</v>
      </c>
      <c r="M95" s="42"/>
      <c r="N95" s="42"/>
      <c r="O95" s="42"/>
      <c r="P95" s="42">
        <f t="shared" si="1"/>
        <v>166.49</v>
      </c>
    </row>
    <row r="96" spans="1:16" x14ac:dyDescent="0.25">
      <c r="A96" s="42" t="s">
        <v>127</v>
      </c>
      <c r="B96" s="42"/>
      <c r="C96" s="42"/>
      <c r="D96" s="42"/>
      <c r="E96" s="42"/>
      <c r="F96" s="42"/>
      <c r="G96" s="42">
        <v>30</v>
      </c>
      <c r="H96" s="42"/>
      <c r="I96" s="42"/>
      <c r="J96" s="35">
        <v>162.45699999999997</v>
      </c>
      <c r="K96" s="42"/>
      <c r="L96" s="42"/>
      <c r="M96" s="42"/>
      <c r="N96" s="42"/>
      <c r="O96" s="42"/>
      <c r="P96" s="42">
        <f t="shared" si="1"/>
        <v>192.45699999999997</v>
      </c>
    </row>
    <row r="97" spans="1:16" x14ac:dyDescent="0.25">
      <c r="A97" s="42" t="s">
        <v>153</v>
      </c>
      <c r="B97" s="42"/>
      <c r="C97" s="42"/>
      <c r="D97" s="42"/>
      <c r="E97" s="42"/>
      <c r="F97" s="42"/>
      <c r="G97" s="42"/>
      <c r="H97" s="42"/>
      <c r="I97" s="42"/>
      <c r="J97" s="35"/>
      <c r="K97" s="42"/>
      <c r="L97" s="42">
        <v>32.130000000000003</v>
      </c>
      <c r="M97" s="42"/>
      <c r="N97" s="42"/>
      <c r="O97" s="42"/>
      <c r="P97" s="42">
        <f t="shared" si="1"/>
        <v>32.130000000000003</v>
      </c>
    </row>
    <row r="98" spans="1:16" x14ac:dyDescent="0.25">
      <c r="A98" s="42" t="s">
        <v>157</v>
      </c>
      <c r="B98" s="42"/>
      <c r="C98" s="42"/>
      <c r="D98" s="42"/>
      <c r="E98" s="42"/>
      <c r="F98" s="42"/>
      <c r="G98" s="42">
        <v>30</v>
      </c>
      <c r="H98" s="42"/>
      <c r="I98" s="42">
        <v>20</v>
      </c>
      <c r="J98" s="35">
        <v>153.583</v>
      </c>
      <c r="K98" s="42"/>
      <c r="L98" s="42"/>
      <c r="M98" s="42"/>
      <c r="N98" s="42"/>
      <c r="O98" s="42"/>
      <c r="P98" s="42">
        <f t="shared" si="1"/>
        <v>203.583</v>
      </c>
    </row>
    <row r="99" spans="1:16" x14ac:dyDescent="0.25">
      <c r="A99" s="42" t="s">
        <v>144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>
        <v>21.34</v>
      </c>
      <c r="M99" s="42"/>
      <c r="N99" s="42"/>
      <c r="O99" s="42"/>
      <c r="P99" s="42">
        <f t="shared" si="1"/>
        <v>21.34</v>
      </c>
    </row>
    <row r="100" spans="1:16" x14ac:dyDescent="0.25">
      <c r="A100" s="42" t="s">
        <v>132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>
        <v>71.759999999999991</v>
      </c>
      <c r="M100" s="42"/>
      <c r="N100" s="42"/>
      <c r="O100" s="42"/>
      <c r="P100" s="42">
        <f t="shared" si="1"/>
        <v>71.759999999999991</v>
      </c>
    </row>
    <row r="101" spans="1:16" x14ac:dyDescent="0.25">
      <c r="A101" s="110" t="s">
        <v>216</v>
      </c>
      <c r="B101" s="110">
        <f>SUM(B2:B100)</f>
        <v>2549.8250000000003</v>
      </c>
      <c r="C101" s="110">
        <f t="shared" ref="C101:P101" si="2">SUM(C2:C100)</f>
        <v>654.16699999999992</v>
      </c>
      <c r="D101" s="110">
        <f t="shared" si="2"/>
        <v>118.33</v>
      </c>
      <c r="E101" s="110">
        <f t="shared" si="2"/>
        <v>316.702</v>
      </c>
      <c r="F101" s="110">
        <f t="shared" si="2"/>
        <v>460.245</v>
      </c>
      <c r="G101" s="110">
        <f t="shared" si="2"/>
        <v>788.12899999999991</v>
      </c>
      <c r="H101" s="110">
        <f t="shared" si="2"/>
        <v>1907.7779999999996</v>
      </c>
      <c r="I101" s="110">
        <f t="shared" si="2"/>
        <v>146.005</v>
      </c>
      <c r="J101" s="112">
        <f t="shared" si="2"/>
        <v>864.82500000000005</v>
      </c>
      <c r="K101" s="110">
        <f t="shared" si="2"/>
        <v>1413.6869999999999</v>
      </c>
      <c r="L101" s="110">
        <f t="shared" si="2"/>
        <v>3171.7</v>
      </c>
      <c r="M101" s="110">
        <f t="shared" si="2"/>
        <v>502.59199999999998</v>
      </c>
      <c r="N101" s="110">
        <f t="shared" si="2"/>
        <v>889.51699999999994</v>
      </c>
      <c r="O101" s="110">
        <f>SUM(O2:O100)</f>
        <v>395</v>
      </c>
      <c r="P101" s="110">
        <f t="shared" si="2"/>
        <v>14178.502000000002</v>
      </c>
    </row>
    <row r="102" spans="1:16" s="17" customFormat="1" x14ac:dyDescent="0.25">
      <c r="A102" s="90" t="s">
        <v>323</v>
      </c>
      <c r="B102" s="90">
        <v>2550</v>
      </c>
      <c r="C102" s="90">
        <v>657.5</v>
      </c>
      <c r="D102" s="90"/>
      <c r="E102" s="90"/>
      <c r="F102" s="90"/>
      <c r="G102" s="90">
        <v>794</v>
      </c>
      <c r="H102" s="90">
        <v>1974</v>
      </c>
      <c r="I102" s="90">
        <v>149.69999999999999</v>
      </c>
      <c r="J102" s="90">
        <f>798.5+56.5+9.8</f>
        <v>864.8</v>
      </c>
      <c r="K102" s="90"/>
      <c r="L102" s="90"/>
      <c r="M102" s="90"/>
      <c r="N102" s="90"/>
      <c r="O102" s="90"/>
      <c r="P102" s="90"/>
    </row>
    <row r="103" spans="1:16" x14ac:dyDescent="0.25">
      <c r="A103" s="86" t="s">
        <v>94</v>
      </c>
      <c r="B103" s="87">
        <f>B102-B101</f>
        <v>0.17499999999972715</v>
      </c>
      <c r="C103" s="87">
        <f>C102-C101</f>
        <v>3.3330000000000837</v>
      </c>
      <c r="D103" s="87">
        <v>10</v>
      </c>
      <c r="E103" s="87">
        <v>0</v>
      </c>
      <c r="F103" s="87">
        <v>3</v>
      </c>
      <c r="G103" s="87">
        <v>0</v>
      </c>
      <c r="H103" s="87">
        <f>H102-H101</f>
        <v>66.222000000000435</v>
      </c>
      <c r="I103" s="97">
        <v>0</v>
      </c>
      <c r="J103" s="87">
        <v>0</v>
      </c>
      <c r="K103" s="87">
        <v>118.3130000000001</v>
      </c>
      <c r="L103" s="87">
        <f>3400-L101</f>
        <v>228.30000000000018</v>
      </c>
      <c r="M103" s="87">
        <v>0</v>
      </c>
      <c r="N103" s="87">
        <v>0</v>
      </c>
      <c r="O103" s="87">
        <v>0</v>
      </c>
      <c r="P103" s="87">
        <f>SUM(B103:O103)</f>
        <v>429.34300000000053</v>
      </c>
    </row>
    <row r="104" spans="1:16" s="17" customFormat="1" x14ac:dyDescent="0.25"/>
    <row r="105" spans="1:16" s="17" customFormat="1" x14ac:dyDescent="0.25">
      <c r="G105" s="11"/>
    </row>
  </sheetData>
  <customSheetViews>
    <customSheetView guid="{DA8006FA-F549-4B7E-8C3D-B376CE1F2F36}">
      <pane xSplit="1" ySplit="1" topLeftCell="B80" activePane="bottomRight" state="frozen"/>
      <selection pane="bottomRight" activeCell="C102" sqref="C102"/>
      <pageMargins left="0.7" right="0.7" top="0.75" bottom="0.75" header="0.3" footer="0.3"/>
    </customSheetView>
    <customSheetView guid="{F0DA5CBD-521B-45E5-999C-010E89D9B2D8}" topLeftCell="A82">
      <selection activeCell="F104" sqref="F104"/>
      <pageMargins left="0.7" right="0.7" top="0.75" bottom="0.75" header="0.3" footer="0.3"/>
    </customSheetView>
    <customSheetView guid="{5F1CCD53-A6B6-4801-9001-0C0BEBA8D20D}" showAutoFilter="1">
      <pane xSplit="1" ySplit="1" topLeftCell="B2" activePane="bottomRight" state="frozen"/>
      <selection pane="bottomRight" activeCell="P27" sqref="P27"/>
      <pageMargins left="0.7" right="0.7" top="0.75" bottom="0.75" header="0.3" footer="0.3"/>
      <autoFilter ref="A1:P102"/>
    </customSheetView>
    <customSheetView guid="{D364304B-E18C-453B-A624-DE6197120D49}" showAutoFilter="1">
      <pane xSplit="1" ySplit="1" topLeftCell="B68" activePane="bottomRight" state="frozen"/>
      <selection pane="bottomRight" activeCell="H102" sqref="H102"/>
      <pageMargins left="0.7" right="0.7" top="0.75" bottom="0.75" header="0.3" footer="0.3"/>
      <autoFilter ref="A1:P103"/>
    </customSheetView>
    <customSheetView guid="{BDA34D52-B4BA-426C-853B-2B50F8AB0C76}">
      <pane xSplit="1" ySplit="1" topLeftCell="B2" activePane="bottomRight" state="frozen"/>
      <selection pane="bottomRight" activeCell="V1" sqref="V1:AC4"/>
      <pageMargins left="0.7" right="0.7" top="0.75" bottom="0.75" header="0.3" footer="0.3"/>
    </customSheetView>
    <customSheetView guid="{C66BF055-7613-4DC3-BA99-25F44C751266}" scale="77">
      <pane xSplit="1" ySplit="1" topLeftCell="B47" activePane="bottomRight" state="frozen"/>
      <selection pane="bottomRight" activeCell="I84" sqref="I84"/>
      <pageMargins left="0.7" right="0.7" top="0.75" bottom="0.75" header="0.3" footer="0.3"/>
    </customSheetView>
    <customSheetView guid="{7A751D0E-E1DB-4CA9-844E-987730CC2DF7}" scale="77">
      <pane xSplit="1" ySplit="1" topLeftCell="B41" activePane="bottomRight" state="frozen"/>
      <selection pane="bottomRight" activeCell="A3" sqref="A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November</vt:lpstr>
      <vt:lpstr>December </vt:lpstr>
      <vt:lpstr>Jan_15</vt:lpstr>
      <vt:lpstr>Feb_15</vt:lpstr>
      <vt:lpstr>Mar_15</vt:lpstr>
      <vt:lpstr>Apr_15</vt:lpstr>
      <vt:lpstr>May_15</vt:lpstr>
      <vt:lpstr>June_15</vt:lpstr>
      <vt:lpstr>July_15</vt:lpstr>
      <vt:lpstr>August_15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Yalovol</dc:creator>
  <cp:lastModifiedBy>Natalia Chernonog</cp:lastModifiedBy>
  <dcterms:created xsi:type="dcterms:W3CDTF">2011-12-28T13:46:36Z</dcterms:created>
  <dcterms:modified xsi:type="dcterms:W3CDTF">2015-12-15T17:59:14Z</dcterms:modified>
</cp:coreProperties>
</file>