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natal\Downloads\"/>
    </mc:Choice>
  </mc:AlternateContent>
  <xr:revisionPtr revIDLastSave="0" documentId="13_ncr:1_{847F4D9E-E5A6-4F34-8064-CF589D400FD7}" xr6:coauthVersionLast="47" xr6:coauthVersionMax="47" xr10:uidLastSave="{00000000-0000-0000-0000-000000000000}"/>
  <bookViews>
    <workbookView xWindow="-110" yWindow="-110" windowWidth="19420" windowHeight="10300" tabRatio="717" firstSheet="2" activeTab="7" xr2:uid="{00000000-000D-0000-FFFF-FFFF00000000}"/>
  </bookViews>
  <sheets>
    <sheet name="SABANA" sheetId="12" r:id="rId1"/>
    <sheet name="DIF MES" sheetId="1" r:id="rId2"/>
    <sheet name="CAP ANT INDEX " sheetId="15" r:id="rId3"/>
    <sheet name="MORAT ANT DTF" sheetId="8" r:id="rId4"/>
    <sheet name="MORAT ANT" sheetId="3" r:id="rId5"/>
    <sheet name="CAP POST" sheetId="10" r:id="rId6"/>
    <sheet name="MORAT SUCES DTF" sheetId="7" r:id="rId7"/>
    <sheet name="MORAT SUCES" sheetId="5" r:id="rId8"/>
    <sheet name="PAGOS" sheetId="11" r:id="rId9"/>
    <sheet name="IPC"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4" i="5" l="1"/>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33" i="5"/>
  <c r="K26" i="5"/>
  <c r="K19" i="5"/>
  <c r="K12" i="5"/>
  <c r="K11" i="5"/>
  <c r="J103" i="7"/>
  <c r="J89" i="7"/>
  <c r="J82" i="7"/>
  <c r="J75" i="7"/>
  <c r="J68" i="7"/>
  <c r="J61" i="7"/>
  <c r="J54" i="7"/>
  <c r="J47" i="7"/>
  <c r="J34" i="7"/>
  <c r="J35" i="7"/>
  <c r="J36" i="7"/>
  <c r="J37" i="7"/>
  <c r="J38" i="7"/>
  <c r="J39" i="7"/>
  <c r="J40" i="7"/>
  <c r="J41" i="7"/>
  <c r="J42" i="7"/>
  <c r="J43" i="7"/>
  <c r="J44" i="7"/>
  <c r="J45" i="7"/>
  <c r="J46" i="7"/>
  <c r="J48" i="7"/>
  <c r="J49" i="7"/>
  <c r="J50" i="7"/>
  <c r="J51" i="7"/>
  <c r="J52" i="7"/>
  <c r="J53" i="7"/>
  <c r="J55" i="7"/>
  <c r="J56" i="7"/>
  <c r="J57" i="7"/>
  <c r="J58" i="7"/>
  <c r="J59" i="7"/>
  <c r="J60" i="7"/>
  <c r="J62" i="7"/>
  <c r="J63" i="7"/>
  <c r="J64" i="7"/>
  <c r="J65" i="7"/>
  <c r="J66" i="7"/>
  <c r="J67" i="7"/>
  <c r="J69" i="7"/>
  <c r="J70" i="7"/>
  <c r="J71" i="7"/>
  <c r="J72" i="7"/>
  <c r="J73" i="7"/>
  <c r="J74" i="7"/>
  <c r="J76" i="7"/>
  <c r="J77" i="7"/>
  <c r="J78" i="7"/>
  <c r="J79" i="7"/>
  <c r="J80" i="7"/>
  <c r="J81" i="7"/>
  <c r="J83" i="7"/>
  <c r="J84" i="7"/>
  <c r="J85" i="7"/>
  <c r="J86" i="7"/>
  <c r="J87" i="7"/>
  <c r="J88" i="7"/>
  <c r="J90" i="7"/>
  <c r="J91" i="7"/>
  <c r="J92" i="7"/>
  <c r="J93" i="7"/>
  <c r="J94" i="7"/>
  <c r="J95" i="7"/>
  <c r="J96" i="7"/>
  <c r="J97" i="7"/>
  <c r="J98" i="7"/>
  <c r="J99" i="7"/>
  <c r="J100" i="7"/>
  <c r="J101" i="7"/>
  <c r="J102"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33" i="7"/>
  <c r="J26" i="7"/>
  <c r="J19" i="7"/>
  <c r="J12" i="7"/>
  <c r="J17" i="7"/>
  <c r="J16" i="7"/>
  <c r="J15" i="7"/>
  <c r="J14" i="7"/>
  <c r="J13" i="7"/>
  <c r="K8" i="5"/>
  <c r="K9" i="5"/>
  <c r="K10" i="5"/>
  <c r="K13" i="5"/>
  <c r="K14" i="5"/>
  <c r="K15" i="5"/>
  <c r="K16" i="5"/>
  <c r="K17" i="5"/>
  <c r="K18" i="5"/>
  <c r="K20" i="5"/>
  <c r="K21" i="5"/>
  <c r="K22" i="5"/>
  <c r="K23" i="5"/>
  <c r="K24" i="5"/>
  <c r="K25" i="5"/>
  <c r="K27" i="5"/>
  <c r="K28" i="5"/>
  <c r="K29" i="5"/>
  <c r="K30" i="5"/>
  <c r="K31" i="5"/>
  <c r="K32" i="5"/>
  <c r="K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s="1"/>
  <c r="F201" i="5" s="1"/>
  <c r="F202" i="5" s="1"/>
  <c r="F203" i="5" s="1"/>
  <c r="F204" i="5" s="1"/>
  <c r="F205" i="5" s="1"/>
  <c r="F206" i="5" s="1"/>
  <c r="F207" i="5" s="1"/>
  <c r="F208" i="5" s="1"/>
  <c r="F209" i="5" s="1"/>
  <c r="F210" i="5" s="1"/>
  <c r="F211" i="5" s="1"/>
  <c r="F212" i="5" s="1"/>
  <c r="F213" i="5" s="1"/>
  <c r="F214" i="5" s="1"/>
  <c r="F215" i="5" s="1"/>
  <c r="F216" i="5" s="1"/>
  <c r="F217" i="5" s="1"/>
  <c r="F218" i="5" s="1"/>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7" i="5"/>
  <c r="F6" i="5"/>
  <c r="J8" i="7"/>
  <c r="J9" i="7"/>
  <c r="J10" i="7"/>
  <c r="J11" i="7"/>
  <c r="J18" i="7"/>
  <c r="J20" i="7"/>
  <c r="J21" i="7"/>
  <c r="J22" i="7"/>
  <c r="J23" i="7"/>
  <c r="J24" i="7"/>
  <c r="J25" i="7"/>
  <c r="J27" i="7"/>
  <c r="J28" i="7"/>
  <c r="J29" i="7"/>
  <c r="J30" i="7"/>
  <c r="J31" i="7"/>
  <c r="J32" i="7"/>
  <c r="J7" i="7"/>
  <c r="J6" i="7"/>
  <c r="F245" i="7"/>
  <c r="F246" i="7"/>
  <c r="F247" i="7"/>
  <c r="F248"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s="1"/>
  <c r="F199" i="7" s="1"/>
  <c r="F200" i="7" s="1"/>
  <c r="F201" i="7" s="1"/>
  <c r="F202" i="7" s="1"/>
  <c r="F203" i="7" s="1"/>
  <c r="F204" i="7" s="1"/>
  <c r="F205" i="7" s="1"/>
  <c r="F206" i="7" s="1"/>
  <c r="F207" i="7" s="1"/>
  <c r="F208" i="7" s="1"/>
  <c r="F209" i="7" s="1"/>
  <c r="F210" i="7" s="1"/>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7" i="7"/>
  <c r="F6" i="7" l="1"/>
  <c r="K6" i="5" l="1"/>
  <c r="E4" i="5"/>
  <c r="D4" i="7"/>
  <c r="E4" i="3"/>
  <c r="E3" i="5"/>
  <c r="D3" i="7"/>
  <c r="E3" i="3"/>
  <c r="E3" i="8"/>
  <c r="E4" i="8"/>
  <c r="C29" i="12" l="1"/>
  <c r="D28" i="12" l="1"/>
  <c r="C28" i="12"/>
  <c r="C26" i="12"/>
  <c r="D24" i="12"/>
  <c r="E2" i="5"/>
  <c r="D1" i="7"/>
  <c r="B7" i="5" l="1"/>
  <c r="A6" i="7"/>
  <c r="A7" i="7"/>
  <c r="D2" i="7"/>
  <c r="E2" i="10"/>
  <c r="C6" i="10" s="1"/>
  <c r="C18" i="12"/>
  <c r="J3" i="1"/>
  <c r="H4" i="1"/>
  <c r="I5" i="1"/>
  <c r="E1" i="5"/>
  <c r="E1" i="3"/>
  <c r="E1" i="10"/>
  <c r="E1" i="8"/>
  <c r="H19" i="1"/>
  <c r="H18" i="1"/>
  <c r="H17" i="1"/>
  <c r="F2" i="15"/>
  <c r="F1" i="15"/>
  <c r="C24" i="12"/>
  <c r="K206" i="15"/>
  <c r="K213" i="15"/>
  <c r="K220" i="15"/>
  <c r="K227" i="15"/>
  <c r="B7" i="7" l="1"/>
  <c r="B8" i="5"/>
  <c r="B9" i="5" s="1"/>
  <c r="A8" i="8"/>
  <c r="A7" i="8"/>
  <c r="C2" i="1"/>
  <c r="B7" i="10"/>
  <c r="C7" i="10"/>
  <c r="C8" i="10" s="1"/>
  <c r="C9" i="10" s="1"/>
  <c r="C11" i="10" s="1"/>
  <c r="C12" i="10" s="1"/>
  <c r="C13" i="10" s="1"/>
  <c r="C14" i="10" s="1"/>
  <c r="C15" i="10" s="1"/>
  <c r="C16" i="10" s="1"/>
  <c r="C18" i="10" s="1"/>
  <c r="C19" i="10" s="1"/>
  <c r="C20" i="10" s="1"/>
  <c r="C21" i="10" s="1"/>
  <c r="C22" i="10" s="1"/>
  <c r="C23" i="10" s="1"/>
  <c r="C25" i="10" s="1"/>
  <c r="C26" i="10" s="1"/>
  <c r="C27" i="10" s="1"/>
  <c r="C28" i="10" s="1"/>
  <c r="C29" i="10" s="1"/>
  <c r="C30" i="10" s="1"/>
  <c r="C32" i="10" s="1"/>
  <c r="C33" i="10" s="1"/>
  <c r="C34" i="10" s="1"/>
  <c r="C35" i="10" s="1"/>
  <c r="C36" i="10" s="1"/>
  <c r="C37" i="10" s="1"/>
  <c r="C39" i="10" s="1"/>
  <c r="B6" i="10"/>
  <c r="F6" i="10" s="1"/>
  <c r="B5" i="10"/>
  <c r="D5" i="10" s="1"/>
  <c r="E2" i="8"/>
  <c r="B8" i="8" s="1"/>
  <c r="D29" i="12"/>
  <c r="D26" i="12"/>
  <c r="E2" i="3"/>
  <c r="B8" i="3" s="1"/>
  <c r="A6" i="15"/>
  <c r="A5" i="15"/>
  <c r="H4" i="15"/>
  <c r="B6" i="15"/>
  <c r="J1" i="3"/>
  <c r="A8" i="3" s="1"/>
  <c r="K1" i="5"/>
  <c r="C20" i="1"/>
  <c r="C21" i="1" s="1"/>
  <c r="C22" i="1" s="1"/>
  <c r="C23" i="1" s="1"/>
  <c r="C24" i="1" s="1"/>
  <c r="C25" i="1" s="1"/>
  <c r="C26" i="1" s="1"/>
  <c r="C27" i="1" s="1"/>
  <c r="C28" i="1" s="1"/>
  <c r="C29" i="1" s="1"/>
  <c r="C30" i="1" s="1"/>
  <c r="C31" i="1" s="1"/>
  <c r="C32" i="1" s="1"/>
  <c r="C33" i="1" s="1"/>
  <c r="C34" i="1" s="1"/>
  <c r="C35" i="1" s="1"/>
  <c r="C36" i="1" s="1"/>
  <c r="C37" i="1" s="1"/>
  <c r="C38" i="1" s="1"/>
  <c r="F4" i="10"/>
  <c r="A8" i="7" l="1"/>
  <c r="B8" i="7"/>
  <c r="A9" i="5"/>
  <c r="A10" i="5"/>
  <c r="B10" i="5"/>
  <c r="A6" i="5"/>
  <c r="B9" i="8"/>
  <c r="A9" i="8"/>
  <c r="A7" i="5"/>
  <c r="A8" i="5"/>
  <c r="F5" i="10"/>
  <c r="F7" i="10"/>
  <c r="B9" i="3"/>
  <c r="A9" i="3"/>
  <c r="A7" i="3"/>
  <c r="E7" i="3" s="1"/>
  <c r="C40" i="10"/>
  <c r="C41" i="10" s="1"/>
  <c r="C42" i="10" s="1"/>
  <c r="C43" i="10" s="1"/>
  <c r="C44" i="10" s="1"/>
  <c r="C38" i="10"/>
  <c r="B8" i="10"/>
  <c r="F8" i="10" s="1"/>
  <c r="J8" i="3"/>
  <c r="E7" i="8"/>
  <c r="I8" i="8"/>
  <c r="E8" i="8"/>
  <c r="C3" i="1"/>
  <c r="E2" i="1"/>
  <c r="A7" i="15"/>
  <c r="B7" i="15"/>
  <c r="B9" i="10"/>
  <c r="I6" i="7"/>
  <c r="I7" i="7"/>
  <c r="D7" i="10"/>
  <c r="D6" i="10"/>
  <c r="I11" i="5"/>
  <c r="I18" i="5"/>
  <c r="I25" i="5"/>
  <c r="I40" i="5"/>
  <c r="I46" i="5"/>
  <c r="I53" i="5"/>
  <c r="I60" i="5"/>
  <c r="I67" i="5"/>
  <c r="I74" i="5"/>
  <c r="I81" i="5"/>
  <c r="I88" i="5"/>
  <c r="I95" i="5"/>
  <c r="I102" i="5"/>
  <c r="I109" i="5"/>
  <c r="I116" i="5"/>
  <c r="I123" i="5"/>
  <c r="I130" i="5"/>
  <c r="I137" i="5"/>
  <c r="I144" i="5"/>
  <c r="I151" i="5"/>
  <c r="I158" i="5"/>
  <c r="I161" i="5"/>
  <c r="I162" i="5"/>
  <c r="I163" i="5"/>
  <c r="I164" i="5"/>
  <c r="I165" i="5"/>
  <c r="I166" i="5"/>
  <c r="I167" i="5"/>
  <c r="I168" i="5"/>
  <c r="I169"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200" i="5"/>
  <c r="I207" i="5"/>
  <c r="I214" i="5"/>
  <c r="I221" i="5"/>
  <c r="I228" i="5"/>
  <c r="I235" i="5"/>
  <c r="I242" i="5"/>
  <c r="I249" i="5"/>
  <c r="I256" i="5"/>
  <c r="H73" i="5"/>
  <c r="I73" i="5" s="1"/>
  <c r="F5" i="15"/>
  <c r="K10" i="15"/>
  <c r="K17" i="15"/>
  <c r="K24" i="15"/>
  <c r="K31" i="15"/>
  <c r="K38" i="15"/>
  <c r="K45" i="15"/>
  <c r="K52" i="15"/>
  <c r="K59" i="15"/>
  <c r="K66" i="15"/>
  <c r="K73" i="15"/>
  <c r="K80" i="15"/>
  <c r="K87" i="15"/>
  <c r="K94" i="15"/>
  <c r="K101" i="15"/>
  <c r="K108" i="15"/>
  <c r="K115" i="15"/>
  <c r="K122" i="15"/>
  <c r="K129" i="15"/>
  <c r="K136" i="15"/>
  <c r="K143" i="15"/>
  <c r="K150" i="15"/>
  <c r="K157" i="15"/>
  <c r="K164" i="15"/>
  <c r="K171" i="15"/>
  <c r="K178" i="15"/>
  <c r="K185" i="15"/>
  <c r="K192" i="15"/>
  <c r="K199" i="15"/>
  <c r="K234" i="15"/>
  <c r="K241" i="15"/>
  <c r="K248" i="15"/>
  <c r="K255" i="15"/>
  <c r="K262" i="15"/>
  <c r="K269" i="15"/>
  <c r="K276" i="15"/>
  <c r="K283" i="15"/>
  <c r="K290" i="15"/>
  <c r="K297" i="15"/>
  <c r="K304" i="15"/>
  <c r="K311" i="15"/>
  <c r="K318" i="15"/>
  <c r="K325" i="15"/>
  <c r="K332" i="15"/>
  <c r="K339" i="15"/>
  <c r="K346" i="15"/>
  <c r="K353" i="15"/>
  <c r="K360" i="15"/>
  <c r="K367" i="15"/>
  <c r="K374" i="15"/>
  <c r="K381" i="15"/>
  <c r="K388" i="15"/>
  <c r="K395" i="15"/>
  <c r="K402" i="15"/>
  <c r="K409" i="15"/>
  <c r="K416" i="15"/>
  <c r="K423" i="15"/>
  <c r="K430" i="15"/>
  <c r="K437" i="15"/>
  <c r="K444" i="15"/>
  <c r="K451" i="15"/>
  <c r="K458" i="15"/>
  <c r="K465" i="15"/>
  <c r="J9" i="5" l="1"/>
  <c r="A9" i="7"/>
  <c r="B9" i="7"/>
  <c r="M8" i="5"/>
  <c r="J6" i="5"/>
  <c r="J7" i="3"/>
  <c r="B10" i="8"/>
  <c r="A10" i="8"/>
  <c r="B10" i="3"/>
  <c r="A10" i="3"/>
  <c r="B12" i="5"/>
  <c r="A12" i="5"/>
  <c r="E8" i="3"/>
  <c r="J9" i="3"/>
  <c r="E3" i="1"/>
  <c r="C4" i="1"/>
  <c r="I9" i="8"/>
  <c r="E9" i="8"/>
  <c r="C46" i="10"/>
  <c r="C47" i="10" s="1"/>
  <c r="C48" i="10" s="1"/>
  <c r="C49" i="10" s="1"/>
  <c r="C50" i="10" s="1"/>
  <c r="C51" i="10" s="1"/>
  <c r="C53" i="10" s="1"/>
  <c r="C45" i="10"/>
  <c r="E9" i="3"/>
  <c r="B8" i="15"/>
  <c r="A8" i="15"/>
  <c r="B11" i="10"/>
  <c r="J8" i="5"/>
  <c r="J10" i="5"/>
  <c r="F9" i="10"/>
  <c r="D8" i="10"/>
  <c r="J7" i="5"/>
  <c r="I10" i="8" l="1"/>
  <c r="B10" i="7"/>
  <c r="A10" i="7"/>
  <c r="A11" i="3"/>
  <c r="B11" i="3"/>
  <c r="B11" i="8"/>
  <c r="A11" i="8"/>
  <c r="E10" i="8"/>
  <c r="A11" i="5"/>
  <c r="B11" i="5"/>
  <c r="B13" i="5"/>
  <c r="A13" i="5"/>
  <c r="C52" i="10"/>
  <c r="C54" i="10"/>
  <c r="C55" i="10" s="1"/>
  <c r="C56" i="10" s="1"/>
  <c r="C57" i="10" s="1"/>
  <c r="C58" i="10" s="1"/>
  <c r="E4" i="1"/>
  <c r="C5" i="1"/>
  <c r="E10" i="3"/>
  <c r="J10" i="3"/>
  <c r="B9" i="15"/>
  <c r="A9" i="15"/>
  <c r="J12" i="5"/>
  <c r="D9" i="10"/>
  <c r="I8" i="7"/>
  <c r="H260" i="5"/>
  <c r="I260" i="5" s="1"/>
  <c r="H216" i="5"/>
  <c r="I216" i="5" s="1"/>
  <c r="H217" i="5"/>
  <c r="I217" i="5" s="1"/>
  <c r="H218" i="5"/>
  <c r="I218" i="5" s="1"/>
  <c r="H219" i="5"/>
  <c r="I219" i="5" s="1"/>
  <c r="H220" i="5"/>
  <c r="I220" i="5" s="1"/>
  <c r="H222" i="5"/>
  <c r="I222" i="5" s="1"/>
  <c r="H223" i="5"/>
  <c r="I223" i="5" s="1"/>
  <c r="H224" i="5"/>
  <c r="I224" i="5" s="1"/>
  <c r="H225" i="5"/>
  <c r="I225" i="5" s="1"/>
  <c r="H226" i="5"/>
  <c r="I226" i="5" s="1"/>
  <c r="H227" i="5"/>
  <c r="I227" i="5" s="1"/>
  <c r="H229" i="5"/>
  <c r="I229" i="5" s="1"/>
  <c r="H230" i="5"/>
  <c r="I230" i="5" s="1"/>
  <c r="H231" i="5"/>
  <c r="I231" i="5" s="1"/>
  <c r="H232" i="5"/>
  <c r="I232" i="5" s="1"/>
  <c r="H233" i="5"/>
  <c r="I233" i="5" s="1"/>
  <c r="H234" i="5"/>
  <c r="I234" i="5" s="1"/>
  <c r="H236" i="5"/>
  <c r="I236" i="5" s="1"/>
  <c r="H237" i="5"/>
  <c r="I237" i="5" s="1"/>
  <c r="H238" i="5"/>
  <c r="I238" i="5" s="1"/>
  <c r="H239" i="5"/>
  <c r="I239" i="5" s="1"/>
  <c r="H240" i="5"/>
  <c r="I240" i="5" s="1"/>
  <c r="H241" i="5"/>
  <c r="I241" i="5" s="1"/>
  <c r="H243" i="5"/>
  <c r="I243" i="5" s="1"/>
  <c r="H244" i="5"/>
  <c r="I244" i="5" s="1"/>
  <c r="H245" i="5"/>
  <c r="I245" i="5" s="1"/>
  <c r="H246" i="5"/>
  <c r="I246" i="5" s="1"/>
  <c r="H247" i="5"/>
  <c r="I247" i="5" s="1"/>
  <c r="H248" i="5"/>
  <c r="I248" i="5" s="1"/>
  <c r="H250" i="5"/>
  <c r="I250" i="5" s="1"/>
  <c r="H251" i="5"/>
  <c r="I251" i="5" s="1"/>
  <c r="H252" i="5"/>
  <c r="I252" i="5" s="1"/>
  <c r="H253" i="5"/>
  <c r="I253" i="5" s="1"/>
  <c r="H254" i="5"/>
  <c r="I254" i="5" s="1"/>
  <c r="H255" i="5"/>
  <c r="I255" i="5" s="1"/>
  <c r="H257" i="5"/>
  <c r="I257" i="5" s="1"/>
  <c r="H258" i="5"/>
  <c r="I258" i="5" s="1"/>
  <c r="H259" i="5"/>
  <c r="I259" i="5" s="1"/>
  <c r="H160" i="7"/>
  <c r="H161" i="7"/>
  <c r="H162" i="7"/>
  <c r="H163" i="7"/>
  <c r="H164" i="7"/>
  <c r="H166" i="7"/>
  <c r="H167" i="7"/>
  <c r="H168" i="7"/>
  <c r="H169" i="7"/>
  <c r="H170" i="7"/>
  <c r="H171" i="7"/>
  <c r="H173" i="7"/>
  <c r="H174" i="7"/>
  <c r="H175" i="7"/>
  <c r="H176" i="7"/>
  <c r="H177" i="7"/>
  <c r="H178" i="7"/>
  <c r="H180" i="7"/>
  <c r="H181" i="7"/>
  <c r="H182" i="7"/>
  <c r="H183" i="7"/>
  <c r="H184" i="7"/>
  <c r="H185" i="7"/>
  <c r="H187" i="7"/>
  <c r="H188" i="7"/>
  <c r="H189" i="7"/>
  <c r="H190" i="7"/>
  <c r="H191" i="7"/>
  <c r="H192" i="7"/>
  <c r="H194" i="7"/>
  <c r="H195" i="7"/>
  <c r="H196" i="7"/>
  <c r="H197" i="7"/>
  <c r="H198" i="7"/>
  <c r="H199" i="7"/>
  <c r="H201" i="7"/>
  <c r="H202" i="7"/>
  <c r="H203" i="7"/>
  <c r="H204" i="7"/>
  <c r="H205" i="7"/>
  <c r="H206" i="7"/>
  <c r="H208" i="7"/>
  <c r="H209" i="7"/>
  <c r="H210" i="7"/>
  <c r="H211" i="7"/>
  <c r="H212" i="7"/>
  <c r="H213" i="7"/>
  <c r="H215" i="7"/>
  <c r="H216" i="7"/>
  <c r="H217" i="7"/>
  <c r="H218" i="7"/>
  <c r="H219" i="7"/>
  <c r="H220" i="7"/>
  <c r="H222" i="7"/>
  <c r="H223" i="7"/>
  <c r="H224" i="7"/>
  <c r="H225" i="7"/>
  <c r="H226" i="7"/>
  <c r="H227" i="7"/>
  <c r="H229" i="7"/>
  <c r="H230" i="7"/>
  <c r="H231" i="7"/>
  <c r="H232" i="7"/>
  <c r="H233" i="7"/>
  <c r="H234" i="7"/>
  <c r="H236" i="7"/>
  <c r="H237" i="7"/>
  <c r="H238" i="7"/>
  <c r="H239" i="7"/>
  <c r="H240" i="7"/>
  <c r="H241" i="7"/>
  <c r="H243" i="7"/>
  <c r="H244" i="7"/>
  <c r="H245" i="7"/>
  <c r="H246" i="7"/>
  <c r="H247" i="7"/>
  <c r="H248" i="7"/>
  <c r="H159" i="7"/>
  <c r="J11" i="3" l="1"/>
  <c r="E11" i="3"/>
  <c r="B12" i="7"/>
  <c r="A12" i="7"/>
  <c r="B14" i="5"/>
  <c r="A14" i="5"/>
  <c r="B12" i="8"/>
  <c r="A12" i="8"/>
  <c r="A12" i="3"/>
  <c r="B12" i="3"/>
  <c r="I11" i="8"/>
  <c r="E11" i="8"/>
  <c r="E5" i="1"/>
  <c r="C6" i="1"/>
  <c r="C60" i="10"/>
  <c r="C61" i="10" s="1"/>
  <c r="C62" i="10" s="1"/>
  <c r="C63" i="10" s="1"/>
  <c r="C64" i="10" s="1"/>
  <c r="C65" i="10" s="1"/>
  <c r="C67" i="10" s="1"/>
  <c r="C59" i="10"/>
  <c r="A11" i="15"/>
  <c r="B11" i="15"/>
  <c r="J13" i="5"/>
  <c r="B10" i="10"/>
  <c r="I9" i="7"/>
  <c r="E12" i="3" l="1"/>
  <c r="I12" i="8"/>
  <c r="A13" i="7"/>
  <c r="B13" i="7"/>
  <c r="A11" i="7"/>
  <c r="B11" i="7"/>
  <c r="B13" i="8"/>
  <c r="A13" i="8"/>
  <c r="E12" i="8"/>
  <c r="A13" i="3"/>
  <c r="B13" i="3"/>
  <c r="J12" i="3"/>
  <c r="B15" i="5"/>
  <c r="A15" i="5"/>
  <c r="C68" i="10"/>
  <c r="C69" i="10" s="1"/>
  <c r="C70" i="10" s="1"/>
  <c r="C71" i="10" s="1"/>
  <c r="C72" i="10" s="1"/>
  <c r="C66" i="10"/>
  <c r="E6" i="1"/>
  <c r="C7" i="1"/>
  <c r="A12" i="15"/>
  <c r="B12" i="15"/>
  <c r="J14" i="5"/>
  <c r="I10" i="7"/>
  <c r="H202" i="5"/>
  <c r="I202" i="5" s="1"/>
  <c r="H203" i="5"/>
  <c r="I203" i="5" s="1"/>
  <c r="H204" i="5"/>
  <c r="I204" i="5" s="1"/>
  <c r="H205" i="5"/>
  <c r="I205" i="5" s="1"/>
  <c r="H206" i="5"/>
  <c r="I206" i="5" s="1"/>
  <c r="H208" i="5"/>
  <c r="I208" i="5" s="1"/>
  <c r="H209" i="5"/>
  <c r="I209" i="5" s="1"/>
  <c r="H210" i="5"/>
  <c r="I210" i="5" s="1"/>
  <c r="H211" i="5"/>
  <c r="I211" i="5" s="1"/>
  <c r="H212" i="5"/>
  <c r="I212" i="5" s="1"/>
  <c r="H213" i="5"/>
  <c r="I213" i="5" s="1"/>
  <c r="H215" i="5"/>
  <c r="I215" i="5" s="1"/>
  <c r="H198" i="5"/>
  <c r="I198" i="5" s="1"/>
  <c r="H199" i="5"/>
  <c r="I199" i="5" s="1"/>
  <c r="H201" i="5"/>
  <c r="I201" i="5" s="1"/>
  <c r="H160" i="5"/>
  <c r="I160" i="5" s="1"/>
  <c r="H170" i="5"/>
  <c r="I170" i="5" s="1"/>
  <c r="H6" i="5"/>
  <c r="I6" i="5" s="1"/>
  <c r="H7" i="5"/>
  <c r="I7" i="5" s="1"/>
  <c r="H8" i="5"/>
  <c r="I8" i="5" s="1"/>
  <c r="H9" i="5"/>
  <c r="I9" i="5" s="1"/>
  <c r="H10" i="5"/>
  <c r="I10" i="5" s="1"/>
  <c r="H12" i="5"/>
  <c r="I12" i="5" s="1"/>
  <c r="H13" i="5"/>
  <c r="I13" i="5" s="1"/>
  <c r="H14" i="5"/>
  <c r="I14" i="5" s="1"/>
  <c r="H15" i="5"/>
  <c r="I15" i="5" s="1"/>
  <c r="H16" i="5"/>
  <c r="I16" i="5" s="1"/>
  <c r="H17" i="5"/>
  <c r="I17" i="5" s="1"/>
  <c r="H19" i="5"/>
  <c r="I19" i="5" s="1"/>
  <c r="H20" i="5"/>
  <c r="I20" i="5" s="1"/>
  <c r="H21" i="5"/>
  <c r="I21" i="5" s="1"/>
  <c r="H22" i="5"/>
  <c r="I22" i="5" s="1"/>
  <c r="H23" i="5"/>
  <c r="I23" i="5" s="1"/>
  <c r="H24" i="5"/>
  <c r="I24" i="5" s="1"/>
  <c r="H26" i="5"/>
  <c r="I26" i="5" s="1"/>
  <c r="H27" i="5"/>
  <c r="I27" i="5" s="1"/>
  <c r="H28" i="5"/>
  <c r="I28" i="5" s="1"/>
  <c r="H29" i="5"/>
  <c r="I29" i="5" s="1"/>
  <c r="H30" i="5"/>
  <c r="I30" i="5" s="1"/>
  <c r="H31" i="5"/>
  <c r="I31" i="5" s="1"/>
  <c r="H32" i="5"/>
  <c r="I32" i="5" s="1"/>
  <c r="H33" i="5"/>
  <c r="I33" i="5" s="1"/>
  <c r="H34" i="5"/>
  <c r="I34" i="5" s="1"/>
  <c r="H35" i="5"/>
  <c r="I35" i="5" s="1"/>
  <c r="H36" i="5"/>
  <c r="I36" i="5" s="1"/>
  <c r="H37" i="5"/>
  <c r="I37" i="5" s="1"/>
  <c r="H38" i="5"/>
  <c r="I38" i="5" s="1"/>
  <c r="H39" i="5"/>
  <c r="I39" i="5" s="1"/>
  <c r="H41" i="5"/>
  <c r="I41" i="5" s="1"/>
  <c r="H42" i="5"/>
  <c r="I42" i="5" s="1"/>
  <c r="H43" i="5"/>
  <c r="I43" i="5" s="1"/>
  <c r="H44" i="5"/>
  <c r="I44" i="5" s="1"/>
  <c r="H45" i="5"/>
  <c r="I45" i="5" s="1"/>
  <c r="H47" i="5"/>
  <c r="I47" i="5" s="1"/>
  <c r="H48" i="5"/>
  <c r="I48" i="5" s="1"/>
  <c r="H49" i="5"/>
  <c r="I49" i="5" s="1"/>
  <c r="H50" i="5"/>
  <c r="I50" i="5" s="1"/>
  <c r="H51" i="5"/>
  <c r="I51" i="5" s="1"/>
  <c r="H52" i="5"/>
  <c r="I52" i="5" s="1"/>
  <c r="H54" i="5"/>
  <c r="I54" i="5" s="1"/>
  <c r="H55" i="5"/>
  <c r="I55" i="5" s="1"/>
  <c r="H56" i="5"/>
  <c r="I56" i="5" s="1"/>
  <c r="H57" i="5"/>
  <c r="I57" i="5" s="1"/>
  <c r="H58" i="5"/>
  <c r="I58" i="5" s="1"/>
  <c r="H59" i="5"/>
  <c r="I59" i="5" s="1"/>
  <c r="H61" i="5"/>
  <c r="I61" i="5" s="1"/>
  <c r="H62" i="5"/>
  <c r="I62" i="5" s="1"/>
  <c r="H63" i="5"/>
  <c r="I63" i="5" s="1"/>
  <c r="H64" i="5"/>
  <c r="I64" i="5" s="1"/>
  <c r="H65" i="5"/>
  <c r="I65" i="5" s="1"/>
  <c r="H66" i="5"/>
  <c r="I66" i="5" s="1"/>
  <c r="H68" i="5"/>
  <c r="I68" i="5" s="1"/>
  <c r="H69" i="5"/>
  <c r="I69" i="5" s="1"/>
  <c r="H70" i="5"/>
  <c r="I70" i="5" s="1"/>
  <c r="H71" i="5"/>
  <c r="I71" i="5" s="1"/>
  <c r="H72" i="5"/>
  <c r="I72" i="5" s="1"/>
  <c r="H75" i="5"/>
  <c r="I75" i="5" s="1"/>
  <c r="H76" i="5"/>
  <c r="I76" i="5" s="1"/>
  <c r="H77" i="5"/>
  <c r="I77" i="5" s="1"/>
  <c r="H78" i="5"/>
  <c r="I78" i="5" s="1"/>
  <c r="H79" i="5"/>
  <c r="I79" i="5" s="1"/>
  <c r="H80" i="5"/>
  <c r="I80" i="5" s="1"/>
  <c r="H82" i="5"/>
  <c r="I82" i="5" s="1"/>
  <c r="H83" i="5"/>
  <c r="I83" i="5" s="1"/>
  <c r="H84" i="5"/>
  <c r="I84" i="5" s="1"/>
  <c r="H85" i="5"/>
  <c r="I85" i="5" s="1"/>
  <c r="H86" i="5"/>
  <c r="I86" i="5" s="1"/>
  <c r="H87" i="5"/>
  <c r="I87" i="5" s="1"/>
  <c r="H89" i="5"/>
  <c r="I89" i="5" s="1"/>
  <c r="H90" i="5"/>
  <c r="I90" i="5" s="1"/>
  <c r="H91" i="5"/>
  <c r="I91" i="5" s="1"/>
  <c r="H92" i="5"/>
  <c r="I92" i="5" s="1"/>
  <c r="H93" i="5"/>
  <c r="I93" i="5" s="1"/>
  <c r="H94" i="5"/>
  <c r="I94" i="5" s="1"/>
  <c r="H96" i="5"/>
  <c r="I96" i="5" s="1"/>
  <c r="H97" i="5"/>
  <c r="I97" i="5" s="1"/>
  <c r="H98" i="5"/>
  <c r="I98" i="5" s="1"/>
  <c r="H99" i="5"/>
  <c r="I99" i="5" s="1"/>
  <c r="H100" i="5"/>
  <c r="I100" i="5" s="1"/>
  <c r="H101" i="5"/>
  <c r="I101" i="5" s="1"/>
  <c r="H103" i="5"/>
  <c r="I103" i="5" s="1"/>
  <c r="H104" i="5"/>
  <c r="I104" i="5" s="1"/>
  <c r="H105" i="5"/>
  <c r="I105" i="5" s="1"/>
  <c r="H106" i="5"/>
  <c r="I106" i="5" s="1"/>
  <c r="H107" i="5"/>
  <c r="I107" i="5" s="1"/>
  <c r="H108" i="5"/>
  <c r="I108" i="5" s="1"/>
  <c r="H110" i="5"/>
  <c r="I110" i="5" s="1"/>
  <c r="H111" i="5"/>
  <c r="I111" i="5" s="1"/>
  <c r="H112" i="5"/>
  <c r="I112" i="5" s="1"/>
  <c r="H113" i="5"/>
  <c r="I113" i="5" s="1"/>
  <c r="H114" i="5"/>
  <c r="I114" i="5" s="1"/>
  <c r="H115" i="5"/>
  <c r="I115" i="5" s="1"/>
  <c r="H117" i="5"/>
  <c r="I117" i="5" s="1"/>
  <c r="H118" i="5"/>
  <c r="I118" i="5" s="1"/>
  <c r="H119" i="5"/>
  <c r="I119" i="5" s="1"/>
  <c r="H120" i="5"/>
  <c r="I120" i="5" s="1"/>
  <c r="H121" i="5"/>
  <c r="I121" i="5" s="1"/>
  <c r="H122" i="5"/>
  <c r="I122" i="5" s="1"/>
  <c r="H124" i="5"/>
  <c r="I124" i="5" s="1"/>
  <c r="H125" i="5"/>
  <c r="I125" i="5" s="1"/>
  <c r="H126" i="5"/>
  <c r="I126" i="5" s="1"/>
  <c r="H127" i="5"/>
  <c r="I127" i="5" s="1"/>
  <c r="H128" i="5"/>
  <c r="I128" i="5" s="1"/>
  <c r="H129" i="5"/>
  <c r="I129" i="5" s="1"/>
  <c r="H131" i="5"/>
  <c r="I131" i="5" s="1"/>
  <c r="H132" i="5"/>
  <c r="I132" i="5" s="1"/>
  <c r="H133" i="5"/>
  <c r="I133" i="5" s="1"/>
  <c r="H134" i="5"/>
  <c r="I134" i="5" s="1"/>
  <c r="H135" i="5"/>
  <c r="I135" i="5" s="1"/>
  <c r="H136" i="5"/>
  <c r="I136" i="5" s="1"/>
  <c r="H138" i="5"/>
  <c r="I138" i="5" s="1"/>
  <c r="H139" i="5"/>
  <c r="I139" i="5" s="1"/>
  <c r="H140" i="5"/>
  <c r="I140" i="5" s="1"/>
  <c r="H141" i="5"/>
  <c r="I141" i="5" s="1"/>
  <c r="H142" i="5"/>
  <c r="I142" i="5" s="1"/>
  <c r="H143" i="5"/>
  <c r="I143" i="5" s="1"/>
  <c r="H145" i="5"/>
  <c r="I145" i="5" s="1"/>
  <c r="H146" i="5"/>
  <c r="I146" i="5" s="1"/>
  <c r="H147" i="5"/>
  <c r="I147" i="5" s="1"/>
  <c r="H148" i="5"/>
  <c r="I148" i="5" s="1"/>
  <c r="H149" i="5"/>
  <c r="I149" i="5" s="1"/>
  <c r="H150" i="5"/>
  <c r="I150" i="5" s="1"/>
  <c r="H152" i="5"/>
  <c r="I152" i="5" s="1"/>
  <c r="H153" i="5"/>
  <c r="I153" i="5" s="1"/>
  <c r="H154" i="5"/>
  <c r="I154" i="5" s="1"/>
  <c r="H155" i="5"/>
  <c r="I155" i="5" s="1"/>
  <c r="H156" i="5"/>
  <c r="I156" i="5" s="1"/>
  <c r="H157" i="5"/>
  <c r="I157" i="5" s="1"/>
  <c r="H159" i="5"/>
  <c r="I159" i="5" s="1"/>
  <c r="H6" i="7"/>
  <c r="H7" i="7"/>
  <c r="H8" i="7"/>
  <c r="H9" i="7"/>
  <c r="H10" i="7"/>
  <c r="H12" i="7"/>
  <c r="H13" i="7"/>
  <c r="H14" i="7"/>
  <c r="H15" i="7"/>
  <c r="H16" i="7"/>
  <c r="H17" i="7"/>
  <c r="H19" i="7"/>
  <c r="H20" i="7"/>
  <c r="H21" i="7"/>
  <c r="H22" i="7"/>
  <c r="H23" i="7"/>
  <c r="H24" i="7"/>
  <c r="H26" i="7"/>
  <c r="H27" i="7"/>
  <c r="H28" i="7"/>
  <c r="H29" i="7"/>
  <c r="H30" i="7"/>
  <c r="H31" i="7"/>
  <c r="H33" i="7"/>
  <c r="H34" i="7"/>
  <c r="H35" i="7"/>
  <c r="H36" i="7"/>
  <c r="H37" i="7"/>
  <c r="H38" i="7"/>
  <c r="H39" i="7"/>
  <c r="H41" i="7"/>
  <c r="H42" i="7"/>
  <c r="H43" i="7"/>
  <c r="H44" i="7"/>
  <c r="H45" i="7"/>
  <c r="H47" i="7"/>
  <c r="H48" i="7"/>
  <c r="H49" i="7"/>
  <c r="H50" i="7"/>
  <c r="H51" i="7"/>
  <c r="H52" i="7"/>
  <c r="H54" i="7"/>
  <c r="H55" i="7"/>
  <c r="H56" i="7"/>
  <c r="H57" i="7"/>
  <c r="H58" i="7"/>
  <c r="H59" i="7"/>
  <c r="H61" i="7"/>
  <c r="H62" i="7"/>
  <c r="H63" i="7"/>
  <c r="H64" i="7"/>
  <c r="H65" i="7"/>
  <c r="H66" i="7"/>
  <c r="H68" i="7"/>
  <c r="H69" i="7"/>
  <c r="H70" i="7"/>
  <c r="H71" i="7"/>
  <c r="H72" i="7"/>
  <c r="H73" i="7"/>
  <c r="H75" i="7"/>
  <c r="H76" i="7"/>
  <c r="H77" i="7"/>
  <c r="H78" i="7"/>
  <c r="H79" i="7"/>
  <c r="H80" i="7"/>
  <c r="H82" i="7"/>
  <c r="H83" i="7"/>
  <c r="H84" i="7"/>
  <c r="H85" i="7"/>
  <c r="H86" i="7"/>
  <c r="H87" i="7"/>
  <c r="H89" i="7"/>
  <c r="H90" i="7"/>
  <c r="H91" i="7"/>
  <c r="H92" i="7"/>
  <c r="H93" i="7"/>
  <c r="H94" i="7"/>
  <c r="H96" i="7"/>
  <c r="H97" i="7"/>
  <c r="H98" i="7"/>
  <c r="H99" i="7"/>
  <c r="H100" i="7"/>
  <c r="H101" i="7"/>
  <c r="H103" i="7"/>
  <c r="H104" i="7"/>
  <c r="H105" i="7"/>
  <c r="H106" i="7"/>
  <c r="H107" i="7"/>
  <c r="H108" i="7"/>
  <c r="H110" i="7"/>
  <c r="H111" i="7"/>
  <c r="H112" i="7"/>
  <c r="H113" i="7"/>
  <c r="H114" i="7"/>
  <c r="H115" i="7"/>
  <c r="H117" i="7"/>
  <c r="H118" i="7"/>
  <c r="H119" i="7"/>
  <c r="H120" i="7"/>
  <c r="H121" i="7"/>
  <c r="H122" i="7"/>
  <c r="H124" i="7"/>
  <c r="H125" i="7"/>
  <c r="H126" i="7"/>
  <c r="H127" i="7"/>
  <c r="H128" i="7"/>
  <c r="H129" i="7"/>
  <c r="H131" i="7"/>
  <c r="H132" i="7"/>
  <c r="H133" i="7"/>
  <c r="H134" i="7"/>
  <c r="H135" i="7"/>
  <c r="H136" i="7"/>
  <c r="H138" i="7"/>
  <c r="H139" i="7"/>
  <c r="H140" i="7"/>
  <c r="H141" i="7"/>
  <c r="H142" i="7"/>
  <c r="H143" i="7"/>
  <c r="H145" i="7"/>
  <c r="H146" i="7"/>
  <c r="H147" i="7"/>
  <c r="H148" i="7"/>
  <c r="H149" i="7"/>
  <c r="H150" i="7"/>
  <c r="H152" i="7"/>
  <c r="H154" i="7"/>
  <c r="H155" i="7"/>
  <c r="H156" i="7"/>
  <c r="H157" i="7"/>
  <c r="I13" i="8" l="1"/>
  <c r="E13" i="3"/>
  <c r="E13" i="8"/>
  <c r="B14" i="7"/>
  <c r="A14" i="7"/>
  <c r="A14" i="3"/>
  <c r="E14" i="3" s="1"/>
  <c r="B14" i="3"/>
  <c r="J13" i="3"/>
  <c r="A16" i="5"/>
  <c r="B16" i="5"/>
  <c r="B14" i="8"/>
  <c r="A14" i="8"/>
  <c r="E7" i="1"/>
  <c r="C8" i="1"/>
  <c r="C9" i="1" s="1"/>
  <c r="C10" i="1" s="1"/>
  <c r="C11" i="1" s="1"/>
  <c r="C12" i="1" s="1"/>
  <c r="C13" i="1" s="1"/>
  <c r="C14" i="1" s="1"/>
  <c r="C15" i="1" s="1"/>
  <c r="C16" i="1" s="1"/>
  <c r="C17" i="1" s="1"/>
  <c r="C18" i="1" s="1"/>
  <c r="C19" i="1" s="1"/>
  <c r="C74" i="10"/>
  <c r="C75" i="10" s="1"/>
  <c r="C76" i="10" s="1"/>
  <c r="C77" i="10" s="1"/>
  <c r="C78" i="10" s="1"/>
  <c r="C79" i="10" s="1"/>
  <c r="C81" i="10" s="1"/>
  <c r="C73" i="10"/>
  <c r="B13" i="15"/>
  <c r="A13" i="15"/>
  <c r="J15" i="5"/>
  <c r="I12" i="7"/>
  <c r="J11" i="5"/>
  <c r="I14" i="8" l="1"/>
  <c r="J14" i="3"/>
  <c r="B15" i="7"/>
  <c r="B16" i="7" s="1"/>
  <c r="A15" i="7"/>
  <c r="B17" i="5"/>
  <c r="A17" i="5"/>
  <c r="E14" i="8"/>
  <c r="B15" i="8"/>
  <c r="A15" i="8"/>
  <c r="A15" i="3"/>
  <c r="B15" i="3"/>
  <c r="C80" i="10"/>
  <c r="C82" i="10"/>
  <c r="C83" i="10" s="1"/>
  <c r="C84" i="10" s="1"/>
  <c r="C85" i="10" s="1"/>
  <c r="C86" i="10" s="1"/>
  <c r="B14" i="15"/>
  <c r="A14" i="15"/>
  <c r="J16" i="5"/>
  <c r="I11" i="7"/>
  <c r="I13" i="7"/>
  <c r="J15" i="3" l="1"/>
  <c r="E15" i="8"/>
  <c r="I15" i="8"/>
  <c r="A16" i="7"/>
  <c r="B17" i="7"/>
  <c r="A17" i="7"/>
  <c r="B18" i="5"/>
  <c r="B19" i="5"/>
  <c r="A19" i="5"/>
  <c r="B16" i="8"/>
  <c r="A16" i="8"/>
  <c r="E15" i="3"/>
  <c r="A16" i="3"/>
  <c r="B16" i="3"/>
  <c r="A18" i="5"/>
  <c r="C87" i="10"/>
  <c r="C88" i="10"/>
  <c r="C89" i="10" s="1"/>
  <c r="C90" i="10" s="1"/>
  <c r="C91" i="10" s="1"/>
  <c r="C92" i="10" s="1"/>
  <c r="C93" i="10" s="1"/>
  <c r="C95" i="10" s="1"/>
  <c r="B15" i="15"/>
  <c r="A15" i="15"/>
  <c r="J17" i="5"/>
  <c r="I14" i="7"/>
  <c r="E16" i="3" l="1"/>
  <c r="E16" i="8"/>
  <c r="A18" i="7"/>
  <c r="I16" i="8"/>
  <c r="J16" i="3"/>
  <c r="B20" i="5"/>
  <c r="A20" i="5"/>
  <c r="A17" i="3"/>
  <c r="B17" i="3"/>
  <c r="B17" i="8"/>
  <c r="A17" i="8"/>
  <c r="B19" i="7"/>
  <c r="A19" i="7"/>
  <c r="B18" i="7"/>
  <c r="C96" i="10"/>
  <c r="C97" i="10" s="1"/>
  <c r="C98" i="10" s="1"/>
  <c r="C99" i="10" s="1"/>
  <c r="C100" i="10" s="1"/>
  <c r="C94" i="10"/>
  <c r="B16" i="15"/>
  <c r="A16" i="15"/>
  <c r="J19" i="5"/>
  <c r="J18" i="5"/>
  <c r="I15" i="7"/>
  <c r="G225" i="3"/>
  <c r="H225" i="3" s="1"/>
  <c r="G224" i="3"/>
  <c r="H224" i="3" s="1"/>
  <c r="G223" i="3"/>
  <c r="H223" i="3" s="1"/>
  <c r="G222" i="3"/>
  <c r="H222" i="3" s="1"/>
  <c r="G221" i="3"/>
  <c r="H221" i="3" s="1"/>
  <c r="G220" i="3"/>
  <c r="H220" i="3" s="1"/>
  <c r="G219" i="3"/>
  <c r="H219" i="3" s="1"/>
  <c r="G218" i="3"/>
  <c r="H218" i="3" s="1"/>
  <c r="G217" i="3"/>
  <c r="H217" i="3" s="1"/>
  <c r="G216" i="3"/>
  <c r="H216" i="3" s="1"/>
  <c r="G215" i="3"/>
  <c r="H215" i="3" s="1"/>
  <c r="G214" i="3"/>
  <c r="H214" i="3" s="1"/>
  <c r="G213" i="3"/>
  <c r="H213" i="3" s="1"/>
  <c r="G212" i="3"/>
  <c r="H212" i="3" s="1"/>
  <c r="G211" i="3"/>
  <c r="H211" i="3" s="1"/>
  <c r="G210" i="3"/>
  <c r="H210" i="3" s="1"/>
  <c r="G209" i="3"/>
  <c r="H209" i="3" s="1"/>
  <c r="G208" i="3"/>
  <c r="H208" i="3" s="1"/>
  <c r="G207" i="3"/>
  <c r="H207" i="3" s="1"/>
  <c r="G206" i="3"/>
  <c r="H206" i="3" s="1"/>
  <c r="G205" i="3"/>
  <c r="H205" i="3" s="1"/>
  <c r="G204" i="3"/>
  <c r="H204" i="3" s="1"/>
  <c r="G203" i="3"/>
  <c r="H203" i="3" s="1"/>
  <c r="G202" i="3"/>
  <c r="H202" i="3" s="1"/>
  <c r="G201" i="3"/>
  <c r="H201" i="3" s="1"/>
  <c r="G200" i="3"/>
  <c r="H200" i="3" s="1"/>
  <c r="G199" i="3"/>
  <c r="H199" i="3" s="1"/>
  <c r="G198" i="3"/>
  <c r="H198" i="3" s="1"/>
  <c r="G197" i="3"/>
  <c r="H197" i="3" s="1"/>
  <c r="G196" i="3"/>
  <c r="H196" i="3" s="1"/>
  <c r="G195" i="3"/>
  <c r="H195" i="3" s="1"/>
  <c r="G194" i="3"/>
  <c r="H194" i="3" s="1"/>
  <c r="G193" i="3"/>
  <c r="H193" i="3" s="1"/>
  <c r="G192" i="3"/>
  <c r="H192" i="3" s="1"/>
  <c r="G191" i="3"/>
  <c r="H191" i="3" s="1"/>
  <c r="G190" i="3"/>
  <c r="H190" i="3" s="1"/>
  <c r="G189" i="3"/>
  <c r="H189" i="3" s="1"/>
  <c r="G188" i="3"/>
  <c r="H188" i="3" s="1"/>
  <c r="G187" i="3"/>
  <c r="H187" i="3" s="1"/>
  <c r="G186" i="3"/>
  <c r="H186" i="3" s="1"/>
  <c r="G185" i="3"/>
  <c r="H185" i="3" s="1"/>
  <c r="G184" i="3"/>
  <c r="H184" i="3" s="1"/>
  <c r="G183" i="3"/>
  <c r="H183" i="3" s="1"/>
  <c r="G182" i="3"/>
  <c r="H182" i="3" s="1"/>
  <c r="G181" i="3"/>
  <c r="H181" i="3" s="1"/>
  <c r="G180" i="3"/>
  <c r="H180" i="3" s="1"/>
  <c r="G179" i="3"/>
  <c r="H179" i="3" s="1"/>
  <c r="G178" i="3"/>
  <c r="H178" i="3" s="1"/>
  <c r="G177" i="3"/>
  <c r="H177" i="3" s="1"/>
  <c r="G176" i="3"/>
  <c r="H176" i="3" s="1"/>
  <c r="G175" i="3"/>
  <c r="H175" i="3" s="1"/>
  <c r="G138" i="8"/>
  <c r="G137" i="8"/>
  <c r="G136" i="8"/>
  <c r="G135" i="8"/>
  <c r="G134" i="8"/>
  <c r="G133" i="8"/>
  <c r="G132" i="8"/>
  <c r="G131" i="8"/>
  <c r="G130" i="8"/>
  <c r="G129" i="8"/>
  <c r="G128" i="8"/>
  <c r="G127"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E17" i="3" l="1"/>
  <c r="E17" i="8"/>
  <c r="J17" i="3"/>
  <c r="B20" i="7"/>
  <c r="A20" i="7"/>
  <c r="B18" i="8"/>
  <c r="A18" i="8"/>
  <c r="B21" i="5"/>
  <c r="A21" i="5"/>
  <c r="I17" i="8"/>
  <c r="A18" i="3"/>
  <c r="B18" i="3"/>
  <c r="C101" i="10"/>
  <c r="C102" i="10"/>
  <c r="C103" i="10" s="1"/>
  <c r="C104" i="10" s="1"/>
  <c r="C105" i="10" s="1"/>
  <c r="C106" i="10" s="1"/>
  <c r="C107" i="10" s="1"/>
  <c r="C109" i="10" s="1"/>
  <c r="B18" i="15"/>
  <c r="A18" i="15"/>
  <c r="J20" i="5"/>
  <c r="I16" i="7"/>
  <c r="E18" i="3" l="1"/>
  <c r="E18" i="8"/>
  <c r="J18" i="3"/>
  <c r="B22" i="5"/>
  <c r="A22" i="5"/>
  <c r="I18" i="8"/>
  <c r="B19" i="8"/>
  <c r="A19" i="8"/>
  <c r="A19" i="3"/>
  <c r="B19" i="3"/>
  <c r="B21" i="7"/>
  <c r="A21" i="7"/>
  <c r="C110" i="10"/>
  <c r="C111" i="10" s="1"/>
  <c r="C112" i="10" s="1"/>
  <c r="C113" i="10" s="1"/>
  <c r="C114" i="10" s="1"/>
  <c r="C108" i="10"/>
  <c r="B19" i="15"/>
  <c r="A19" i="15"/>
  <c r="J21" i="5"/>
  <c r="I19" i="7"/>
  <c r="I17" i="7"/>
  <c r="J19" i="3" l="1"/>
  <c r="E19" i="8"/>
  <c r="E19" i="3"/>
  <c r="B20" i="8"/>
  <c r="A20" i="8"/>
  <c r="B23" i="5"/>
  <c r="A23" i="5"/>
  <c r="I19" i="8"/>
  <c r="A22" i="7"/>
  <c r="B22" i="7"/>
  <c r="A20" i="3"/>
  <c r="B20" i="3"/>
  <c r="C115" i="10"/>
  <c r="C116" i="10"/>
  <c r="C117" i="10" s="1"/>
  <c r="C118" i="10" s="1"/>
  <c r="C119" i="10" s="1"/>
  <c r="C120" i="10" s="1"/>
  <c r="C121" i="10" s="1"/>
  <c r="C123" i="10" s="1"/>
  <c r="A20" i="15"/>
  <c r="B20" i="15"/>
  <c r="J22" i="5"/>
  <c r="I20" i="7"/>
  <c r="I18" i="7"/>
  <c r="G173" i="3"/>
  <c r="H173" i="3" s="1"/>
  <c r="G174" i="3"/>
  <c r="H174" i="3" s="1"/>
  <c r="G172" i="3"/>
  <c r="H172" i="3" s="1"/>
  <c r="I20" i="8" l="1"/>
  <c r="E20" i="3"/>
  <c r="E20" i="8"/>
  <c r="J20" i="3"/>
  <c r="B24" i="5"/>
  <c r="A24" i="5"/>
  <c r="A21" i="3"/>
  <c r="B21" i="3"/>
  <c r="B21" i="8"/>
  <c r="A21" i="8"/>
  <c r="B23" i="7"/>
  <c r="A23" i="7"/>
  <c r="C124" i="10"/>
  <c r="C125" i="10" s="1"/>
  <c r="C126" i="10" s="1"/>
  <c r="C127" i="10" s="1"/>
  <c r="C128" i="10" s="1"/>
  <c r="C122" i="10"/>
  <c r="B21" i="15"/>
  <c r="A21" i="15"/>
  <c r="J23" i="5"/>
  <c r="I21" i="7"/>
  <c r="J21" i="3" l="1"/>
  <c r="A22" i="3"/>
  <c r="B22" i="3"/>
  <c r="B26" i="5"/>
  <c r="A26" i="5"/>
  <c r="B24" i="7"/>
  <c r="A24" i="7"/>
  <c r="B22" i="8"/>
  <c r="A22" i="8"/>
  <c r="E21" i="3"/>
  <c r="E21" i="8"/>
  <c r="I21" i="8"/>
  <c r="C130" i="10"/>
  <c r="C131" i="10" s="1"/>
  <c r="C132" i="10" s="1"/>
  <c r="C133" i="10" s="1"/>
  <c r="C134" i="10" s="1"/>
  <c r="C135" i="10" s="1"/>
  <c r="C137" i="10" s="1"/>
  <c r="C129" i="10"/>
  <c r="B22" i="15"/>
  <c r="A22" i="15"/>
  <c r="J24" i="5"/>
  <c r="I22" i="7"/>
  <c r="H171" i="3"/>
  <c r="H149" i="3"/>
  <c r="H150" i="3"/>
  <c r="H151" i="3"/>
  <c r="H152" i="3"/>
  <c r="H153" i="3"/>
  <c r="H154" i="3"/>
  <c r="H155" i="3"/>
  <c r="H156" i="3"/>
  <c r="H157" i="3"/>
  <c r="H158" i="3"/>
  <c r="H159" i="3"/>
  <c r="H160" i="3"/>
  <c r="H161" i="3"/>
  <c r="H162" i="3"/>
  <c r="H163" i="3"/>
  <c r="H164" i="3"/>
  <c r="H165" i="3"/>
  <c r="H166" i="3"/>
  <c r="H167" i="3"/>
  <c r="H168" i="3"/>
  <c r="H169" i="3"/>
  <c r="H170" i="3"/>
  <c r="G148" i="3"/>
  <c r="H148" i="3" s="1"/>
  <c r="I22" i="8" l="1"/>
  <c r="E22" i="3"/>
  <c r="E22" i="8"/>
  <c r="J22" i="3"/>
  <c r="A25" i="5"/>
  <c r="A26" i="7"/>
  <c r="B26" i="7"/>
  <c r="A27" i="5"/>
  <c r="B27" i="5"/>
  <c r="B25" i="5"/>
  <c r="A23" i="3"/>
  <c r="J23" i="3" s="1"/>
  <c r="B23" i="3"/>
  <c r="B23" i="8"/>
  <c r="A23" i="8"/>
  <c r="C138" i="10"/>
  <c r="C139" i="10" s="1"/>
  <c r="C140" i="10" s="1"/>
  <c r="C141" i="10" s="1"/>
  <c r="C142" i="10" s="1"/>
  <c r="C136" i="10"/>
  <c r="B23" i="15"/>
  <c r="A23" i="15"/>
  <c r="J26" i="5"/>
  <c r="I23" i="7"/>
  <c r="G130" i="3"/>
  <c r="G131" i="3"/>
  <c r="G132" i="3"/>
  <c r="G133" i="3"/>
  <c r="G134" i="3"/>
  <c r="G135" i="3"/>
  <c r="G136" i="3"/>
  <c r="G137" i="3"/>
  <c r="G138" i="3"/>
  <c r="G139" i="3"/>
  <c r="G140" i="3"/>
  <c r="G141" i="3"/>
  <c r="G142" i="3"/>
  <c r="G143" i="3"/>
  <c r="G144" i="3"/>
  <c r="G145" i="3"/>
  <c r="G146" i="3"/>
  <c r="G147" i="3"/>
  <c r="I23" i="8" l="1"/>
  <c r="E23" i="8"/>
  <c r="A25" i="7"/>
  <c r="E23" i="3"/>
  <c r="A24" i="3"/>
  <c r="B24" i="3"/>
  <c r="B28" i="5"/>
  <c r="A28" i="5"/>
  <c r="B24" i="8"/>
  <c r="A24" i="8"/>
  <c r="A27" i="7"/>
  <c r="B27" i="7"/>
  <c r="B25" i="7"/>
  <c r="C144" i="10"/>
  <c r="C145" i="10" s="1"/>
  <c r="C146" i="10" s="1"/>
  <c r="C147" i="10" s="1"/>
  <c r="C148" i="10" s="1"/>
  <c r="C149" i="10" s="1"/>
  <c r="C151" i="10" s="1"/>
  <c r="C143" i="10"/>
  <c r="A25" i="15"/>
  <c r="B25" i="15"/>
  <c r="J27" i="5"/>
  <c r="I24" i="7"/>
  <c r="H139" i="3"/>
  <c r="H140" i="3"/>
  <c r="H141" i="3"/>
  <c r="H142" i="3"/>
  <c r="H143" i="3"/>
  <c r="H144" i="3"/>
  <c r="H145" i="3"/>
  <c r="H146" i="3"/>
  <c r="H147" i="3"/>
  <c r="E24" i="3" l="1"/>
  <c r="E24" i="8"/>
  <c r="B25" i="8"/>
  <c r="A25" i="8"/>
  <c r="I24" i="8"/>
  <c r="B28" i="7"/>
  <c r="A28" i="7"/>
  <c r="A25" i="3"/>
  <c r="B25" i="3"/>
  <c r="A29" i="5"/>
  <c r="B29" i="5"/>
  <c r="J24" i="3"/>
  <c r="C152" i="10"/>
  <c r="C153" i="10" s="1"/>
  <c r="C154" i="10" s="1"/>
  <c r="C155" i="10" s="1"/>
  <c r="C156" i="10" s="1"/>
  <c r="C150" i="10"/>
  <c r="B26" i="15"/>
  <c r="A26" i="15"/>
  <c r="J28" i="5"/>
  <c r="H442" i="15"/>
  <c r="H450" i="15"/>
  <c r="H459" i="15"/>
  <c r="H443" i="15"/>
  <c r="H451" i="15"/>
  <c r="H458" i="15"/>
  <c r="H445" i="15"/>
  <c r="H452" i="15"/>
  <c r="H460" i="15"/>
  <c r="H444" i="15"/>
  <c r="H453" i="15"/>
  <c r="H461" i="15"/>
  <c r="H446" i="15"/>
  <c r="H454" i="15"/>
  <c r="H462" i="15"/>
  <c r="H439" i="15"/>
  <c r="H447" i="15"/>
  <c r="H455" i="15"/>
  <c r="H463" i="15"/>
  <c r="H440" i="15"/>
  <c r="H448" i="15"/>
  <c r="H456" i="15"/>
  <c r="H464" i="15"/>
  <c r="H441" i="15"/>
  <c r="H449" i="15"/>
  <c r="H457" i="15"/>
  <c r="H465" i="15"/>
  <c r="H466" i="15"/>
  <c r="H39" i="15"/>
  <c r="H35" i="15"/>
  <c r="H57" i="15"/>
  <c r="H71" i="15"/>
  <c r="H81" i="15"/>
  <c r="H84" i="15"/>
  <c r="H93" i="15"/>
  <c r="H97" i="15"/>
  <c r="H115" i="15"/>
  <c r="H120" i="15"/>
  <c r="H124" i="15"/>
  <c r="H146" i="15"/>
  <c r="H186" i="15"/>
  <c r="H191" i="15"/>
  <c r="H195" i="15"/>
  <c r="H199" i="15"/>
  <c r="H212" i="15"/>
  <c r="H226" i="15"/>
  <c r="H289" i="15"/>
  <c r="H311" i="15"/>
  <c r="H320" i="15"/>
  <c r="H329" i="15"/>
  <c r="H338" i="15"/>
  <c r="H356" i="15"/>
  <c r="H365" i="15"/>
  <c r="H392" i="15"/>
  <c r="H411" i="15"/>
  <c r="H415" i="15"/>
  <c r="H419" i="15"/>
  <c r="H423" i="15"/>
  <c r="H32" i="15"/>
  <c r="H295" i="15"/>
  <c r="H374" i="15"/>
  <c r="H242" i="15"/>
  <c r="H43" i="15"/>
  <c r="H22" i="15"/>
  <c r="H31" i="15"/>
  <c r="H52" i="15"/>
  <c r="H62" i="15"/>
  <c r="H76" i="15"/>
  <c r="H107" i="15"/>
  <c r="H111" i="15"/>
  <c r="H136" i="15"/>
  <c r="H168" i="15"/>
  <c r="H204" i="15"/>
  <c r="H208" i="15"/>
  <c r="H222" i="15"/>
  <c r="H258" i="15"/>
  <c r="H262" i="15"/>
  <c r="H272" i="15"/>
  <c r="H281" i="15"/>
  <c r="H285" i="15"/>
  <c r="H294" i="15"/>
  <c r="H325" i="15"/>
  <c r="H352" i="15"/>
  <c r="H378" i="15"/>
  <c r="H397" i="15"/>
  <c r="H282" i="15"/>
  <c r="H335" i="15"/>
  <c r="H384" i="15"/>
  <c r="H247" i="15"/>
  <c r="H422" i="15"/>
  <c r="H48" i="15"/>
  <c r="H361" i="15"/>
  <c r="H27" i="15"/>
  <c r="H45" i="15"/>
  <c r="H49" i="15"/>
  <c r="H89" i="15"/>
  <c r="H129" i="15"/>
  <c r="H133" i="15"/>
  <c r="H150" i="15"/>
  <c r="H160" i="15"/>
  <c r="H165" i="15"/>
  <c r="H182" i="15"/>
  <c r="H231" i="15"/>
  <c r="H240" i="15"/>
  <c r="H248" i="15"/>
  <c r="H254" i="15"/>
  <c r="H268" i="15"/>
  <c r="H276" i="15"/>
  <c r="H303" i="15"/>
  <c r="H316" i="15"/>
  <c r="H348" i="15"/>
  <c r="H370" i="15"/>
  <c r="H389" i="15"/>
  <c r="H407" i="15"/>
  <c r="H428" i="15"/>
  <c r="H432" i="15"/>
  <c r="H109" i="15"/>
  <c r="H112" i="15"/>
  <c r="H138" i="15"/>
  <c r="H143" i="15"/>
  <c r="H169" i="15"/>
  <c r="H174" i="15"/>
  <c r="H205" i="15"/>
  <c r="H209" i="15"/>
  <c r="H223" i="15"/>
  <c r="H264" i="15"/>
  <c r="H308" i="15"/>
  <c r="H353" i="15"/>
  <c r="H362" i="15"/>
  <c r="H376" i="15"/>
  <c r="H29" i="15"/>
  <c r="H162" i="15"/>
  <c r="H431" i="15"/>
  <c r="H211" i="15"/>
  <c r="H314" i="15"/>
  <c r="H368" i="15"/>
  <c r="H418" i="15"/>
  <c r="H176" i="15"/>
  <c r="H206" i="15"/>
  <c r="H377" i="15"/>
  <c r="H132" i="15"/>
  <c r="H181" i="15"/>
  <c r="H249" i="15"/>
  <c r="H332" i="15"/>
  <c r="H373" i="15"/>
  <c r="H36" i="15"/>
  <c r="H41" i="15"/>
  <c r="H58" i="15"/>
  <c r="H68" i="15"/>
  <c r="H72" i="15"/>
  <c r="H80" i="15"/>
  <c r="H85" i="15"/>
  <c r="H95" i="15"/>
  <c r="H98" i="15"/>
  <c r="H103" i="15"/>
  <c r="H121" i="15"/>
  <c r="H125" i="15"/>
  <c r="H147" i="15"/>
  <c r="H156" i="15"/>
  <c r="H179" i="15"/>
  <c r="H193" i="15"/>
  <c r="H196" i="15"/>
  <c r="H227" i="15"/>
  <c r="H236" i="15"/>
  <c r="H245" i="15"/>
  <c r="H291" i="15"/>
  <c r="H299" i="15"/>
  <c r="H312" i="15"/>
  <c r="H321" i="15"/>
  <c r="H330" i="15"/>
  <c r="H344" i="15"/>
  <c r="H357" i="15"/>
  <c r="H366" i="15"/>
  <c r="H412" i="15"/>
  <c r="H417" i="15"/>
  <c r="H420" i="15"/>
  <c r="H424" i="15"/>
  <c r="H437" i="15"/>
  <c r="H326" i="15"/>
  <c r="H47" i="15"/>
  <c r="H229" i="15"/>
  <c r="H38" i="15"/>
  <c r="H324" i="15"/>
  <c r="H346" i="15"/>
  <c r="H54" i="15"/>
  <c r="H118" i="15"/>
  <c r="H336" i="15"/>
  <c r="H434" i="15"/>
  <c r="H65" i="15"/>
  <c r="H149" i="15"/>
  <c r="H166" i="15"/>
  <c r="H202" i="15"/>
  <c r="H238" i="15"/>
  <c r="H341" i="15"/>
  <c r="H359" i="15"/>
  <c r="H400" i="15"/>
  <c r="H70" i="15"/>
  <c r="H79" i="15"/>
  <c r="H83" i="15"/>
  <c r="H87" i="15"/>
  <c r="H96" i="15"/>
  <c r="H114" i="15"/>
  <c r="H122" i="15"/>
  <c r="H194" i="15"/>
  <c r="H198" i="15"/>
  <c r="H252" i="15"/>
  <c r="H275" i="15"/>
  <c r="H414" i="15"/>
  <c r="H21" i="15"/>
  <c r="H61" i="15"/>
  <c r="H75" i="15"/>
  <c r="H137" i="15"/>
  <c r="H284" i="15"/>
  <c r="H297" i="15"/>
  <c r="H435" i="15"/>
  <c r="H151" i="15"/>
  <c r="H172" i="15"/>
  <c r="H306" i="15"/>
  <c r="H19" i="15"/>
  <c r="H28" i="15"/>
  <c r="H46" i="15"/>
  <c r="H90" i="15"/>
  <c r="H130" i="15"/>
  <c r="H134" i="15"/>
  <c r="H152" i="15"/>
  <c r="H161" i="15"/>
  <c r="H164" i="15"/>
  <c r="H183" i="15"/>
  <c r="H201" i="15"/>
  <c r="H219" i="15"/>
  <c r="H232" i="15"/>
  <c r="H241" i="15"/>
  <c r="H255" i="15"/>
  <c r="H278" i="15"/>
  <c r="H305" i="15"/>
  <c r="H317" i="15"/>
  <c r="H340" i="15"/>
  <c r="H349" i="15"/>
  <c r="H371" i="15"/>
  <c r="H388" i="15"/>
  <c r="H394" i="15"/>
  <c r="H404" i="15"/>
  <c r="H408" i="15"/>
  <c r="H429" i="15"/>
  <c r="H51" i="15"/>
  <c r="H55" i="15"/>
  <c r="H108" i="15"/>
  <c r="H139" i="15"/>
  <c r="H189" i="15"/>
  <c r="H207" i="15"/>
  <c r="H215" i="15"/>
  <c r="H265" i="15"/>
  <c r="H270" i="15"/>
  <c r="H283" i="15"/>
  <c r="H296" i="15"/>
  <c r="H354" i="15"/>
  <c r="H363" i="15"/>
  <c r="H131" i="15"/>
  <c r="H158" i="15"/>
  <c r="H233" i="15"/>
  <c r="H261" i="15"/>
  <c r="H304" i="15"/>
  <c r="H350" i="15"/>
  <c r="H372" i="15"/>
  <c r="H405" i="15"/>
  <c r="H426" i="15"/>
  <c r="H24" i="15"/>
  <c r="H127" i="15"/>
  <c r="H310" i="15"/>
  <c r="H386" i="15"/>
  <c r="H53" i="15"/>
  <c r="H101" i="15"/>
  <c r="H220" i="15"/>
  <c r="H257" i="15"/>
  <c r="H280" i="15"/>
  <c r="H396" i="15"/>
  <c r="H163" i="15"/>
  <c r="H427" i="15"/>
  <c r="H25" i="15"/>
  <c r="H42" i="15"/>
  <c r="H69" i="15"/>
  <c r="H78" i="15"/>
  <c r="H82" i="15"/>
  <c r="H86" i="15"/>
  <c r="H94" i="15"/>
  <c r="H104" i="15"/>
  <c r="H123" i="15"/>
  <c r="H126" i="15"/>
  <c r="H178" i="15"/>
  <c r="H192" i="15"/>
  <c r="H197" i="15"/>
  <c r="H228" i="15"/>
  <c r="H274" i="15"/>
  <c r="H287" i="15"/>
  <c r="H290" i="15"/>
  <c r="H300" i="15"/>
  <c r="H313" i="15"/>
  <c r="H331" i="15"/>
  <c r="H345" i="15"/>
  <c r="H367" i="15"/>
  <c r="H380" i="15"/>
  <c r="H413" i="15"/>
  <c r="H416" i="15"/>
  <c r="H421" i="15"/>
  <c r="H438" i="15"/>
  <c r="H175" i="15"/>
  <c r="H327" i="15"/>
  <c r="H153" i="15"/>
  <c r="H34" i="15"/>
  <c r="H145" i="15"/>
  <c r="H225" i="15"/>
  <c r="H288" i="15"/>
  <c r="H381" i="15"/>
  <c r="H110" i="15"/>
  <c r="H216" i="15"/>
  <c r="H271" i="15"/>
  <c r="H159" i="15"/>
  <c r="H239" i="15"/>
  <c r="H302" i="15"/>
  <c r="H406" i="15"/>
  <c r="H430" i="15"/>
  <c r="H409" i="15"/>
  <c r="H235" i="15"/>
  <c r="H37" i="15"/>
  <c r="H187" i="15"/>
  <c r="H436" i="15"/>
  <c r="H253" i="15"/>
  <c r="H50" i="15"/>
  <c r="H319" i="15"/>
  <c r="H210" i="15"/>
  <c r="H403" i="15"/>
  <c r="H188" i="15"/>
  <c r="H214" i="15"/>
  <c r="H401" i="15"/>
  <c r="H177" i="15"/>
  <c r="H425" i="15"/>
  <c r="H237" i="15"/>
  <c r="H40" i="15"/>
  <c r="H315" i="15"/>
  <c r="H203" i="15"/>
  <c r="H399" i="15"/>
  <c r="H185" i="15"/>
  <c r="H184" i="15"/>
  <c r="H375" i="15"/>
  <c r="H167" i="15"/>
  <c r="H398" i="15"/>
  <c r="H230" i="15"/>
  <c r="H33" i="15"/>
  <c r="H298" i="15"/>
  <c r="H173" i="15"/>
  <c r="H391" i="15"/>
  <c r="H171" i="15"/>
  <c r="H337" i="15"/>
  <c r="H170" i="15"/>
  <c r="H364" i="15"/>
  <c r="H395" i="15"/>
  <c r="H221" i="15"/>
  <c r="H23" i="15"/>
  <c r="H144" i="15"/>
  <c r="H155" i="15"/>
  <c r="H154" i="15"/>
  <c r="H393" i="15"/>
  <c r="H148" i="15"/>
  <c r="H292" i="15"/>
  <c r="H383" i="15"/>
  <c r="H334" i="15"/>
  <c r="H360" i="15"/>
  <c r="H390" i="15"/>
  <c r="H20" i="15"/>
  <c r="H140" i="15"/>
  <c r="H142" i="15"/>
  <c r="H141" i="15"/>
  <c r="H358" i="15"/>
  <c r="H369" i="15"/>
  <c r="H180" i="15"/>
  <c r="H277" i="15"/>
  <c r="H105" i="15"/>
  <c r="H117" i="15"/>
  <c r="H318" i="15"/>
  <c r="H342" i="15"/>
  <c r="H263" i="15"/>
  <c r="H293" i="15"/>
  <c r="H328" i="15"/>
  <c r="H259" i="15"/>
  <c r="H64" i="15"/>
  <c r="H273" i="15"/>
  <c r="H119" i="15"/>
  <c r="H67" i="15"/>
  <c r="H74" i="15"/>
  <c r="H301" i="15"/>
  <c r="H246" i="15"/>
  <c r="H251" i="15"/>
  <c r="H217" i="15"/>
  <c r="H77" i="15"/>
  <c r="H244" i="15"/>
  <c r="H26" i="15"/>
  <c r="H56" i="15"/>
  <c r="H213" i="15"/>
  <c r="H218" i="15"/>
  <c r="H385" i="15"/>
  <c r="H135" i="15"/>
  <c r="H190" i="15"/>
  <c r="H279" i="15"/>
  <c r="H347" i="15"/>
  <c r="H322" i="15"/>
  <c r="H113" i="15"/>
  <c r="H433" i="15"/>
  <c r="H343" i="15"/>
  <c r="H116" i="15"/>
  <c r="H99" i="15"/>
  <c r="H157" i="15"/>
  <c r="H402" i="15"/>
  <c r="H91" i="15"/>
  <c r="H100" i="15"/>
  <c r="H106" i="15"/>
  <c r="H88" i="15"/>
  <c r="H387" i="15"/>
  <c r="H323" i="15"/>
  <c r="H92" i="15"/>
  <c r="H63" i="15"/>
  <c r="H382" i="15"/>
  <c r="H267" i="15"/>
  <c r="H224" i="15"/>
  <c r="H102" i="15"/>
  <c r="H59" i="15"/>
  <c r="H250" i="15"/>
  <c r="H286" i="15"/>
  <c r="H243" i="15"/>
  <c r="H355" i="15"/>
  <c r="H333" i="15"/>
  <c r="H307" i="15"/>
  <c r="H128" i="15"/>
  <c r="H73" i="15"/>
  <c r="H266" i="15"/>
  <c r="H309" i="15"/>
  <c r="H256" i="15"/>
  <c r="H260" i="15"/>
  <c r="H44" i="15"/>
  <c r="H379" i="15"/>
  <c r="H66" i="15"/>
  <c r="H30" i="15"/>
  <c r="H351" i="15"/>
  <c r="H234" i="15"/>
  <c r="H60" i="15"/>
  <c r="H200" i="15"/>
  <c r="H269" i="15"/>
  <c r="H339" i="15"/>
  <c r="H410" i="15"/>
  <c r="H18" i="15"/>
  <c r="H12" i="15"/>
  <c r="H6" i="15"/>
  <c r="H15" i="15"/>
  <c r="H14" i="15"/>
  <c r="H13" i="15"/>
  <c r="H7" i="15"/>
  <c r="H17" i="15"/>
  <c r="H10" i="15"/>
  <c r="H5" i="15"/>
  <c r="H16" i="15"/>
  <c r="H11" i="15"/>
  <c r="H9" i="15"/>
  <c r="H8" i="15"/>
  <c r="E25" i="8" l="1"/>
  <c r="E25" i="3"/>
  <c r="I25" i="8"/>
  <c r="A26" i="3"/>
  <c r="B26" i="3"/>
  <c r="A29" i="7"/>
  <c r="B29" i="7"/>
  <c r="J25" i="3"/>
  <c r="B30" i="5"/>
  <c r="A30" i="5"/>
  <c r="B26" i="8"/>
  <c r="A26" i="8"/>
  <c r="C158" i="10"/>
  <c r="C159" i="10" s="1"/>
  <c r="C160" i="10" s="1"/>
  <c r="C161" i="10" s="1"/>
  <c r="C162" i="10" s="1"/>
  <c r="C163" i="10" s="1"/>
  <c r="C165" i="10" s="1"/>
  <c r="C157" i="10"/>
  <c r="B27" i="15"/>
  <c r="A27" i="15"/>
  <c r="J29" i="5"/>
  <c r="I27" i="7"/>
  <c r="I26" i="7"/>
  <c r="E26" i="8" l="1"/>
  <c r="E26" i="3"/>
  <c r="J26" i="3"/>
  <c r="I26" i="8"/>
  <c r="A30" i="7"/>
  <c r="B30" i="7"/>
  <c r="B31" i="5"/>
  <c r="A31" i="5"/>
  <c r="B27" i="8"/>
  <c r="A27" i="8"/>
  <c r="A27" i="3"/>
  <c r="J27" i="3" s="1"/>
  <c r="B27" i="3"/>
  <c r="C164" i="10"/>
  <c r="C166" i="10"/>
  <c r="C167" i="10" s="1"/>
  <c r="C168" i="10" s="1"/>
  <c r="C169" i="10" s="1"/>
  <c r="C170" i="10" s="1"/>
  <c r="B28" i="15"/>
  <c r="A28" i="15"/>
  <c r="J30" i="5"/>
  <c r="I25" i="7"/>
  <c r="I28" i="7"/>
  <c r="J25" i="5"/>
  <c r="I11" i="1"/>
  <c r="I27" i="8" l="1"/>
  <c r="A32" i="5"/>
  <c r="A33" i="5"/>
  <c r="B33" i="5"/>
  <c r="B32" i="5"/>
  <c r="A31" i="7"/>
  <c r="B31" i="7"/>
  <c r="E27" i="8"/>
  <c r="E27" i="3"/>
  <c r="B28" i="8"/>
  <c r="A28" i="8"/>
  <c r="E28" i="8" s="1"/>
  <c r="A28" i="3"/>
  <c r="B28" i="3"/>
  <c r="C171" i="10"/>
  <c r="C172" i="10"/>
  <c r="C173" i="10" s="1"/>
  <c r="C174" i="10" s="1"/>
  <c r="C175" i="10" s="1"/>
  <c r="C176" i="10" s="1"/>
  <c r="C177" i="10" s="1"/>
  <c r="C179" i="10" s="1"/>
  <c r="B29" i="15"/>
  <c r="A29" i="15"/>
  <c r="J31" i="5"/>
  <c r="I29" i="7"/>
  <c r="L24" i="15"/>
  <c r="I28" i="8" l="1"/>
  <c r="E28" i="3"/>
  <c r="A32" i="7"/>
  <c r="B33" i="7"/>
  <c r="B32" i="7"/>
  <c r="A33" i="7"/>
  <c r="B29" i="8"/>
  <c r="A29" i="8"/>
  <c r="J28" i="3"/>
  <c r="A29" i="3"/>
  <c r="B29" i="3"/>
  <c r="A34" i="5"/>
  <c r="B34" i="5"/>
  <c r="C178" i="10"/>
  <c r="C180" i="10"/>
  <c r="C181" i="10" s="1"/>
  <c r="C182" i="10" s="1"/>
  <c r="C183" i="10" s="1"/>
  <c r="C184" i="10" s="1"/>
  <c r="B30" i="15"/>
  <c r="A30" i="15"/>
  <c r="J33" i="5"/>
  <c r="I30" i="7"/>
  <c r="I29" i="8" l="1"/>
  <c r="E29" i="3"/>
  <c r="E29" i="8"/>
  <c r="J34" i="5"/>
  <c r="B30" i="8"/>
  <c r="A30" i="8"/>
  <c r="A35" i="5"/>
  <c r="B35" i="5"/>
  <c r="B34" i="7"/>
  <c r="A34" i="7"/>
  <c r="J29" i="3"/>
  <c r="A30" i="3"/>
  <c r="B30" i="3"/>
  <c r="C186" i="10"/>
  <c r="C187" i="10" s="1"/>
  <c r="C188" i="10" s="1"/>
  <c r="C189" i="10" s="1"/>
  <c r="C190" i="10" s="1"/>
  <c r="C191" i="10" s="1"/>
  <c r="C193" i="10" s="1"/>
  <c r="C185" i="10"/>
  <c r="B32" i="15"/>
  <c r="A32" i="15"/>
  <c r="G8" i="3"/>
  <c r="H8" i="3" s="1"/>
  <c r="G9" i="3"/>
  <c r="H9" i="3" s="1"/>
  <c r="G10" i="3"/>
  <c r="H10" i="3" s="1"/>
  <c r="G11" i="3"/>
  <c r="H11" i="3" s="1"/>
  <c r="G12" i="3"/>
  <c r="H12" i="3" s="1"/>
  <c r="G13" i="3"/>
  <c r="H13" i="3" s="1"/>
  <c r="G14" i="3"/>
  <c r="H14" i="3" s="1"/>
  <c r="G15" i="3"/>
  <c r="H15" i="3" s="1"/>
  <c r="G16" i="3"/>
  <c r="H16" i="3" s="1"/>
  <c r="G17" i="3"/>
  <c r="H17" i="3" s="1"/>
  <c r="G18" i="3"/>
  <c r="H18" i="3" s="1"/>
  <c r="G19" i="3"/>
  <c r="H19" i="3" s="1"/>
  <c r="G20" i="3"/>
  <c r="H20" i="3" s="1"/>
  <c r="G21" i="3"/>
  <c r="H21" i="3" s="1"/>
  <c r="G22" i="3"/>
  <c r="H22" i="3" s="1"/>
  <c r="G23" i="3"/>
  <c r="H23" i="3" s="1"/>
  <c r="G24" i="3"/>
  <c r="H24" i="3" s="1"/>
  <c r="G25" i="3"/>
  <c r="H25" i="3" s="1"/>
  <c r="G26" i="3"/>
  <c r="H26" i="3" s="1"/>
  <c r="G27" i="3"/>
  <c r="H27" i="3" s="1"/>
  <c r="G28" i="3"/>
  <c r="H28" i="3" s="1"/>
  <c r="G29" i="3"/>
  <c r="H29" i="3" s="1"/>
  <c r="G30" i="3"/>
  <c r="H30" i="3" s="1"/>
  <c r="G31" i="3"/>
  <c r="H31" i="3" s="1"/>
  <c r="G32" i="3"/>
  <c r="H32" i="3" s="1"/>
  <c r="G33" i="3"/>
  <c r="H33" i="3" s="1"/>
  <c r="G34" i="3"/>
  <c r="H34" i="3" s="1"/>
  <c r="G35" i="3"/>
  <c r="H35" i="3" s="1"/>
  <c r="G36" i="3"/>
  <c r="H36" i="3" s="1"/>
  <c r="G37" i="3"/>
  <c r="H37" i="3" s="1"/>
  <c r="G38" i="3"/>
  <c r="H38" i="3" s="1"/>
  <c r="G39" i="3"/>
  <c r="H39" i="3" s="1"/>
  <c r="G40" i="3"/>
  <c r="H40" i="3" s="1"/>
  <c r="G41" i="3"/>
  <c r="H41" i="3" s="1"/>
  <c r="G42" i="3"/>
  <c r="H42" i="3" s="1"/>
  <c r="G43" i="3"/>
  <c r="H43" i="3" s="1"/>
  <c r="G44" i="3"/>
  <c r="H44" i="3" s="1"/>
  <c r="G45" i="3"/>
  <c r="H45" i="3" s="1"/>
  <c r="G46" i="3"/>
  <c r="H46" i="3" s="1"/>
  <c r="G47" i="3"/>
  <c r="H47" i="3" s="1"/>
  <c r="G48" i="3"/>
  <c r="H48" i="3" s="1"/>
  <c r="G49" i="3"/>
  <c r="H49" i="3" s="1"/>
  <c r="G50" i="3"/>
  <c r="H50" i="3" s="1"/>
  <c r="G51" i="3"/>
  <c r="H51" i="3" s="1"/>
  <c r="G52" i="3"/>
  <c r="H52" i="3" s="1"/>
  <c r="G53" i="3"/>
  <c r="H53" i="3" s="1"/>
  <c r="G54" i="3"/>
  <c r="H54" i="3" s="1"/>
  <c r="G55" i="3"/>
  <c r="H55" i="3" s="1"/>
  <c r="G56" i="3"/>
  <c r="H56" i="3" s="1"/>
  <c r="G57" i="3"/>
  <c r="H57" i="3" s="1"/>
  <c r="G58" i="3"/>
  <c r="H58" i="3" s="1"/>
  <c r="G59" i="3"/>
  <c r="H59" i="3" s="1"/>
  <c r="G60" i="3"/>
  <c r="H60" i="3" s="1"/>
  <c r="G61" i="3"/>
  <c r="H61" i="3" s="1"/>
  <c r="G62" i="3"/>
  <c r="H62" i="3" s="1"/>
  <c r="G63" i="3"/>
  <c r="H63" i="3" s="1"/>
  <c r="G64" i="3"/>
  <c r="H64" i="3" s="1"/>
  <c r="G65" i="3"/>
  <c r="H65" i="3" s="1"/>
  <c r="G66" i="3"/>
  <c r="H66" i="3" s="1"/>
  <c r="G67" i="3"/>
  <c r="H67" i="3" s="1"/>
  <c r="G68" i="3"/>
  <c r="H68" i="3" s="1"/>
  <c r="G69" i="3"/>
  <c r="H69" i="3" s="1"/>
  <c r="G70" i="3"/>
  <c r="H70" i="3" s="1"/>
  <c r="G71" i="3"/>
  <c r="H71" i="3" s="1"/>
  <c r="G72" i="3"/>
  <c r="H72" i="3" s="1"/>
  <c r="G73" i="3"/>
  <c r="H73" i="3" s="1"/>
  <c r="G74" i="3"/>
  <c r="H74" i="3" s="1"/>
  <c r="G75" i="3"/>
  <c r="H75" i="3" s="1"/>
  <c r="G76" i="3"/>
  <c r="H76" i="3" s="1"/>
  <c r="G77" i="3"/>
  <c r="H77" i="3" s="1"/>
  <c r="G78" i="3"/>
  <c r="H78" i="3" s="1"/>
  <c r="G79" i="3"/>
  <c r="H79" i="3" s="1"/>
  <c r="G80" i="3"/>
  <c r="H80" i="3" s="1"/>
  <c r="G81" i="3"/>
  <c r="H81" i="3" s="1"/>
  <c r="G82" i="3"/>
  <c r="H82" i="3" s="1"/>
  <c r="G83" i="3"/>
  <c r="H83" i="3" s="1"/>
  <c r="G84" i="3"/>
  <c r="H84" i="3" s="1"/>
  <c r="G85" i="3"/>
  <c r="H85" i="3" s="1"/>
  <c r="G86" i="3"/>
  <c r="H86" i="3" s="1"/>
  <c r="G87" i="3"/>
  <c r="H87" i="3" s="1"/>
  <c r="G88" i="3"/>
  <c r="H88" i="3" s="1"/>
  <c r="G89" i="3"/>
  <c r="H89" i="3" s="1"/>
  <c r="G90" i="3"/>
  <c r="H90" i="3" s="1"/>
  <c r="G91" i="3"/>
  <c r="H91" i="3" s="1"/>
  <c r="G92" i="3"/>
  <c r="H92" i="3" s="1"/>
  <c r="G93" i="3"/>
  <c r="H93" i="3" s="1"/>
  <c r="G94" i="3"/>
  <c r="H94" i="3" s="1"/>
  <c r="G95" i="3"/>
  <c r="H95" i="3" s="1"/>
  <c r="G96" i="3"/>
  <c r="H96" i="3" s="1"/>
  <c r="G97" i="3"/>
  <c r="H97" i="3" s="1"/>
  <c r="G98" i="3"/>
  <c r="H98" i="3" s="1"/>
  <c r="G99" i="3"/>
  <c r="H99" i="3" s="1"/>
  <c r="G100" i="3"/>
  <c r="H100" i="3" s="1"/>
  <c r="G101" i="3"/>
  <c r="H101" i="3" s="1"/>
  <c r="G102" i="3"/>
  <c r="H102" i="3" s="1"/>
  <c r="G103" i="3"/>
  <c r="H103" i="3" s="1"/>
  <c r="G104" i="3"/>
  <c r="H104" i="3" s="1"/>
  <c r="G105" i="3"/>
  <c r="H105" i="3" s="1"/>
  <c r="G106" i="3"/>
  <c r="H106" i="3" s="1"/>
  <c r="G107" i="3"/>
  <c r="H107" i="3" s="1"/>
  <c r="G108" i="3"/>
  <c r="H108" i="3" s="1"/>
  <c r="G109" i="3"/>
  <c r="H109" i="3" s="1"/>
  <c r="G110" i="3"/>
  <c r="H110" i="3" s="1"/>
  <c r="G111" i="3"/>
  <c r="H111" i="3" s="1"/>
  <c r="G112" i="3"/>
  <c r="H112" i="3" s="1"/>
  <c r="G113" i="3"/>
  <c r="H113" i="3" s="1"/>
  <c r="G114" i="3"/>
  <c r="H114" i="3" s="1"/>
  <c r="G115" i="3"/>
  <c r="H115" i="3" s="1"/>
  <c r="G116" i="3"/>
  <c r="H116" i="3" s="1"/>
  <c r="G117" i="3"/>
  <c r="H117" i="3" s="1"/>
  <c r="G118" i="3"/>
  <c r="H118" i="3" s="1"/>
  <c r="G119" i="3"/>
  <c r="H119" i="3" s="1"/>
  <c r="G120" i="3"/>
  <c r="H120" i="3" s="1"/>
  <c r="G121" i="3"/>
  <c r="H121" i="3" s="1"/>
  <c r="G122" i="3"/>
  <c r="H122" i="3" s="1"/>
  <c r="G123" i="3"/>
  <c r="H123" i="3" s="1"/>
  <c r="G124" i="3"/>
  <c r="H124" i="3" s="1"/>
  <c r="G125" i="3"/>
  <c r="H125" i="3" s="1"/>
  <c r="G126" i="3"/>
  <c r="H126" i="3" s="1"/>
  <c r="G127" i="3"/>
  <c r="H127" i="3" s="1"/>
  <c r="G128" i="3"/>
  <c r="H128" i="3" s="1"/>
  <c r="G129" i="3"/>
  <c r="H129" i="3" s="1"/>
  <c r="G7" i="3"/>
  <c r="H7" i="3" s="1"/>
  <c r="C9" i="11"/>
  <c r="D8" i="11"/>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H29" i="8"/>
  <c r="G29" i="8"/>
  <c r="H28" i="8"/>
  <c r="G28" i="8"/>
  <c r="H27" i="8"/>
  <c r="G27" i="8"/>
  <c r="H26" i="8"/>
  <c r="G26" i="8"/>
  <c r="H25" i="8"/>
  <c r="G25" i="8"/>
  <c r="H24" i="8"/>
  <c r="G24" i="8"/>
  <c r="H23" i="8"/>
  <c r="G23" i="8"/>
  <c r="H22" i="8"/>
  <c r="G22" i="8"/>
  <c r="H21" i="8"/>
  <c r="G21" i="8"/>
  <c r="H20" i="8"/>
  <c r="G20" i="8"/>
  <c r="H19" i="8"/>
  <c r="G19" i="8"/>
  <c r="H18" i="8"/>
  <c r="G18" i="8"/>
  <c r="H17" i="8"/>
  <c r="G17" i="8"/>
  <c r="H16" i="8"/>
  <c r="G16" i="8"/>
  <c r="H15" i="8"/>
  <c r="G15" i="8"/>
  <c r="H14" i="8"/>
  <c r="G14" i="8"/>
  <c r="H13" i="8"/>
  <c r="G13" i="8"/>
  <c r="H12" i="8"/>
  <c r="G12" i="8"/>
  <c r="H11" i="8"/>
  <c r="G11" i="8"/>
  <c r="H10" i="8"/>
  <c r="G10" i="8"/>
  <c r="H9" i="8"/>
  <c r="G9" i="8"/>
  <c r="H8" i="8"/>
  <c r="G8" i="8"/>
  <c r="H7" i="8"/>
  <c r="I7" i="8" s="1"/>
  <c r="G7" i="8"/>
  <c r="H138" i="3"/>
  <c r="H137" i="3"/>
  <c r="H136" i="3"/>
  <c r="H135" i="3"/>
  <c r="H134" i="3"/>
  <c r="H133" i="3"/>
  <c r="H132" i="3"/>
  <c r="H131" i="3"/>
  <c r="H130" i="3"/>
  <c r="I29" i="3"/>
  <c r="I28" i="3"/>
  <c r="I27" i="3"/>
  <c r="I26" i="3"/>
  <c r="I25" i="3"/>
  <c r="I24" i="3"/>
  <c r="I23" i="3"/>
  <c r="I22" i="3"/>
  <c r="I21" i="3"/>
  <c r="I20" i="3"/>
  <c r="I19" i="3"/>
  <c r="I18" i="3"/>
  <c r="I17" i="3"/>
  <c r="I16" i="3"/>
  <c r="I15" i="3"/>
  <c r="I14" i="3"/>
  <c r="I13" i="3"/>
  <c r="I12" i="3"/>
  <c r="I11" i="3"/>
  <c r="I10" i="3"/>
  <c r="I9" i="3"/>
  <c r="I8" i="3"/>
  <c r="I7" i="3"/>
  <c r="E30" i="8" l="1"/>
  <c r="H30" i="8"/>
  <c r="I30" i="8"/>
  <c r="E30" i="3"/>
  <c r="I30" i="3"/>
  <c r="J30" i="3"/>
  <c r="B35" i="7"/>
  <c r="A31" i="3"/>
  <c r="B31" i="3"/>
  <c r="A36" i="5"/>
  <c r="B36" i="5"/>
  <c r="J35" i="5"/>
  <c r="B31" i="8"/>
  <c r="A31" i="8"/>
  <c r="A35" i="7"/>
  <c r="C194" i="10"/>
  <c r="C195" i="10" s="1"/>
  <c r="C196" i="10" s="1"/>
  <c r="C197" i="10" s="1"/>
  <c r="C198" i="10" s="1"/>
  <c r="C192" i="10"/>
  <c r="B33" i="15"/>
  <c r="A33" i="15"/>
  <c r="I33" i="7"/>
  <c r="I31" i="7"/>
  <c r="I31" i="3" l="1"/>
  <c r="E31" i="3"/>
  <c r="H31" i="8"/>
  <c r="J31" i="3"/>
  <c r="E31" i="8"/>
  <c r="B36" i="7"/>
  <c r="A37" i="5"/>
  <c r="B37" i="5"/>
  <c r="I31" i="8"/>
  <c r="A32" i="3"/>
  <c r="B32" i="3"/>
  <c r="J36" i="5"/>
  <c r="B32" i="8"/>
  <c r="A32" i="8"/>
  <c r="I32" i="8" s="1"/>
  <c r="A36" i="7"/>
  <c r="C199" i="10"/>
  <c r="C200" i="10"/>
  <c r="C201" i="10" s="1"/>
  <c r="C202" i="10" s="1"/>
  <c r="C203" i="10" s="1"/>
  <c r="C204" i="10" s="1"/>
  <c r="C205" i="10" s="1"/>
  <c r="C207" i="10" s="1"/>
  <c r="B34" i="15"/>
  <c r="A34" i="15"/>
  <c r="I32" i="7"/>
  <c r="I34" i="7"/>
  <c r="J32" i="5"/>
  <c r="H32" i="8" l="1"/>
  <c r="J32" i="3"/>
  <c r="I32" i="3"/>
  <c r="E32" i="8"/>
  <c r="B37" i="7"/>
  <c r="E32" i="3"/>
  <c r="A33" i="3"/>
  <c r="B33" i="3"/>
  <c r="B33" i="8"/>
  <c r="A33" i="8"/>
  <c r="A38" i="5"/>
  <c r="B38" i="5"/>
  <c r="J37" i="5"/>
  <c r="A37" i="7"/>
  <c r="C208" i="10"/>
  <c r="C209" i="10" s="1"/>
  <c r="C210" i="10" s="1"/>
  <c r="C211" i="10" s="1"/>
  <c r="C212" i="10" s="1"/>
  <c r="C206" i="10"/>
  <c r="B35" i="15"/>
  <c r="A35" i="15"/>
  <c r="I35" i="7"/>
  <c r="E33" i="8" l="1"/>
  <c r="E33" i="3"/>
  <c r="I33" i="8"/>
  <c r="J33" i="3"/>
  <c r="I33" i="3"/>
  <c r="B38" i="7"/>
  <c r="J38" i="5"/>
  <c r="A34" i="3"/>
  <c r="B34" i="3"/>
  <c r="B34" i="8"/>
  <c r="A34" i="8"/>
  <c r="H33" i="8"/>
  <c r="B40" i="5"/>
  <c r="A40" i="5"/>
  <c r="A38" i="7"/>
  <c r="C213" i="10"/>
  <c r="C214" i="10"/>
  <c r="C215" i="10" s="1"/>
  <c r="C216" i="10" s="1"/>
  <c r="C217" i="10" s="1"/>
  <c r="C218" i="10" s="1"/>
  <c r="C219" i="10" s="1"/>
  <c r="C221" i="10" s="1"/>
  <c r="B36" i="15"/>
  <c r="A36" i="15"/>
  <c r="I36" i="7"/>
  <c r="E34" i="3" l="1"/>
  <c r="B40" i="7"/>
  <c r="A39" i="5"/>
  <c r="I34" i="3"/>
  <c r="B35" i="8"/>
  <c r="A35" i="8"/>
  <c r="I35" i="8" s="1"/>
  <c r="H34" i="8"/>
  <c r="I34" i="8"/>
  <c r="A35" i="3"/>
  <c r="B35" i="3"/>
  <c r="J40" i="5"/>
  <c r="J34" i="3"/>
  <c r="B39" i="5"/>
  <c r="A41" i="5"/>
  <c r="B41" i="5"/>
  <c r="E34" i="8"/>
  <c r="A40" i="7"/>
  <c r="C220" i="10"/>
  <c r="C222" i="10"/>
  <c r="C223" i="10" s="1"/>
  <c r="C224" i="10" s="1"/>
  <c r="C225" i="10" s="1"/>
  <c r="C226" i="10" s="1"/>
  <c r="B37" i="15"/>
  <c r="A37" i="15"/>
  <c r="I37" i="7"/>
  <c r="H35" i="8" l="1"/>
  <c r="E35" i="8"/>
  <c r="A39" i="7"/>
  <c r="B39" i="7"/>
  <c r="B41" i="7"/>
  <c r="A36" i="3"/>
  <c r="B36" i="3"/>
  <c r="I35" i="3"/>
  <c r="J35" i="3"/>
  <c r="A42" i="5"/>
  <c r="B42" i="5"/>
  <c r="J41" i="5"/>
  <c r="E35" i="3"/>
  <c r="B36" i="8"/>
  <c r="A36" i="8"/>
  <c r="J39" i="5"/>
  <c r="A41" i="7"/>
  <c r="C227" i="10"/>
  <c r="C228" i="10"/>
  <c r="C229" i="10" s="1"/>
  <c r="C230" i="10" s="1"/>
  <c r="C231" i="10" s="1"/>
  <c r="C232" i="10" s="1"/>
  <c r="C233" i="10" s="1"/>
  <c r="C235" i="10" s="1"/>
  <c r="B39" i="15"/>
  <c r="A39" i="15"/>
  <c r="A38" i="15" s="1"/>
  <c r="I38" i="7"/>
  <c r="I36" i="3" l="1"/>
  <c r="E36" i="3"/>
  <c r="H36" i="8"/>
  <c r="J36" i="3"/>
  <c r="B42" i="7"/>
  <c r="A43" i="5"/>
  <c r="B43" i="5"/>
  <c r="I36" i="8"/>
  <c r="B37" i="8"/>
  <c r="A37" i="8"/>
  <c r="E36" i="8"/>
  <c r="J42" i="5"/>
  <c r="A37" i="3"/>
  <c r="B37" i="3"/>
  <c r="A42" i="7"/>
  <c r="C234" i="10"/>
  <c r="C236" i="10"/>
  <c r="C237" i="10" s="1"/>
  <c r="C238" i="10" s="1"/>
  <c r="C239" i="10" s="1"/>
  <c r="C240" i="10" s="1"/>
  <c r="A40" i="15"/>
  <c r="B38" i="15"/>
  <c r="B40" i="15"/>
  <c r="E37" i="8" l="1"/>
  <c r="J37" i="3"/>
  <c r="H37" i="8"/>
  <c r="B43" i="7"/>
  <c r="J43" i="5"/>
  <c r="B38" i="8"/>
  <c r="A38" i="8"/>
  <c r="E37" i="3"/>
  <c r="A38" i="3"/>
  <c r="B38" i="3"/>
  <c r="I37" i="3"/>
  <c r="I37" i="8"/>
  <c r="B44" i="5"/>
  <c r="A44" i="5"/>
  <c r="A43" i="7"/>
  <c r="C242" i="10"/>
  <c r="C243" i="10" s="1"/>
  <c r="C244" i="10" s="1"/>
  <c r="C245" i="10" s="1"/>
  <c r="C246" i="10" s="1"/>
  <c r="C247" i="10" s="1"/>
  <c r="C249" i="10" s="1"/>
  <c r="C241" i="10"/>
  <c r="B41" i="15"/>
  <c r="A41" i="15"/>
  <c r="I41" i="7"/>
  <c r="I39" i="7"/>
  <c r="I40" i="7"/>
  <c r="E8" i="1"/>
  <c r="I38" i="3" l="1"/>
  <c r="H38" i="8"/>
  <c r="E38" i="8"/>
  <c r="I38" i="8"/>
  <c r="J38" i="3"/>
  <c r="B44" i="7"/>
  <c r="A39" i="3"/>
  <c r="B39" i="3"/>
  <c r="E38" i="3"/>
  <c r="J44" i="5"/>
  <c r="B39" i="8"/>
  <c r="A39" i="8"/>
  <c r="A45" i="5"/>
  <c r="B45" i="5"/>
  <c r="A44" i="7"/>
  <c r="C250" i="10"/>
  <c r="C251" i="10" s="1"/>
  <c r="C252" i="10" s="1"/>
  <c r="C253" i="10" s="1"/>
  <c r="C254" i="10" s="1"/>
  <c r="C248" i="10"/>
  <c r="B42" i="15"/>
  <c r="A42" i="15"/>
  <c r="I42" i="7"/>
  <c r="E9" i="1"/>
  <c r="I39" i="8" l="1"/>
  <c r="E39" i="3"/>
  <c r="I39" i="3"/>
  <c r="B45" i="7"/>
  <c r="J45" i="5"/>
  <c r="H39" i="8"/>
  <c r="E39" i="8"/>
  <c r="B40" i="8"/>
  <c r="A40" i="8"/>
  <c r="J39" i="3"/>
  <c r="B46" i="5"/>
  <c r="B47" i="5"/>
  <c r="A47" i="5"/>
  <c r="A40" i="3"/>
  <c r="B40" i="3"/>
  <c r="A46" i="5"/>
  <c r="A45" i="7"/>
  <c r="C256" i="10"/>
  <c r="C257" i="10" s="1"/>
  <c r="C258" i="10" s="1"/>
  <c r="C259" i="10" s="1"/>
  <c r="C260" i="10" s="1"/>
  <c r="C261" i="10" s="1"/>
  <c r="C263" i="10" s="1"/>
  <c r="C255" i="10"/>
  <c r="B43" i="15"/>
  <c r="A43" i="15"/>
  <c r="I43" i="7"/>
  <c r="E10" i="1"/>
  <c r="I40" i="8" l="1"/>
  <c r="I40" i="3"/>
  <c r="E40" i="8"/>
  <c r="H40" i="8"/>
  <c r="J40" i="3"/>
  <c r="A46" i="7"/>
  <c r="B46" i="7"/>
  <c r="B47" i="7"/>
  <c r="E40" i="3"/>
  <c r="A41" i="3"/>
  <c r="B41" i="3"/>
  <c r="B41" i="8"/>
  <c r="A41" i="8"/>
  <c r="J47" i="5"/>
  <c r="J46" i="5"/>
  <c r="A48" i="5"/>
  <c r="B48" i="5"/>
  <c r="A47" i="7"/>
  <c r="C264" i="10"/>
  <c r="C265" i="10" s="1"/>
  <c r="C266" i="10" s="1"/>
  <c r="C267" i="10" s="1"/>
  <c r="C268" i="10" s="1"/>
  <c r="C262" i="10"/>
  <c r="B44" i="15"/>
  <c r="A44" i="15"/>
  <c r="A45" i="15" s="1"/>
  <c r="I44" i="7"/>
  <c r="E11" i="1"/>
  <c r="E41" i="3" l="1"/>
  <c r="I41" i="3"/>
  <c r="I41" i="8"/>
  <c r="J41" i="3"/>
  <c r="B48" i="7"/>
  <c r="J48" i="5"/>
  <c r="B42" i="8"/>
  <c r="A42" i="8"/>
  <c r="E41" i="8"/>
  <c r="A42" i="3"/>
  <c r="B42" i="3"/>
  <c r="A49" i="5"/>
  <c r="B49" i="5"/>
  <c r="H41" i="8"/>
  <c r="A48" i="7"/>
  <c r="C270" i="10"/>
  <c r="C269" i="10"/>
  <c r="A46" i="15"/>
  <c r="B46" i="15"/>
  <c r="B45" i="15"/>
  <c r="E12" i="1"/>
  <c r="E42" i="8" l="1"/>
  <c r="H42" i="8"/>
  <c r="E42" i="3"/>
  <c r="I42" i="8"/>
  <c r="I42" i="3"/>
  <c r="J42" i="3"/>
  <c r="B49" i="7"/>
  <c r="B50" i="5"/>
  <c r="A50" i="5"/>
  <c r="B43" i="8"/>
  <c r="A43" i="8"/>
  <c r="J49" i="5"/>
  <c r="A43" i="3"/>
  <c r="B43" i="3"/>
  <c r="A49" i="7"/>
  <c r="B47" i="15"/>
  <c r="A47" i="15"/>
  <c r="I47" i="7"/>
  <c r="I46" i="7"/>
  <c r="I45" i="7"/>
  <c r="E13" i="1"/>
  <c r="I43" i="3" l="1"/>
  <c r="E43" i="8"/>
  <c r="B50" i="7"/>
  <c r="I43" i="8"/>
  <c r="B44" i="8"/>
  <c r="A44" i="8"/>
  <c r="J43" i="3"/>
  <c r="E43" i="3"/>
  <c r="H43" i="8"/>
  <c r="A44" i="3"/>
  <c r="B44" i="3"/>
  <c r="J50" i="5"/>
  <c r="A51" i="5"/>
  <c r="B51" i="5"/>
  <c r="A50" i="7"/>
  <c r="B48" i="15"/>
  <c r="A48" i="15"/>
  <c r="I48" i="7"/>
  <c r="E14" i="1"/>
  <c r="H44" i="8" l="1"/>
  <c r="J44" i="3"/>
  <c r="I44" i="8"/>
  <c r="E44" i="8"/>
  <c r="B51" i="7"/>
  <c r="A45" i="3"/>
  <c r="B45" i="3"/>
  <c r="E44" i="3"/>
  <c r="A52" i="5"/>
  <c r="B52" i="5"/>
  <c r="J51" i="5"/>
  <c r="B45" i="8"/>
  <c r="A45" i="8"/>
  <c r="I44" i="3"/>
  <c r="A51" i="7"/>
  <c r="B49" i="15"/>
  <c r="A49" i="15"/>
  <c r="I49" i="7"/>
  <c r="E15" i="1"/>
  <c r="H45" i="8" l="1"/>
  <c r="I45" i="3"/>
  <c r="E45" i="8"/>
  <c r="I45" i="8"/>
  <c r="B52" i="7"/>
  <c r="J45" i="3"/>
  <c r="E45" i="3"/>
  <c r="A54" i="5"/>
  <c r="B54" i="5"/>
  <c r="J52" i="5"/>
  <c r="B46" i="8"/>
  <c r="A46" i="8"/>
  <c r="A46" i="3"/>
  <c r="B46" i="3"/>
  <c r="A52" i="7"/>
  <c r="B50" i="15"/>
  <c r="A50" i="15"/>
  <c r="I50" i="7"/>
  <c r="E16" i="1"/>
  <c r="H46" i="8" l="1"/>
  <c r="I46" i="8"/>
  <c r="E46" i="3"/>
  <c r="E46" i="8"/>
  <c r="B54" i="7"/>
  <c r="A53" i="5"/>
  <c r="A47" i="3"/>
  <c r="B47" i="3"/>
  <c r="J54" i="5"/>
  <c r="J46" i="3"/>
  <c r="A55" i="5"/>
  <c r="B53" i="5"/>
  <c r="B55" i="5"/>
  <c r="B47" i="8"/>
  <c r="A47" i="8"/>
  <c r="I46" i="3"/>
  <c r="A54" i="7"/>
  <c r="B51" i="15"/>
  <c r="A51" i="15"/>
  <c r="I51" i="7"/>
  <c r="E17" i="1"/>
  <c r="H47" i="8" l="1"/>
  <c r="I47" i="8"/>
  <c r="J47" i="3"/>
  <c r="E47" i="3"/>
  <c r="E47" i="8"/>
  <c r="I47" i="3"/>
  <c r="A53" i="7"/>
  <c r="B53" i="7"/>
  <c r="B55" i="7"/>
  <c r="J53" i="5"/>
  <c r="J55" i="5"/>
  <c r="B48" i="8"/>
  <c r="A48" i="8"/>
  <c r="A48" i="3"/>
  <c r="B48" i="3"/>
  <c r="A56" i="5"/>
  <c r="B56" i="5"/>
  <c r="A55" i="7"/>
  <c r="B53" i="15"/>
  <c r="A53" i="15"/>
  <c r="A52" i="15" s="1"/>
  <c r="I52" i="7"/>
  <c r="E18" i="1"/>
  <c r="I48" i="8" l="1"/>
  <c r="J48" i="3"/>
  <c r="E48" i="8"/>
  <c r="B56" i="7"/>
  <c r="A49" i="3"/>
  <c r="B49" i="3"/>
  <c r="I48" i="3"/>
  <c r="B49" i="8"/>
  <c r="A49" i="8"/>
  <c r="E49" i="8" s="1"/>
  <c r="J56" i="5"/>
  <c r="E48" i="3"/>
  <c r="A57" i="5"/>
  <c r="B57" i="5"/>
  <c r="H48" i="8"/>
  <c r="A56" i="7"/>
  <c r="A54" i="15"/>
  <c r="B54" i="15"/>
  <c r="B52" i="15"/>
  <c r="E19" i="1"/>
  <c r="H49" i="8" l="1"/>
  <c r="I49" i="3"/>
  <c r="J49" i="3"/>
  <c r="E49" i="3"/>
  <c r="B57" i="7"/>
  <c r="B50" i="8"/>
  <c r="A50" i="8"/>
  <c r="J57" i="5"/>
  <c r="A50" i="3"/>
  <c r="B50" i="3"/>
  <c r="A58" i="5"/>
  <c r="B58" i="5"/>
  <c r="I49" i="8"/>
  <c r="A57" i="7"/>
  <c r="B55" i="15"/>
  <c r="A55" i="15"/>
  <c r="I55" i="7"/>
  <c r="I53" i="7"/>
  <c r="I54" i="7"/>
  <c r="G4" i="10"/>
  <c r="E20" i="1"/>
  <c r="E50" i="8" l="1"/>
  <c r="H50" i="8"/>
  <c r="E50" i="3"/>
  <c r="I50" i="8"/>
  <c r="I50" i="3"/>
  <c r="B58" i="7"/>
  <c r="J50" i="3"/>
  <c r="A59" i="5"/>
  <c r="B59" i="5"/>
  <c r="J58" i="5"/>
  <c r="A51" i="3"/>
  <c r="B51" i="3"/>
  <c r="B51" i="8"/>
  <c r="A51" i="8"/>
  <c r="A58" i="7"/>
  <c r="B56" i="15"/>
  <c r="A56" i="15"/>
  <c r="I56" i="7"/>
  <c r="G9" i="10"/>
  <c r="E10" i="5" s="1"/>
  <c r="G6" i="10"/>
  <c r="E7" i="5" s="1"/>
  <c r="G7" i="10"/>
  <c r="E8" i="5" s="1"/>
  <c r="G8" i="10"/>
  <c r="E9" i="5" s="1"/>
  <c r="G5" i="10"/>
  <c r="E6" i="5" s="1"/>
  <c r="E21" i="1"/>
  <c r="E51" i="8" l="1"/>
  <c r="J51" i="3"/>
  <c r="I51" i="8"/>
  <c r="E51" i="3"/>
  <c r="B59" i="7"/>
  <c r="I51" i="3"/>
  <c r="B60" i="5"/>
  <c r="A61" i="5"/>
  <c r="B61" i="5"/>
  <c r="A60" i="5"/>
  <c r="B52" i="8"/>
  <c r="A52" i="8"/>
  <c r="H51" i="8"/>
  <c r="A52" i="3"/>
  <c r="B52" i="3"/>
  <c r="J59" i="5"/>
  <c r="A59" i="7"/>
  <c r="B57" i="15"/>
  <c r="A57" i="15"/>
  <c r="I57" i="7"/>
  <c r="E6" i="7"/>
  <c r="E10" i="7"/>
  <c r="E7" i="7"/>
  <c r="E9" i="7"/>
  <c r="E8" i="7"/>
  <c r="E22" i="1"/>
  <c r="H52" i="8" l="1"/>
  <c r="E52" i="8"/>
  <c r="E52" i="3"/>
  <c r="I52" i="8"/>
  <c r="A60" i="7"/>
  <c r="B61" i="7"/>
  <c r="B60" i="7"/>
  <c r="J52" i="3"/>
  <c r="J60" i="5"/>
  <c r="A53" i="3"/>
  <c r="B53" i="3"/>
  <c r="A62" i="5"/>
  <c r="B62" i="5"/>
  <c r="J61" i="5"/>
  <c r="I52" i="3"/>
  <c r="B53" i="8"/>
  <c r="A53" i="8"/>
  <c r="A61" i="7"/>
  <c r="B58" i="15"/>
  <c r="A58" i="15"/>
  <c r="A59" i="15" s="1"/>
  <c r="I58" i="7"/>
  <c r="E23" i="1"/>
  <c r="J53" i="3" l="1"/>
  <c r="I53" i="8"/>
  <c r="I53" i="3"/>
  <c r="B62" i="7"/>
  <c r="A54" i="3"/>
  <c r="B54" i="3"/>
  <c r="E53" i="3"/>
  <c r="E53" i="8"/>
  <c r="B54" i="8"/>
  <c r="A54" i="8"/>
  <c r="H53" i="8"/>
  <c r="A63" i="5"/>
  <c r="B63" i="5"/>
  <c r="J62" i="5"/>
  <c r="A62" i="7"/>
  <c r="A60" i="15"/>
  <c r="B60" i="15"/>
  <c r="B59" i="15"/>
  <c r="H54" i="8" l="1"/>
  <c r="E54" i="8"/>
  <c r="E54" i="3"/>
  <c r="I54" i="8"/>
  <c r="B63" i="7"/>
  <c r="B55" i="8"/>
  <c r="A55" i="8"/>
  <c r="J54" i="3"/>
  <c r="A64" i="5"/>
  <c r="B64" i="5"/>
  <c r="A55" i="3"/>
  <c r="E55" i="3" s="1"/>
  <c r="B55" i="3"/>
  <c r="J63" i="5"/>
  <c r="I54" i="3"/>
  <c r="A63" i="7"/>
  <c r="B61" i="15"/>
  <c r="A61" i="15"/>
  <c r="I61" i="7"/>
  <c r="I60" i="7"/>
  <c r="I59" i="7"/>
  <c r="I55" i="8" l="1"/>
  <c r="H55" i="8"/>
  <c r="E55" i="8"/>
  <c r="I55" i="3"/>
  <c r="B64" i="7"/>
  <c r="A65" i="5"/>
  <c r="B65" i="5"/>
  <c r="J64" i="5"/>
  <c r="J55" i="3"/>
  <c r="A56" i="3"/>
  <c r="B56" i="3"/>
  <c r="B56" i="8"/>
  <c r="A56" i="8"/>
  <c r="A64" i="7"/>
  <c r="B62" i="15"/>
  <c r="A62" i="15"/>
  <c r="I62" i="7"/>
  <c r="E56" i="3" l="1"/>
  <c r="H56" i="8"/>
  <c r="I56" i="3"/>
  <c r="B65" i="7"/>
  <c r="J56" i="3"/>
  <c r="I56" i="8"/>
  <c r="E56" i="8"/>
  <c r="B57" i="8"/>
  <c r="A57" i="8"/>
  <c r="A57" i="3"/>
  <c r="B57" i="3"/>
  <c r="A66" i="5"/>
  <c r="B66" i="5"/>
  <c r="J65" i="5"/>
  <c r="A65" i="7"/>
  <c r="B63" i="15"/>
  <c r="A63" i="15"/>
  <c r="I63" i="7"/>
  <c r="E57" i="8" l="1"/>
  <c r="E57" i="3"/>
  <c r="B66" i="7"/>
  <c r="B58" i="8"/>
  <c r="A58" i="8"/>
  <c r="H57" i="8"/>
  <c r="I57" i="3"/>
  <c r="J57" i="3"/>
  <c r="A68" i="5"/>
  <c r="B68" i="5"/>
  <c r="J66" i="5"/>
  <c r="I57" i="8"/>
  <c r="A58" i="3"/>
  <c r="B58" i="3"/>
  <c r="A66" i="7"/>
  <c r="B64" i="15"/>
  <c r="A64" i="15"/>
  <c r="I64" i="7"/>
  <c r="H58" i="8" l="1"/>
  <c r="I58" i="8"/>
  <c r="E58" i="8"/>
  <c r="E58" i="3"/>
  <c r="B68" i="7"/>
  <c r="A67" i="5"/>
  <c r="J58" i="3"/>
  <c r="J68" i="5"/>
  <c r="A59" i="3"/>
  <c r="B59" i="3"/>
  <c r="I58" i="3"/>
  <c r="B67" i="5"/>
  <c r="A69" i="5"/>
  <c r="B69" i="5"/>
  <c r="B59" i="8"/>
  <c r="A59" i="8"/>
  <c r="A68" i="7"/>
  <c r="B65" i="15"/>
  <c r="A65" i="15"/>
  <c r="I65" i="7"/>
  <c r="E59" i="3" l="1"/>
  <c r="I59" i="8"/>
  <c r="J59" i="3"/>
  <c r="A67" i="7"/>
  <c r="B67" i="7"/>
  <c r="B69" i="7"/>
  <c r="J67" i="5"/>
  <c r="B60" i="8"/>
  <c r="A60" i="8"/>
  <c r="H59" i="8"/>
  <c r="A70" i="5"/>
  <c r="B70" i="5"/>
  <c r="J69" i="5"/>
  <c r="E59" i="8"/>
  <c r="A60" i="3"/>
  <c r="B60" i="3"/>
  <c r="I59" i="3"/>
  <c r="A69" i="7"/>
  <c r="B67" i="15"/>
  <c r="A67" i="15"/>
  <c r="A66" i="15" s="1"/>
  <c r="I66" i="7"/>
  <c r="H60" i="8" l="1"/>
  <c r="E60" i="3"/>
  <c r="E60" i="8"/>
  <c r="I60" i="8"/>
  <c r="B70" i="7"/>
  <c r="A71" i="5"/>
  <c r="B71" i="5"/>
  <c r="J70" i="5"/>
  <c r="A61" i="3"/>
  <c r="B61" i="3"/>
  <c r="J60" i="3"/>
  <c r="I60" i="3"/>
  <c r="B61" i="8"/>
  <c r="A61" i="8"/>
  <c r="A70" i="7"/>
  <c r="A68" i="15"/>
  <c r="B66" i="15"/>
  <c r="B68" i="15"/>
  <c r="I61" i="8" l="1"/>
  <c r="E61" i="3"/>
  <c r="H61" i="8"/>
  <c r="I61" i="3"/>
  <c r="E61" i="8"/>
  <c r="B71" i="7"/>
  <c r="A62" i="3"/>
  <c r="B62" i="3"/>
  <c r="B62" i="8"/>
  <c r="A62" i="8"/>
  <c r="J61" i="3"/>
  <c r="A72" i="5"/>
  <c r="B72" i="5"/>
  <c r="J71" i="5"/>
  <c r="A71" i="7"/>
  <c r="B69" i="15"/>
  <c r="A69" i="15"/>
  <c r="I69" i="7"/>
  <c r="I67" i="7"/>
  <c r="I68" i="7"/>
  <c r="H62" i="8" l="1"/>
  <c r="I62" i="3"/>
  <c r="E62" i="8"/>
  <c r="I62" i="8"/>
  <c r="J62" i="3"/>
  <c r="E62" i="3"/>
  <c r="B72" i="7"/>
  <c r="J72" i="5"/>
  <c r="A73" i="5"/>
  <c r="B73" i="5"/>
  <c r="B63" i="8"/>
  <c r="A63" i="8"/>
  <c r="A63" i="3"/>
  <c r="B63" i="3"/>
  <c r="A72" i="7"/>
  <c r="B70" i="15"/>
  <c r="A70" i="15"/>
  <c r="I70" i="7"/>
  <c r="I63" i="8" l="1"/>
  <c r="I63" i="3"/>
  <c r="J63" i="3"/>
  <c r="E63" i="3"/>
  <c r="B73" i="7"/>
  <c r="J73" i="5"/>
  <c r="B64" i="8"/>
  <c r="A64" i="8"/>
  <c r="H63" i="8"/>
  <c r="E63" i="8"/>
  <c r="B74" i="5"/>
  <c r="A75" i="5"/>
  <c r="B75" i="5"/>
  <c r="A74" i="5"/>
  <c r="A64" i="3"/>
  <c r="B64" i="3"/>
  <c r="A73" i="7"/>
  <c r="B71" i="15"/>
  <c r="A71" i="15"/>
  <c r="I71" i="7"/>
  <c r="E64" i="8" l="1"/>
  <c r="E64" i="3"/>
  <c r="H64" i="8"/>
  <c r="I64" i="3"/>
  <c r="I64" i="8"/>
  <c r="A74" i="7"/>
  <c r="B74" i="7"/>
  <c r="B75" i="7"/>
  <c r="B76" i="5"/>
  <c r="A76" i="5"/>
  <c r="A65" i="3"/>
  <c r="B65" i="3"/>
  <c r="J75" i="5"/>
  <c r="J64" i="3"/>
  <c r="J74" i="5"/>
  <c r="B65" i="8"/>
  <c r="A65" i="8"/>
  <c r="I65" i="8" s="1"/>
  <c r="A75" i="7"/>
  <c r="B72" i="15"/>
  <c r="A72" i="15"/>
  <c r="A73" i="15" s="1"/>
  <c r="I72" i="7"/>
  <c r="I65" i="3" l="1"/>
  <c r="E65" i="3"/>
  <c r="B76" i="7"/>
  <c r="B66" i="8"/>
  <c r="A66" i="8"/>
  <c r="E66" i="8" s="1"/>
  <c r="A66" i="3"/>
  <c r="B66" i="3"/>
  <c r="H65" i="8"/>
  <c r="J65" i="3"/>
  <c r="J76" i="5"/>
  <c r="E65" i="8"/>
  <c r="A77" i="5"/>
  <c r="B77" i="5"/>
  <c r="A76" i="7"/>
  <c r="A74" i="15"/>
  <c r="B74" i="15"/>
  <c r="B73" i="15"/>
  <c r="H66" i="8" l="1"/>
  <c r="J66" i="3"/>
  <c r="E66" i="3"/>
  <c r="I66" i="8"/>
  <c r="I66" i="3"/>
  <c r="B77" i="7"/>
  <c r="A67" i="3"/>
  <c r="J67" i="3" s="1"/>
  <c r="B67" i="3"/>
  <c r="J77" i="5"/>
  <c r="A78" i="5"/>
  <c r="B78" i="5"/>
  <c r="B67" i="8"/>
  <c r="A67" i="8"/>
  <c r="A77" i="7"/>
  <c r="B75" i="15"/>
  <c r="A75" i="15"/>
  <c r="I75" i="7"/>
  <c r="I74" i="7"/>
  <c r="I73" i="7"/>
  <c r="I67" i="3" l="1"/>
  <c r="H67" i="8"/>
  <c r="E67" i="3"/>
  <c r="I67" i="8"/>
  <c r="B78" i="7"/>
  <c r="A79" i="5"/>
  <c r="B79" i="5"/>
  <c r="J78" i="5"/>
  <c r="E67" i="8"/>
  <c r="A68" i="3"/>
  <c r="B68" i="3"/>
  <c r="B68" i="8"/>
  <c r="A68" i="8"/>
  <c r="I68" i="8" s="1"/>
  <c r="A78" i="7"/>
  <c r="B76" i="15"/>
  <c r="A76" i="15"/>
  <c r="I76" i="7"/>
  <c r="E68" i="3" l="1"/>
  <c r="I68" i="3"/>
  <c r="H68" i="8"/>
  <c r="B79" i="7"/>
  <c r="E68" i="8"/>
  <c r="J68" i="3"/>
  <c r="B69" i="8"/>
  <c r="A69" i="8"/>
  <c r="A80" i="5"/>
  <c r="B80" i="5"/>
  <c r="A69" i="3"/>
  <c r="B69" i="3"/>
  <c r="J79" i="5"/>
  <c r="A79" i="7"/>
  <c r="B77" i="15"/>
  <c r="A77" i="15"/>
  <c r="I77" i="7"/>
  <c r="J69" i="3" l="1"/>
  <c r="H69" i="8"/>
  <c r="E69" i="8"/>
  <c r="I69" i="8"/>
  <c r="B80" i="7"/>
  <c r="A82" i="5"/>
  <c r="B82" i="5"/>
  <c r="I69" i="3"/>
  <c r="E69" i="3"/>
  <c r="B70" i="8"/>
  <c r="A70" i="8"/>
  <c r="J80" i="5"/>
  <c r="A70" i="3"/>
  <c r="B70" i="3"/>
  <c r="A80" i="7"/>
  <c r="B78" i="15"/>
  <c r="A78" i="15"/>
  <c r="I78" i="7"/>
  <c r="I70" i="8" l="1"/>
  <c r="J70" i="3"/>
  <c r="E70" i="8"/>
  <c r="I70" i="3"/>
  <c r="B82" i="7"/>
  <c r="A81" i="5"/>
  <c r="J82" i="5"/>
  <c r="E70" i="3"/>
  <c r="A71" i="3"/>
  <c r="B71" i="3"/>
  <c r="B71" i="8"/>
  <c r="A71" i="8"/>
  <c r="H70" i="8"/>
  <c r="A83" i="5"/>
  <c r="B81" i="5"/>
  <c r="B83" i="5"/>
  <c r="A82" i="7"/>
  <c r="B79" i="15"/>
  <c r="A79" i="15"/>
  <c r="I79" i="7"/>
  <c r="E71" i="3" l="1"/>
  <c r="J71" i="3"/>
  <c r="I71" i="3"/>
  <c r="H71" i="8"/>
  <c r="A81" i="7"/>
  <c r="B83" i="7"/>
  <c r="B81" i="7"/>
  <c r="J81" i="5"/>
  <c r="I71" i="8"/>
  <c r="J83" i="5"/>
  <c r="B72" i="8"/>
  <c r="A72" i="8"/>
  <c r="E71" i="8"/>
  <c r="A72" i="3"/>
  <c r="B72" i="3"/>
  <c r="A84" i="5"/>
  <c r="B84" i="5"/>
  <c r="A83" i="7"/>
  <c r="B81" i="15"/>
  <c r="A81" i="15"/>
  <c r="A80" i="15" s="1"/>
  <c r="I80" i="7"/>
  <c r="J72" i="3" l="1"/>
  <c r="I72" i="8"/>
  <c r="E72" i="3"/>
  <c r="I72" i="3"/>
  <c r="B84" i="7"/>
  <c r="B73" i="8"/>
  <c r="A73" i="8"/>
  <c r="H72" i="8"/>
  <c r="A85" i="5"/>
  <c r="B85" i="5"/>
  <c r="A73" i="3"/>
  <c r="B73" i="3"/>
  <c r="J84" i="5"/>
  <c r="E72" i="8"/>
  <c r="A84" i="7"/>
  <c r="A82" i="15"/>
  <c r="B80" i="15"/>
  <c r="B82" i="15"/>
  <c r="E24" i="1"/>
  <c r="I73" i="8" l="1"/>
  <c r="H73" i="8"/>
  <c r="E73" i="8"/>
  <c r="B85" i="7"/>
  <c r="A74" i="3"/>
  <c r="B74" i="3"/>
  <c r="J73" i="3"/>
  <c r="J85" i="5"/>
  <c r="E73" i="3"/>
  <c r="I73" i="3"/>
  <c r="A86" i="5"/>
  <c r="B86" i="5"/>
  <c r="B74" i="8"/>
  <c r="A74" i="8"/>
  <c r="I74" i="8" s="1"/>
  <c r="A85" i="7"/>
  <c r="B83" i="15"/>
  <c r="A83" i="15"/>
  <c r="I83" i="7"/>
  <c r="I81" i="7"/>
  <c r="I82" i="7"/>
  <c r="I74" i="3" l="1"/>
  <c r="H74" i="8"/>
  <c r="J74" i="3"/>
  <c r="E74" i="3"/>
  <c r="B86" i="7"/>
  <c r="E74" i="8"/>
  <c r="B75" i="8"/>
  <c r="A75" i="8"/>
  <c r="A87" i="5"/>
  <c r="B87" i="5"/>
  <c r="A75" i="3"/>
  <c r="J75" i="3" s="1"/>
  <c r="B75" i="3"/>
  <c r="J86" i="5"/>
  <c r="A86" i="7"/>
  <c r="B84" i="15"/>
  <c r="A84" i="15"/>
  <c r="I84" i="7"/>
  <c r="E25" i="1"/>
  <c r="E26" i="1"/>
  <c r="I75" i="8" l="1"/>
  <c r="E75" i="8"/>
  <c r="B87" i="7"/>
  <c r="A88" i="5"/>
  <c r="E75" i="3"/>
  <c r="A76" i="3"/>
  <c r="B76" i="3"/>
  <c r="J87" i="5"/>
  <c r="B88" i="5"/>
  <c r="B89" i="5"/>
  <c r="A89" i="5"/>
  <c r="I75" i="3"/>
  <c r="B76" i="8"/>
  <c r="A76" i="8"/>
  <c r="H76" i="8" s="1"/>
  <c r="H75" i="8"/>
  <c r="A87" i="7"/>
  <c r="B85" i="15"/>
  <c r="A85" i="15"/>
  <c r="I85" i="7"/>
  <c r="E27" i="1"/>
  <c r="E76" i="3" l="1"/>
  <c r="I76" i="3"/>
  <c r="I76" i="8"/>
  <c r="E76" i="8"/>
  <c r="A88" i="7"/>
  <c r="B88" i="7"/>
  <c r="B89" i="7"/>
  <c r="J89" i="5"/>
  <c r="A90" i="5"/>
  <c r="B90" i="5"/>
  <c r="J88" i="5"/>
  <c r="A77" i="3"/>
  <c r="B77" i="3"/>
  <c r="J76" i="3"/>
  <c r="B77" i="8"/>
  <c r="A77" i="8"/>
  <c r="A89" i="7"/>
  <c r="B86" i="15"/>
  <c r="A86" i="15"/>
  <c r="A87" i="15" s="1"/>
  <c r="I86" i="7"/>
  <c r="E28" i="1"/>
  <c r="I77" i="3" l="1"/>
  <c r="E77" i="8"/>
  <c r="E77" i="3"/>
  <c r="B90" i="7"/>
  <c r="B91" i="5"/>
  <c r="A91" i="5"/>
  <c r="B78" i="8"/>
  <c r="A78" i="8"/>
  <c r="J90" i="5"/>
  <c r="H77" i="8"/>
  <c r="J77" i="3"/>
  <c r="A78" i="3"/>
  <c r="B78" i="3"/>
  <c r="I77" i="8"/>
  <c r="A90" i="7"/>
  <c r="A88" i="15"/>
  <c r="B87" i="15"/>
  <c r="B88" i="15"/>
  <c r="E29" i="1"/>
  <c r="H78" i="8" l="1"/>
  <c r="I78" i="8"/>
  <c r="E78" i="3"/>
  <c r="E78" i="8"/>
  <c r="I78" i="3"/>
  <c r="B91" i="7"/>
  <c r="B79" i="8"/>
  <c r="A79" i="8"/>
  <c r="A79" i="3"/>
  <c r="B79" i="3"/>
  <c r="J91" i="5"/>
  <c r="J78" i="3"/>
  <c r="A92" i="5"/>
  <c r="B92" i="5"/>
  <c r="A91" i="7"/>
  <c r="B89" i="15"/>
  <c r="A89" i="15"/>
  <c r="I89" i="7"/>
  <c r="I88" i="7"/>
  <c r="I87" i="7"/>
  <c r="E30" i="1"/>
  <c r="E79" i="8" l="1"/>
  <c r="I79" i="3"/>
  <c r="J79" i="3"/>
  <c r="E79" i="3"/>
  <c r="I79" i="8"/>
  <c r="H79" i="8"/>
  <c r="B92" i="7"/>
  <c r="A80" i="3"/>
  <c r="B80" i="3"/>
  <c r="A93" i="5"/>
  <c r="B93" i="5"/>
  <c r="J92" i="5"/>
  <c r="B80" i="8"/>
  <c r="A80" i="8"/>
  <c r="A92" i="7"/>
  <c r="B90" i="15"/>
  <c r="A90" i="15"/>
  <c r="I90" i="7"/>
  <c r="E31" i="1"/>
  <c r="E80" i="8" l="1"/>
  <c r="J80" i="3"/>
  <c r="H80" i="8"/>
  <c r="I80" i="3"/>
  <c r="E80" i="3"/>
  <c r="B93" i="7"/>
  <c r="I80" i="8"/>
  <c r="A94" i="5"/>
  <c r="B94" i="5"/>
  <c r="J93" i="5"/>
  <c r="A81" i="3"/>
  <c r="B81" i="3"/>
  <c r="B81" i="8"/>
  <c r="A81" i="8"/>
  <c r="I81" i="8" s="1"/>
  <c r="A93" i="7"/>
  <c r="B91" i="15"/>
  <c r="A91" i="15"/>
  <c r="I91" i="7"/>
  <c r="E32" i="1"/>
  <c r="J81" i="3" l="1"/>
  <c r="H81" i="8"/>
  <c r="B94" i="7"/>
  <c r="E81" i="3"/>
  <c r="E81" i="8"/>
  <c r="I81" i="3"/>
  <c r="B96" i="5"/>
  <c r="A96" i="5"/>
  <c r="J94" i="5"/>
  <c r="B82" i="8"/>
  <c r="A82" i="8"/>
  <c r="A82" i="3"/>
  <c r="B82" i="3"/>
  <c r="A94" i="7"/>
  <c r="B92" i="15"/>
  <c r="A92" i="15"/>
  <c r="I92" i="7"/>
  <c r="E33" i="1"/>
  <c r="H82" i="8" l="1"/>
  <c r="E82" i="3"/>
  <c r="I82" i="8"/>
  <c r="E82" i="8"/>
  <c r="I82" i="3"/>
  <c r="B96" i="7"/>
  <c r="A95" i="5"/>
  <c r="B95" i="5"/>
  <c r="A97" i="5"/>
  <c r="B97" i="5"/>
  <c r="B83" i="8"/>
  <c r="I83" i="8" s="1"/>
  <c r="A83" i="8"/>
  <c r="A83" i="3"/>
  <c r="B83" i="3"/>
  <c r="J82" i="3"/>
  <c r="J96" i="5"/>
  <c r="A96" i="7"/>
  <c r="B93" i="15"/>
  <c r="A93" i="15"/>
  <c r="I93" i="7"/>
  <c r="E34" i="1"/>
  <c r="H83" i="8" l="1"/>
  <c r="J83" i="3"/>
  <c r="E83" i="8"/>
  <c r="I83" i="3"/>
  <c r="A95" i="7"/>
  <c r="B95" i="7"/>
  <c r="B97" i="7"/>
  <c r="J95" i="5"/>
  <c r="A98" i="5"/>
  <c r="B98" i="5"/>
  <c r="A84" i="3"/>
  <c r="B84" i="3"/>
  <c r="E83" i="3"/>
  <c r="J97" i="5"/>
  <c r="B84" i="8"/>
  <c r="A84" i="8"/>
  <c r="A97" i="7"/>
  <c r="B95" i="15"/>
  <c r="A95" i="15"/>
  <c r="A94" i="15" s="1"/>
  <c r="I94" i="7"/>
  <c r="E35" i="1"/>
  <c r="H84" i="8" l="1"/>
  <c r="I84" i="8"/>
  <c r="E84" i="3"/>
  <c r="E84" i="8"/>
  <c r="I84" i="3"/>
  <c r="B98" i="7"/>
  <c r="A85" i="3"/>
  <c r="J85" i="3" s="1"/>
  <c r="B85" i="3"/>
  <c r="B85" i="8"/>
  <c r="A85" i="8"/>
  <c r="J84" i="3"/>
  <c r="A99" i="5"/>
  <c r="B99" i="5"/>
  <c r="J98" i="5"/>
  <c r="A98" i="7"/>
  <c r="A96" i="15"/>
  <c r="B94" i="15"/>
  <c r="B96" i="15"/>
  <c r="E36" i="1"/>
  <c r="H85" i="8" l="1"/>
  <c r="I85" i="3"/>
  <c r="E85" i="3"/>
  <c r="E85" i="8"/>
  <c r="I85" i="8"/>
  <c r="B99" i="7"/>
  <c r="A100" i="5"/>
  <c r="B100" i="5"/>
  <c r="B86" i="8"/>
  <c r="A86" i="8"/>
  <c r="J99" i="5"/>
  <c r="A86" i="3"/>
  <c r="B86" i="3"/>
  <c r="A99" i="7"/>
  <c r="B97" i="15"/>
  <c r="A97" i="15"/>
  <c r="I97" i="7"/>
  <c r="I95" i="7"/>
  <c r="I96" i="7"/>
  <c r="E37" i="1"/>
  <c r="I86" i="8" l="1"/>
  <c r="J86" i="3"/>
  <c r="E86" i="3"/>
  <c r="I86" i="3"/>
  <c r="B100" i="7"/>
  <c r="E86" i="8"/>
  <c r="H86" i="8"/>
  <c r="B87" i="8"/>
  <c r="A87" i="8"/>
  <c r="A87" i="3"/>
  <c r="B87" i="3"/>
  <c r="A101" i="5"/>
  <c r="B101" i="5"/>
  <c r="J100" i="5"/>
  <c r="A100" i="7"/>
  <c r="B98" i="15"/>
  <c r="A98" i="15"/>
  <c r="I98" i="7"/>
  <c r="E38" i="1"/>
  <c r="E87" i="3" l="1"/>
  <c r="H87" i="8"/>
  <c r="E87" i="8"/>
  <c r="I87" i="8"/>
  <c r="B101" i="7"/>
  <c r="A102" i="5"/>
  <c r="B88" i="8"/>
  <c r="A88" i="8"/>
  <c r="A103" i="5"/>
  <c r="B103" i="5"/>
  <c r="B102" i="5"/>
  <c r="J101" i="5"/>
  <c r="A88" i="3"/>
  <c r="B88" i="3"/>
  <c r="I87" i="3"/>
  <c r="J87" i="3"/>
  <c r="A101" i="7"/>
  <c r="B99" i="15"/>
  <c r="A99" i="15"/>
  <c r="I99" i="7"/>
  <c r="E88" i="3" l="1"/>
  <c r="I88" i="3"/>
  <c r="E88" i="8"/>
  <c r="I88" i="8"/>
  <c r="A102" i="7"/>
  <c r="B103" i="7"/>
  <c r="B102" i="7"/>
  <c r="J103" i="5"/>
  <c r="J88" i="3"/>
  <c r="B89" i="8"/>
  <c r="A89" i="8"/>
  <c r="A104" i="5"/>
  <c r="B104" i="5"/>
  <c r="H88" i="8"/>
  <c r="A89" i="3"/>
  <c r="B89" i="3"/>
  <c r="J102" i="5"/>
  <c r="A103" i="7"/>
  <c r="B100" i="15"/>
  <c r="A100" i="15"/>
  <c r="A101" i="15" s="1"/>
  <c r="I100" i="7"/>
  <c r="H89" i="8" l="1"/>
  <c r="I89" i="3"/>
  <c r="E89" i="3"/>
  <c r="E89" i="8"/>
  <c r="B104" i="7"/>
  <c r="B105" i="5"/>
  <c r="A105" i="5"/>
  <c r="J104" i="5"/>
  <c r="A90" i="3"/>
  <c r="B90" i="3"/>
  <c r="I89" i="8"/>
  <c r="B90" i="8"/>
  <c r="A90" i="8"/>
  <c r="J89" i="3"/>
  <c r="A104" i="7"/>
  <c r="A102" i="15"/>
  <c r="B101" i="15"/>
  <c r="B102" i="15"/>
  <c r="E90" i="3" l="1"/>
  <c r="H90" i="8"/>
  <c r="I90" i="8"/>
  <c r="E90" i="8"/>
  <c r="B105" i="7"/>
  <c r="A91" i="3"/>
  <c r="B91" i="3"/>
  <c r="I90" i="3"/>
  <c r="J90" i="3"/>
  <c r="J105" i="5"/>
  <c r="B91" i="8"/>
  <c r="A91" i="8"/>
  <c r="B106" i="5"/>
  <c r="A106" i="5"/>
  <c r="A105" i="7"/>
  <c r="B103" i="15"/>
  <c r="A103" i="15"/>
  <c r="I103" i="7"/>
  <c r="I102" i="7"/>
  <c r="I101" i="7"/>
  <c r="E91" i="8" l="1"/>
  <c r="I91" i="8"/>
  <c r="E91" i="3"/>
  <c r="I91" i="3"/>
  <c r="J91" i="3"/>
  <c r="B106" i="7"/>
  <c r="B92" i="8"/>
  <c r="A92" i="8"/>
  <c r="H91" i="8"/>
  <c r="J106" i="5"/>
  <c r="A107" i="5"/>
  <c r="B107" i="5"/>
  <c r="A92" i="3"/>
  <c r="B92" i="3"/>
  <c r="A106" i="7"/>
  <c r="B104" i="15"/>
  <c r="A104" i="15"/>
  <c r="I104" i="7"/>
  <c r="H92" i="8" l="1"/>
  <c r="I92" i="8"/>
  <c r="E92" i="8"/>
  <c r="J92" i="3"/>
  <c r="E92" i="3"/>
  <c r="B107" i="7"/>
  <c r="A108" i="5"/>
  <c r="B108" i="5"/>
  <c r="J107" i="5"/>
  <c r="I92" i="3"/>
  <c r="A93" i="3"/>
  <c r="J93" i="3" s="1"/>
  <c r="B93" i="3"/>
  <c r="B93" i="8"/>
  <c r="A93" i="8"/>
  <c r="A107" i="7"/>
  <c r="B105" i="15"/>
  <c r="A105" i="15"/>
  <c r="I105" i="7"/>
  <c r="E93" i="8" l="1"/>
  <c r="I93" i="8"/>
  <c r="I93" i="3"/>
  <c r="B108" i="7"/>
  <c r="H93" i="8"/>
  <c r="B94" i="8"/>
  <c r="A94" i="8"/>
  <c r="A110" i="5"/>
  <c r="B110" i="5"/>
  <c r="E93" i="3"/>
  <c r="A94" i="3"/>
  <c r="B94" i="3"/>
  <c r="J108" i="5"/>
  <c r="A108" i="7"/>
  <c r="B106" i="15"/>
  <c r="A106" i="15"/>
  <c r="I106" i="7"/>
  <c r="E94" i="3" l="1"/>
  <c r="I94" i="8"/>
  <c r="H94" i="8"/>
  <c r="E94" i="8"/>
  <c r="B110" i="7"/>
  <c r="A109" i="5"/>
  <c r="A111" i="5"/>
  <c r="B111" i="5"/>
  <c r="B109" i="5"/>
  <c r="J94" i="3"/>
  <c r="B95" i="8"/>
  <c r="A95" i="8"/>
  <c r="I94" i="3"/>
  <c r="J110" i="5"/>
  <c r="A95" i="3"/>
  <c r="B95" i="3"/>
  <c r="A110" i="7"/>
  <c r="B107" i="15"/>
  <c r="A107" i="15"/>
  <c r="I107" i="7"/>
  <c r="E95" i="3" l="1"/>
  <c r="I95" i="3"/>
  <c r="A109" i="7"/>
  <c r="B111" i="7"/>
  <c r="B109" i="7"/>
  <c r="J109" i="5"/>
  <c r="B96" i="8"/>
  <c r="A96" i="8"/>
  <c r="A96" i="3"/>
  <c r="B96" i="3"/>
  <c r="A112" i="5"/>
  <c r="B112" i="5"/>
  <c r="I95" i="8"/>
  <c r="J111" i="5"/>
  <c r="H95" i="8"/>
  <c r="J95" i="3"/>
  <c r="E95" i="8"/>
  <c r="A111" i="7"/>
  <c r="B109" i="15"/>
  <c r="A109" i="15"/>
  <c r="A108" i="15" s="1"/>
  <c r="I108" i="7"/>
  <c r="I96" i="8" l="1"/>
  <c r="E96" i="3"/>
  <c r="H96" i="8"/>
  <c r="I96" i="3"/>
  <c r="J96" i="3"/>
  <c r="B112" i="7"/>
  <c r="A97" i="3"/>
  <c r="B97" i="3"/>
  <c r="J112" i="5"/>
  <c r="A113" i="5"/>
  <c r="B113" i="5"/>
  <c r="E96" i="8"/>
  <c r="B97" i="8"/>
  <c r="A97" i="8"/>
  <c r="A112" i="7"/>
  <c r="A110" i="15"/>
  <c r="B108" i="15"/>
  <c r="B110" i="15"/>
  <c r="I97" i="8" l="1"/>
  <c r="J97" i="3"/>
  <c r="H97" i="8"/>
  <c r="E97" i="8"/>
  <c r="E97" i="3"/>
  <c r="I97" i="3"/>
  <c r="B113" i="7"/>
  <c r="A114" i="5"/>
  <c r="B114" i="5"/>
  <c r="J113" i="5"/>
  <c r="B98" i="8"/>
  <c r="A98" i="8"/>
  <c r="A98" i="3"/>
  <c r="I98" i="3" s="1"/>
  <c r="B98" i="3"/>
  <c r="A113" i="7"/>
  <c r="B111" i="15"/>
  <c r="A111" i="15"/>
  <c r="I111" i="7"/>
  <c r="I109" i="7"/>
  <c r="I110" i="7"/>
  <c r="E98" i="8" l="1"/>
  <c r="B114" i="7"/>
  <c r="E98" i="3"/>
  <c r="B99" i="8"/>
  <c r="A99" i="8"/>
  <c r="I98" i="8"/>
  <c r="H98" i="8"/>
  <c r="J98" i="3"/>
  <c r="A99" i="3"/>
  <c r="B99" i="3"/>
  <c r="A115" i="5"/>
  <c r="B115" i="5"/>
  <c r="J114" i="5"/>
  <c r="A114" i="7"/>
  <c r="B112" i="15"/>
  <c r="A112" i="15"/>
  <c r="I112" i="7"/>
  <c r="E99" i="8" l="1"/>
  <c r="E99" i="3"/>
  <c r="I99" i="8"/>
  <c r="B115" i="7"/>
  <c r="H99" i="8"/>
  <c r="J99" i="3"/>
  <c r="B117" i="5"/>
  <c r="B116" i="5"/>
  <c r="A117" i="5"/>
  <c r="B100" i="8"/>
  <c r="A100" i="8"/>
  <c r="A100" i="3"/>
  <c r="B100" i="3"/>
  <c r="I99" i="3"/>
  <c r="J115" i="5"/>
  <c r="A116" i="5"/>
  <c r="A115" i="7"/>
  <c r="B113" i="15"/>
  <c r="A113" i="15"/>
  <c r="I113" i="7"/>
  <c r="E100" i="3" l="1"/>
  <c r="J100" i="3"/>
  <c r="I100" i="3"/>
  <c r="E100" i="8"/>
  <c r="A116" i="7"/>
  <c r="B116" i="7"/>
  <c r="B117" i="7"/>
  <c r="B101" i="8"/>
  <c r="A101" i="8"/>
  <c r="J117" i="5"/>
  <c r="J116" i="5"/>
  <c r="A118" i="5"/>
  <c r="B118" i="5"/>
  <c r="H100" i="8"/>
  <c r="I100" i="8"/>
  <c r="A101" i="3"/>
  <c r="B101" i="3"/>
  <c r="A117" i="7"/>
  <c r="B114" i="15"/>
  <c r="A114" i="15"/>
  <c r="A115" i="15" s="1"/>
  <c r="I114" i="7"/>
  <c r="H101" i="8" l="1"/>
  <c r="E101" i="8"/>
  <c r="E101" i="3"/>
  <c r="I101" i="8"/>
  <c r="B118" i="7"/>
  <c r="A102" i="3"/>
  <c r="B102" i="3"/>
  <c r="J101" i="3"/>
  <c r="B119" i="5"/>
  <c r="A119" i="5"/>
  <c r="J118" i="5"/>
  <c r="I101" i="3"/>
  <c r="B102" i="8"/>
  <c r="A102" i="8"/>
  <c r="A118" i="7"/>
  <c r="A116" i="15"/>
  <c r="B116" i="15"/>
  <c r="B115" i="15"/>
  <c r="I102" i="8" l="1"/>
  <c r="I102" i="3"/>
  <c r="J102" i="3"/>
  <c r="E102" i="3"/>
  <c r="E102" i="8"/>
  <c r="H102" i="8"/>
  <c r="B119" i="7"/>
  <c r="A120" i="5"/>
  <c r="B120" i="5"/>
  <c r="B103" i="8"/>
  <c r="A103" i="8"/>
  <c r="A103" i="3"/>
  <c r="B103" i="3"/>
  <c r="J119" i="5"/>
  <c r="A119" i="7"/>
  <c r="B117" i="15"/>
  <c r="A117" i="15"/>
  <c r="I117" i="7"/>
  <c r="I116" i="7"/>
  <c r="I115" i="7"/>
  <c r="E103" i="8" l="1"/>
  <c r="E103" i="3"/>
  <c r="B120" i="7"/>
  <c r="J103" i="3"/>
  <c r="I103" i="8"/>
  <c r="A104" i="3"/>
  <c r="B104" i="3"/>
  <c r="I103" i="3"/>
  <c r="B104" i="8"/>
  <c r="A104" i="8"/>
  <c r="H103" i="8"/>
  <c r="A121" i="5"/>
  <c r="B121" i="5"/>
  <c r="J120" i="5"/>
  <c r="A120" i="7"/>
  <c r="B118" i="15"/>
  <c r="A118" i="15"/>
  <c r="I118" i="7"/>
  <c r="I104" i="8" l="1"/>
  <c r="E104" i="3"/>
  <c r="J104" i="3"/>
  <c r="I104" i="3"/>
  <c r="B121" i="7"/>
  <c r="E104" i="8"/>
  <c r="B105" i="8"/>
  <c r="A105" i="8"/>
  <c r="A105" i="3"/>
  <c r="E105" i="3" s="1"/>
  <c r="B105" i="3"/>
  <c r="H104" i="8"/>
  <c r="A122" i="5"/>
  <c r="B122" i="5"/>
  <c r="J121" i="5"/>
  <c r="A121" i="7"/>
  <c r="B119" i="15"/>
  <c r="A119" i="15"/>
  <c r="I119" i="7"/>
  <c r="I105" i="8" l="1"/>
  <c r="H105" i="8"/>
  <c r="I105" i="3"/>
  <c r="E105" i="8"/>
  <c r="B122" i="7"/>
  <c r="J122" i="5"/>
  <c r="J105" i="3"/>
  <c r="B106" i="8"/>
  <c r="A106" i="8"/>
  <c r="A124" i="5"/>
  <c r="B124" i="5"/>
  <c r="A106" i="3"/>
  <c r="B106" i="3"/>
  <c r="A122" i="7"/>
  <c r="B120" i="15"/>
  <c r="A120" i="15"/>
  <c r="I120" i="7"/>
  <c r="E106" i="3" l="1"/>
  <c r="H106" i="8"/>
  <c r="J106" i="3"/>
  <c r="I106" i="3"/>
  <c r="B124" i="7"/>
  <c r="A123" i="5"/>
  <c r="J124" i="5"/>
  <c r="B123" i="5"/>
  <c r="A125" i="5"/>
  <c r="B125" i="5"/>
  <c r="E106" i="8"/>
  <c r="B107" i="8"/>
  <c r="A107" i="8"/>
  <c r="E107" i="8" s="1"/>
  <c r="I106" i="8"/>
  <c r="A107" i="3"/>
  <c r="E107" i="3" s="1"/>
  <c r="B107" i="3"/>
  <c r="A124" i="7"/>
  <c r="B121" i="15"/>
  <c r="A121" i="15"/>
  <c r="I121" i="7"/>
  <c r="H107" i="8" l="1"/>
  <c r="I107" i="8"/>
  <c r="A123" i="7"/>
  <c r="B123" i="7"/>
  <c r="B125" i="7"/>
  <c r="J123" i="5"/>
  <c r="A108" i="3"/>
  <c r="B108" i="3"/>
  <c r="J107" i="3"/>
  <c r="A126" i="5"/>
  <c r="B126" i="5"/>
  <c r="J125" i="5"/>
  <c r="I107" i="3"/>
  <c r="B108" i="8"/>
  <c r="A108" i="8"/>
  <c r="I108" i="8" s="1"/>
  <c r="A125" i="7"/>
  <c r="B123" i="15"/>
  <c r="A123" i="15"/>
  <c r="A122" i="15" s="1"/>
  <c r="I122" i="7"/>
  <c r="E108" i="3" l="1"/>
  <c r="I108" i="3"/>
  <c r="E108" i="8"/>
  <c r="B126" i="7"/>
  <c r="J126" i="5"/>
  <c r="A127" i="5"/>
  <c r="B127" i="5"/>
  <c r="B109" i="8"/>
  <c r="A109" i="8"/>
  <c r="H108" i="8"/>
  <c r="J108" i="3"/>
  <c r="A109" i="3"/>
  <c r="B109" i="3"/>
  <c r="A126" i="7"/>
  <c r="A124" i="15"/>
  <c r="B122" i="15"/>
  <c r="B124" i="15"/>
  <c r="E109" i="8" l="1"/>
  <c r="E109" i="3"/>
  <c r="I109" i="3"/>
  <c r="B127" i="7"/>
  <c r="B110" i="8"/>
  <c r="A110" i="8"/>
  <c r="A128" i="5"/>
  <c r="B128" i="5"/>
  <c r="J127" i="5"/>
  <c r="J109" i="3"/>
  <c r="I109" i="8"/>
  <c r="A110" i="3"/>
  <c r="B110" i="3"/>
  <c r="H109" i="8"/>
  <c r="A127" i="7"/>
  <c r="B125" i="15"/>
  <c r="A125" i="15"/>
  <c r="I125" i="7"/>
  <c r="I123" i="7"/>
  <c r="I124" i="7"/>
  <c r="I110" i="8" l="1"/>
  <c r="H110" i="8"/>
  <c r="E110" i="3"/>
  <c r="E110" i="8"/>
  <c r="B128" i="7"/>
  <c r="I110" i="3"/>
  <c r="A111" i="3"/>
  <c r="B111" i="3"/>
  <c r="A129" i="5"/>
  <c r="B129" i="5"/>
  <c r="J110" i="3"/>
  <c r="J128" i="5"/>
  <c r="B111" i="8"/>
  <c r="A111" i="8"/>
  <c r="A128" i="7"/>
  <c r="B126" i="15"/>
  <c r="A126" i="15"/>
  <c r="I126" i="7"/>
  <c r="E111" i="8" l="1"/>
  <c r="E111" i="3"/>
  <c r="J111" i="3"/>
  <c r="I111" i="8"/>
  <c r="I111" i="3"/>
  <c r="B129" i="7"/>
  <c r="J129" i="5"/>
  <c r="B131" i="5"/>
  <c r="B130" i="5"/>
  <c r="A131" i="5"/>
  <c r="A130" i="5"/>
  <c r="B112" i="8"/>
  <c r="A112" i="8"/>
  <c r="A112" i="3"/>
  <c r="B112" i="3"/>
  <c r="H111" i="8"/>
  <c r="A129" i="7"/>
  <c r="B127" i="15"/>
  <c r="A127" i="15"/>
  <c r="I127" i="7"/>
  <c r="E112" i="8" l="1"/>
  <c r="E112" i="3"/>
  <c r="I112" i="3"/>
  <c r="H112" i="8"/>
  <c r="A130" i="7"/>
  <c r="B130" i="7"/>
  <c r="B131" i="7"/>
  <c r="J112" i="3"/>
  <c r="B113" i="8"/>
  <c r="A113" i="8"/>
  <c r="I112" i="8"/>
  <c r="J130" i="5"/>
  <c r="A113" i="3"/>
  <c r="B113" i="3"/>
  <c r="J131" i="5"/>
  <c r="A132" i="5"/>
  <c r="B132" i="5"/>
  <c r="A131" i="7"/>
  <c r="B128" i="15"/>
  <c r="A128" i="15"/>
  <c r="A129" i="15" s="1"/>
  <c r="I128" i="7"/>
  <c r="I113" i="8" l="1"/>
  <c r="I113" i="3"/>
  <c r="E113" i="3"/>
  <c r="H113" i="8"/>
  <c r="E113" i="8"/>
  <c r="B132" i="7"/>
  <c r="J113" i="3"/>
  <c r="B133" i="5"/>
  <c r="A133" i="5"/>
  <c r="B114" i="8"/>
  <c r="A114" i="8"/>
  <c r="J132" i="5"/>
  <c r="A114" i="3"/>
  <c r="B114" i="3"/>
  <c r="A132" i="7"/>
  <c r="A130" i="15"/>
  <c r="B130" i="15"/>
  <c r="B129" i="15"/>
  <c r="E114" i="8" l="1"/>
  <c r="J114" i="3"/>
  <c r="I114" i="3"/>
  <c r="H114" i="8"/>
  <c r="B133" i="7"/>
  <c r="I114" i="8"/>
  <c r="A115" i="3"/>
  <c r="B115" i="3"/>
  <c r="E114" i="3"/>
  <c r="B115" i="8"/>
  <c r="A115" i="8"/>
  <c r="J133" i="5"/>
  <c r="A134" i="5"/>
  <c r="B134" i="5"/>
  <c r="A133" i="7"/>
  <c r="B131" i="15"/>
  <c r="A131" i="15"/>
  <c r="I131" i="7"/>
  <c r="I130" i="7"/>
  <c r="I129" i="7"/>
  <c r="I115" i="3" l="1"/>
  <c r="E115" i="3"/>
  <c r="E115" i="8"/>
  <c r="B134" i="7"/>
  <c r="J115" i="3"/>
  <c r="I115" i="8"/>
  <c r="B116" i="8"/>
  <c r="A116" i="8"/>
  <c r="H115" i="8"/>
  <c r="A135" i="5"/>
  <c r="B135" i="5"/>
  <c r="A116" i="3"/>
  <c r="B116" i="3"/>
  <c r="J134" i="5"/>
  <c r="A134" i="7"/>
  <c r="B132" i="15"/>
  <c r="A132" i="15"/>
  <c r="I132" i="7"/>
  <c r="H116" i="8" l="1"/>
  <c r="I116" i="8"/>
  <c r="E116" i="3"/>
  <c r="E116" i="8"/>
  <c r="I116" i="3"/>
  <c r="B135" i="7"/>
  <c r="J116" i="3"/>
  <c r="B136" i="5"/>
  <c r="A136" i="5"/>
  <c r="J135" i="5"/>
  <c r="B117" i="8"/>
  <c r="A117" i="8"/>
  <c r="A117" i="3"/>
  <c r="B117" i="3"/>
  <c r="A135" i="7"/>
  <c r="B133" i="15"/>
  <c r="A133" i="15"/>
  <c r="I133" i="7"/>
  <c r="H117" i="8" l="1"/>
  <c r="I117" i="3"/>
  <c r="J117" i="3"/>
  <c r="E117" i="8"/>
  <c r="I117" i="8"/>
  <c r="B136" i="7"/>
  <c r="E117" i="3"/>
  <c r="B118" i="8"/>
  <c r="A118" i="8"/>
  <c r="A118" i="3"/>
  <c r="E118" i="3" s="1"/>
  <c r="B118" i="3"/>
  <c r="J136" i="5"/>
  <c r="A138" i="5"/>
  <c r="B138" i="5"/>
  <c r="A136" i="7"/>
  <c r="B134" i="15"/>
  <c r="A134" i="15"/>
  <c r="I134" i="7"/>
  <c r="I118" i="8" l="1"/>
  <c r="H118" i="8"/>
  <c r="E118" i="8"/>
  <c r="B138" i="7"/>
  <c r="A137" i="5"/>
  <c r="J118" i="3"/>
  <c r="J138" i="5"/>
  <c r="A139" i="5"/>
  <c r="B139" i="5"/>
  <c r="B137" i="5"/>
  <c r="B119" i="8"/>
  <c r="A119" i="8"/>
  <c r="A119" i="3"/>
  <c r="B119" i="3"/>
  <c r="I118" i="3"/>
  <c r="A138" i="7"/>
  <c r="B135" i="15"/>
  <c r="A135" i="15"/>
  <c r="I135" i="7"/>
  <c r="I119" i="8" l="1"/>
  <c r="E119" i="3"/>
  <c r="E119" i="8"/>
  <c r="J119" i="3"/>
  <c r="H119" i="8"/>
  <c r="I119" i="3"/>
  <c r="A137" i="7"/>
  <c r="B139" i="7"/>
  <c r="B137" i="7"/>
  <c r="J137" i="5"/>
  <c r="B120" i="8"/>
  <c r="A120" i="8"/>
  <c r="A140" i="5"/>
  <c r="B140" i="5"/>
  <c r="J139" i="5"/>
  <c r="A120" i="3"/>
  <c r="I120" i="3" s="1"/>
  <c r="B120" i="3"/>
  <c r="A139" i="7"/>
  <c r="B137" i="15"/>
  <c r="A137" i="15"/>
  <c r="A136" i="15" s="1"/>
  <c r="I136" i="7"/>
  <c r="H120" i="8" l="1"/>
  <c r="E120" i="8"/>
  <c r="I120" i="8"/>
  <c r="B140" i="7"/>
  <c r="J120" i="3"/>
  <c r="E120" i="3"/>
  <c r="A141" i="5"/>
  <c r="B141" i="5"/>
  <c r="J140" i="5"/>
  <c r="A121" i="3"/>
  <c r="B121" i="3"/>
  <c r="B121" i="8"/>
  <c r="A121" i="8"/>
  <c r="A140" i="7"/>
  <c r="A138" i="15"/>
  <c r="B136" i="15"/>
  <c r="B138" i="15"/>
  <c r="J121" i="3" l="1"/>
  <c r="I121" i="8"/>
  <c r="I121" i="3"/>
  <c r="B141" i="7"/>
  <c r="E121" i="3"/>
  <c r="E121" i="8"/>
  <c r="A142" i="5"/>
  <c r="B142" i="5"/>
  <c r="B122" i="8"/>
  <c r="A122" i="8"/>
  <c r="J141" i="5"/>
  <c r="A122" i="3"/>
  <c r="E122" i="3" s="1"/>
  <c r="B122" i="3"/>
  <c r="H121" i="8"/>
  <c r="A141" i="7"/>
  <c r="B139" i="15"/>
  <c r="A139" i="15"/>
  <c r="I139" i="7"/>
  <c r="I138" i="7"/>
  <c r="I122" i="8" l="1"/>
  <c r="E122" i="8"/>
  <c r="B142" i="7"/>
  <c r="I122" i="3"/>
  <c r="J122" i="3"/>
  <c r="H122" i="8"/>
  <c r="B123" i="8"/>
  <c r="A123" i="8"/>
  <c r="A123" i="3"/>
  <c r="B123" i="3"/>
  <c r="A143" i="5"/>
  <c r="B143" i="5"/>
  <c r="J142" i="5"/>
  <c r="A142" i="7"/>
  <c r="B140" i="15"/>
  <c r="A140" i="15"/>
  <c r="I140" i="7"/>
  <c r="I137" i="7"/>
  <c r="E123" i="3" l="1"/>
  <c r="E123" i="8"/>
  <c r="B143" i="7"/>
  <c r="A144" i="5"/>
  <c r="J143" i="5"/>
  <c r="I123" i="8"/>
  <c r="A124" i="3"/>
  <c r="B124" i="3"/>
  <c r="B124" i="8"/>
  <c r="A124" i="8"/>
  <c r="H123" i="8"/>
  <c r="J123" i="3"/>
  <c r="I123" i="3"/>
  <c r="B144" i="5"/>
  <c r="A145" i="5"/>
  <c r="B145" i="5"/>
  <c r="A143" i="7"/>
  <c r="B141" i="15"/>
  <c r="A141" i="15"/>
  <c r="I141" i="7"/>
  <c r="I124" i="3" l="1"/>
  <c r="E124" i="8"/>
  <c r="A144" i="7"/>
  <c r="B144" i="7"/>
  <c r="B145" i="7"/>
  <c r="B125" i="8"/>
  <c r="A125" i="8"/>
  <c r="B146" i="5"/>
  <c r="A146" i="5"/>
  <c r="A125" i="3"/>
  <c r="B125" i="3"/>
  <c r="H124" i="8"/>
  <c r="J124" i="3"/>
  <c r="J145" i="5"/>
  <c r="E124" i="3"/>
  <c r="I124" i="8"/>
  <c r="J144" i="5"/>
  <c r="A145" i="7"/>
  <c r="B142" i="15"/>
  <c r="A142" i="15"/>
  <c r="A143" i="15" s="1"/>
  <c r="I142" i="7"/>
  <c r="E125" i="8" l="1"/>
  <c r="J125" i="3"/>
  <c r="H125" i="8"/>
  <c r="I125" i="8"/>
  <c r="B146" i="7"/>
  <c r="E125" i="3"/>
  <c r="I125" i="3"/>
  <c r="A126" i="3"/>
  <c r="B126" i="3"/>
  <c r="J146" i="5"/>
  <c r="B147" i="5"/>
  <c r="A147" i="5"/>
  <c r="B126" i="8"/>
  <c r="A126" i="8"/>
  <c r="E126" i="8" s="1"/>
  <c r="A146" i="7"/>
  <c r="A144" i="15"/>
  <c r="B143" i="15"/>
  <c r="B144" i="15"/>
  <c r="J126" i="3" l="1"/>
  <c r="H126" i="8"/>
  <c r="I126" i="3"/>
  <c r="B147" i="7"/>
  <c r="A148" i="5"/>
  <c r="B148" i="5"/>
  <c r="E126" i="3"/>
  <c r="I126" i="8"/>
  <c r="A127" i="3"/>
  <c r="B127" i="3"/>
  <c r="B127" i="8"/>
  <c r="A127" i="8"/>
  <c r="I127" i="8" s="1"/>
  <c r="J147" i="5"/>
  <c r="A147" i="7"/>
  <c r="B145" i="15"/>
  <c r="A145" i="15"/>
  <c r="I145" i="7"/>
  <c r="I144" i="7"/>
  <c r="I143" i="7"/>
  <c r="E127" i="3" l="1"/>
  <c r="H127" i="8"/>
  <c r="E127" i="8"/>
  <c r="B148" i="7"/>
  <c r="I127" i="3"/>
  <c r="B128" i="8"/>
  <c r="A128" i="8"/>
  <c r="A128" i="3"/>
  <c r="B128" i="3"/>
  <c r="J127" i="3"/>
  <c r="A149" i="5"/>
  <c r="B149" i="5"/>
  <c r="J148" i="5"/>
  <c r="A148" i="7"/>
  <c r="B146" i="15"/>
  <c r="A146" i="15"/>
  <c r="I146" i="7"/>
  <c r="H128" i="8" l="1"/>
  <c r="I128" i="8"/>
  <c r="E128" i="3"/>
  <c r="E128" i="8"/>
  <c r="B149" i="7"/>
  <c r="A150" i="5"/>
  <c r="B150" i="5"/>
  <c r="J149" i="5"/>
  <c r="A129" i="3"/>
  <c r="B129" i="3"/>
  <c r="I128" i="3"/>
  <c r="B129" i="8"/>
  <c r="A129" i="8"/>
  <c r="J128" i="3"/>
  <c r="A149" i="7"/>
  <c r="B147" i="15"/>
  <c r="A147" i="15"/>
  <c r="I147" i="7"/>
  <c r="E129" i="3" l="1"/>
  <c r="I129" i="3"/>
  <c r="H129" i="8"/>
  <c r="B150" i="7"/>
  <c r="E129" i="8"/>
  <c r="I129" i="8"/>
  <c r="A130" i="3"/>
  <c r="B130" i="3"/>
  <c r="B130" i="8"/>
  <c r="A130" i="8"/>
  <c r="A152" i="5"/>
  <c r="B152" i="5"/>
  <c r="J129" i="3"/>
  <c r="J150" i="5"/>
  <c r="A150" i="7"/>
  <c r="B148" i="15"/>
  <c r="A148" i="15"/>
  <c r="I148" i="7"/>
  <c r="H130" i="8" l="1"/>
  <c r="E130" i="3"/>
  <c r="I130" i="3"/>
  <c r="E130" i="8"/>
  <c r="B152" i="7"/>
  <c r="A151" i="5"/>
  <c r="I130" i="8"/>
  <c r="B151" i="5"/>
  <c r="B153" i="5"/>
  <c r="A153" i="5"/>
  <c r="A131" i="3"/>
  <c r="E131" i="3" s="1"/>
  <c r="B131" i="3"/>
  <c r="J130" i="3"/>
  <c r="J152" i="5"/>
  <c r="B131" i="8"/>
  <c r="A131" i="8"/>
  <c r="A152" i="7"/>
  <c r="B149" i="15"/>
  <c r="A149" i="15"/>
  <c r="I149" i="7"/>
  <c r="H131" i="8" l="1"/>
  <c r="I131" i="8"/>
  <c r="E131" i="8"/>
  <c r="A151" i="7"/>
  <c r="B151" i="7"/>
  <c r="B153" i="7"/>
  <c r="J151" i="5"/>
  <c r="I131" i="3"/>
  <c r="J153" i="5"/>
  <c r="J131" i="3"/>
  <c r="B154" i="5"/>
  <c r="A154" i="5"/>
  <c r="B132" i="8"/>
  <c r="A132" i="8"/>
  <c r="A132" i="3"/>
  <c r="B132" i="3"/>
  <c r="A153" i="7"/>
  <c r="B151" i="15"/>
  <c r="A151" i="15"/>
  <c r="A150" i="15" s="1"/>
  <c r="I150" i="7"/>
  <c r="E132" i="3" l="1"/>
  <c r="E132" i="8"/>
  <c r="I132" i="8"/>
  <c r="H132" i="8"/>
  <c r="B154" i="7"/>
  <c r="J154" i="5"/>
  <c r="A155" i="5"/>
  <c r="B155" i="5"/>
  <c r="I132" i="3"/>
  <c r="A133" i="3"/>
  <c r="B133" i="3"/>
  <c r="J132" i="3"/>
  <c r="B133" i="8"/>
  <c r="A133" i="8"/>
  <c r="E133" i="8" s="1"/>
  <c r="A154" i="7"/>
  <c r="A152" i="15"/>
  <c r="B152" i="15"/>
  <c r="B150" i="15"/>
  <c r="H133" i="8" l="1"/>
  <c r="E133" i="3"/>
  <c r="I133" i="8"/>
  <c r="B155" i="7"/>
  <c r="I133" i="3"/>
  <c r="A156" i="5"/>
  <c r="B156" i="5"/>
  <c r="J155" i="5"/>
  <c r="B134" i="8"/>
  <c r="A134" i="8"/>
  <c r="J133" i="3"/>
  <c r="A134" i="3"/>
  <c r="B134" i="3"/>
  <c r="A155" i="7"/>
  <c r="B153" i="15"/>
  <c r="A153" i="15"/>
  <c r="I153" i="7"/>
  <c r="I151" i="7"/>
  <c r="I152" i="7"/>
  <c r="H134" i="8" l="1"/>
  <c r="E134" i="3"/>
  <c r="E134" i="8"/>
  <c r="B156" i="7"/>
  <c r="B135" i="8"/>
  <c r="A135" i="8"/>
  <c r="I134" i="8"/>
  <c r="I134" i="3"/>
  <c r="A135" i="3"/>
  <c r="B135" i="3"/>
  <c r="B157" i="5"/>
  <c r="A157" i="5"/>
  <c r="J134" i="3"/>
  <c r="J156" i="5"/>
  <c r="A156" i="7"/>
  <c r="B154" i="15"/>
  <c r="A154" i="15"/>
  <c r="I154" i="7"/>
  <c r="H135" i="8" l="1"/>
  <c r="E135" i="8"/>
  <c r="E135" i="3"/>
  <c r="I135" i="3"/>
  <c r="I135" i="8"/>
  <c r="B157" i="7"/>
  <c r="A158" i="5"/>
  <c r="J157" i="5"/>
  <c r="J135" i="3"/>
  <c r="A159" i="5"/>
  <c r="B158" i="5"/>
  <c r="B159" i="5"/>
  <c r="A136" i="3"/>
  <c r="B136" i="3"/>
  <c r="B136" i="8"/>
  <c r="A136" i="8"/>
  <c r="A157" i="7"/>
  <c r="B155" i="15"/>
  <c r="A155" i="15"/>
  <c r="I155" i="7"/>
  <c r="H136" i="8" l="1"/>
  <c r="E136" i="8"/>
  <c r="E136" i="3"/>
  <c r="J136" i="3"/>
  <c r="I136" i="3"/>
  <c r="A158" i="7"/>
  <c r="B158" i="7"/>
  <c r="B159" i="7"/>
  <c r="B160" i="5"/>
  <c r="A160" i="5"/>
  <c r="J158" i="5"/>
  <c r="I136" i="8"/>
  <c r="B137" i="8"/>
  <c r="A137" i="8"/>
  <c r="J159" i="5"/>
  <c r="A137" i="3"/>
  <c r="B137" i="3"/>
  <c r="A159" i="7"/>
  <c r="B156" i="15"/>
  <c r="A156" i="15"/>
  <c r="A157" i="15" s="1"/>
  <c r="I156" i="7"/>
  <c r="E137" i="8" l="1"/>
  <c r="I137" i="3"/>
  <c r="H137" i="8"/>
  <c r="B160" i="7"/>
  <c r="A138" i="3"/>
  <c r="B138" i="3"/>
  <c r="E137" i="3"/>
  <c r="J137" i="3"/>
  <c r="I137" i="8"/>
  <c r="J160" i="5"/>
  <c r="B138" i="8"/>
  <c r="A138" i="8"/>
  <c r="A161" i="5"/>
  <c r="B161" i="5"/>
  <c r="A160" i="7"/>
  <c r="A158" i="15"/>
  <c r="B158" i="15"/>
  <c r="B157" i="15"/>
  <c r="I138" i="8" l="1"/>
  <c r="E138" i="3"/>
  <c r="J138" i="3"/>
  <c r="I138" i="3"/>
  <c r="B161" i="7"/>
  <c r="B139" i="8"/>
  <c r="A139" i="8"/>
  <c r="E138" i="8"/>
  <c r="H138" i="8"/>
  <c r="A162" i="5"/>
  <c r="B162" i="5"/>
  <c r="J161" i="5"/>
  <c r="A139" i="3"/>
  <c r="B139" i="3"/>
  <c r="A161" i="7"/>
  <c r="B159" i="15"/>
  <c r="A159" i="15"/>
  <c r="I159" i="7"/>
  <c r="I158" i="7"/>
  <c r="I157" i="7"/>
  <c r="I139" i="8" l="1"/>
  <c r="I139" i="3"/>
  <c r="H139" i="8"/>
  <c r="E139" i="3"/>
  <c r="E139" i="8"/>
  <c r="J139" i="3"/>
  <c r="B162" i="7"/>
  <c r="J162" i="5"/>
  <c r="A140" i="3"/>
  <c r="B140" i="3"/>
  <c r="A163" i="5"/>
  <c r="B163" i="5"/>
  <c r="B140" i="8"/>
  <c r="A140" i="8"/>
  <c r="A162" i="7"/>
  <c r="B160" i="15"/>
  <c r="A160" i="15"/>
  <c r="I160" i="7"/>
  <c r="H140" i="8" l="1"/>
  <c r="E140" i="3"/>
  <c r="I140" i="8"/>
  <c r="E140" i="8"/>
  <c r="B163" i="7"/>
  <c r="J163" i="5"/>
  <c r="J140" i="3"/>
  <c r="A164" i="5"/>
  <c r="B164" i="5"/>
  <c r="A141" i="3"/>
  <c r="B141" i="3"/>
  <c r="I140" i="3"/>
  <c r="B141" i="8"/>
  <c r="A141" i="8"/>
  <c r="A163" i="7"/>
  <c r="B161" i="15"/>
  <c r="A161" i="15"/>
  <c r="I161" i="7"/>
  <c r="E141" i="3" l="1"/>
  <c r="H141" i="8"/>
  <c r="E141" i="8"/>
  <c r="J141" i="3"/>
  <c r="B164" i="7"/>
  <c r="I141" i="8"/>
  <c r="J164" i="5"/>
  <c r="I141" i="3"/>
  <c r="B142" i="8"/>
  <c r="A142" i="8"/>
  <c r="A166" i="5"/>
  <c r="B166" i="5"/>
  <c r="A142" i="3"/>
  <c r="B142" i="3"/>
  <c r="A164" i="7"/>
  <c r="B162" i="15"/>
  <c r="A162" i="15"/>
  <c r="I162" i="7"/>
  <c r="E142" i="8" l="1"/>
  <c r="E142" i="3"/>
  <c r="B166" i="7"/>
  <c r="A165" i="5"/>
  <c r="I142" i="8"/>
  <c r="B143" i="8"/>
  <c r="A143" i="8"/>
  <c r="I142" i="3"/>
  <c r="A143" i="3"/>
  <c r="B143" i="3"/>
  <c r="H142" i="8"/>
  <c r="J142" i="3"/>
  <c r="J166" i="5"/>
  <c r="B167" i="5"/>
  <c r="B165" i="5"/>
  <c r="A167" i="5"/>
  <c r="A166" i="7"/>
  <c r="B163" i="15"/>
  <c r="A163" i="15"/>
  <c r="I163" i="7"/>
  <c r="H143" i="8" l="1"/>
  <c r="I143" i="3"/>
  <c r="A165" i="7"/>
  <c r="B167" i="7"/>
  <c r="B165" i="7"/>
  <c r="J165" i="5"/>
  <c r="B168" i="5"/>
  <c r="A168" i="5"/>
  <c r="B144" i="8"/>
  <c r="A144" i="8"/>
  <c r="E143" i="8"/>
  <c r="J143" i="3"/>
  <c r="I143" i="8"/>
  <c r="E143" i="3"/>
  <c r="A144" i="3"/>
  <c r="B144" i="3"/>
  <c r="J167" i="5"/>
  <c r="A167" i="7"/>
  <c r="B165" i="15"/>
  <c r="A165" i="15"/>
  <c r="A164" i="15" s="1"/>
  <c r="I164" i="7"/>
  <c r="E144" i="3" l="1"/>
  <c r="I144" i="3"/>
  <c r="E144" i="8"/>
  <c r="B168" i="7"/>
  <c r="J144" i="3"/>
  <c r="I144" i="8"/>
  <c r="B145" i="8"/>
  <c r="A145" i="8"/>
  <c r="H144" i="8"/>
  <c r="A145" i="3"/>
  <c r="B145" i="3"/>
  <c r="J168" i="5"/>
  <c r="A169" i="5"/>
  <c r="B169" i="5"/>
  <c r="A168" i="7"/>
  <c r="A166" i="15"/>
  <c r="B166" i="15"/>
  <c r="B164" i="15"/>
  <c r="H145" i="8" l="1"/>
  <c r="E145" i="8"/>
  <c r="E145" i="3"/>
  <c r="I145" i="8"/>
  <c r="B169" i="7"/>
  <c r="I145" i="3"/>
  <c r="A146" i="3"/>
  <c r="B146" i="3"/>
  <c r="A170" i="5"/>
  <c r="B170" i="5"/>
  <c r="B146" i="8"/>
  <c r="A146" i="8"/>
  <c r="J145" i="3"/>
  <c r="J169" i="5"/>
  <c r="A169" i="7"/>
  <c r="B167" i="15"/>
  <c r="A167" i="15"/>
  <c r="I167" i="7"/>
  <c r="I165" i="7"/>
  <c r="I166" i="7"/>
  <c r="H146" i="8" l="1"/>
  <c r="E146" i="3"/>
  <c r="I146" i="8"/>
  <c r="I146" i="3"/>
  <c r="E146" i="8"/>
  <c r="B170" i="7"/>
  <c r="B147" i="8"/>
  <c r="A147" i="8"/>
  <c r="J170" i="5"/>
  <c r="A147" i="3"/>
  <c r="B147" i="3"/>
  <c r="B171" i="5"/>
  <c r="A171" i="5"/>
  <c r="J146" i="3"/>
  <c r="A170" i="7"/>
  <c r="B168" i="15"/>
  <c r="A168" i="15"/>
  <c r="I168" i="7"/>
  <c r="H147" i="8" l="1"/>
  <c r="J147" i="3"/>
  <c r="I147" i="8"/>
  <c r="E147" i="8"/>
  <c r="B171" i="7"/>
  <c r="J171" i="5"/>
  <c r="E147" i="3"/>
  <c r="A148" i="3"/>
  <c r="B148" i="3"/>
  <c r="A173" i="5"/>
  <c r="B173" i="5"/>
  <c r="B172" i="5"/>
  <c r="I147" i="3"/>
  <c r="A172" i="5"/>
  <c r="B148" i="8"/>
  <c r="A148" i="8"/>
  <c r="A171" i="7"/>
  <c r="B169" i="15"/>
  <c r="A169" i="15"/>
  <c r="I169" i="7"/>
  <c r="I148" i="3" l="1"/>
  <c r="E148" i="8"/>
  <c r="E148" i="3"/>
  <c r="I148" i="8"/>
  <c r="A172" i="7"/>
  <c r="B172" i="7"/>
  <c r="B173" i="7"/>
  <c r="B149" i="8"/>
  <c r="A149" i="8"/>
  <c r="J148" i="3"/>
  <c r="A149" i="3"/>
  <c r="J149" i="3" s="1"/>
  <c r="B149" i="3"/>
  <c r="A174" i="5"/>
  <c r="B174" i="5"/>
  <c r="J173" i="5"/>
  <c r="H148" i="8"/>
  <c r="J172" i="5"/>
  <c r="A173" i="7"/>
  <c r="B170" i="15"/>
  <c r="A170" i="15"/>
  <c r="A171" i="15" s="1"/>
  <c r="I170" i="7"/>
  <c r="H149" i="8" l="1"/>
  <c r="E149" i="8"/>
  <c r="I149" i="8"/>
  <c r="I149" i="3"/>
  <c r="B174" i="7"/>
  <c r="B175" i="5"/>
  <c r="A175" i="5"/>
  <c r="J174" i="5"/>
  <c r="E149" i="3"/>
  <c r="A150" i="3"/>
  <c r="B150" i="3"/>
  <c r="B150" i="8"/>
  <c r="A150" i="8"/>
  <c r="A174" i="7"/>
  <c r="A172" i="15"/>
  <c r="B172" i="15"/>
  <c r="B171" i="15"/>
  <c r="E150" i="3" l="1"/>
  <c r="E150" i="8"/>
  <c r="I150" i="3"/>
  <c r="B175" i="7"/>
  <c r="H150" i="8"/>
  <c r="J150" i="3"/>
  <c r="I150" i="8"/>
  <c r="A151" i="3"/>
  <c r="B151" i="3"/>
  <c r="J175" i="5"/>
  <c r="B151" i="8"/>
  <c r="A151" i="8"/>
  <c r="B176" i="5"/>
  <c r="A176" i="5"/>
  <c r="A175" i="7"/>
  <c r="B173" i="15"/>
  <c r="A173" i="15"/>
  <c r="I173" i="7"/>
  <c r="I172" i="7"/>
  <c r="I171" i="7"/>
  <c r="E151" i="8" l="1"/>
  <c r="E151" i="3"/>
  <c r="I151" i="3"/>
  <c r="B176" i="7"/>
  <c r="B152" i="8"/>
  <c r="A152" i="8"/>
  <c r="I152" i="8" s="1"/>
  <c r="I151" i="8"/>
  <c r="J176" i="5"/>
  <c r="A152" i="3"/>
  <c r="B152" i="3"/>
  <c r="J151" i="3"/>
  <c r="A177" i="5"/>
  <c r="B177" i="5"/>
  <c r="H151" i="8"/>
  <c r="A176" i="7"/>
  <c r="B174" i="15"/>
  <c r="A174" i="15"/>
  <c r="I174" i="7"/>
  <c r="J152" i="3" l="1"/>
  <c r="E152" i="3"/>
  <c r="H152" i="8"/>
  <c r="B177" i="7"/>
  <c r="A153" i="3"/>
  <c r="B153" i="3"/>
  <c r="E152" i="8"/>
  <c r="I152" i="3"/>
  <c r="A178" i="5"/>
  <c r="B178" i="5"/>
  <c r="J177" i="5"/>
  <c r="B153" i="8"/>
  <c r="A153" i="8"/>
  <c r="I153" i="8" s="1"/>
  <c r="A177" i="7"/>
  <c r="B175" i="15"/>
  <c r="A175" i="15"/>
  <c r="I175" i="7"/>
  <c r="H153" i="8" l="1"/>
  <c r="J153" i="3"/>
  <c r="E153" i="3"/>
  <c r="E153" i="8"/>
  <c r="I153" i="3"/>
  <c r="B178" i="7"/>
  <c r="J178" i="5"/>
  <c r="B180" i="5"/>
  <c r="A180" i="5"/>
  <c r="B154" i="8"/>
  <c r="H154" i="8" s="1"/>
  <c r="A154" i="8"/>
  <c r="A154" i="3"/>
  <c r="B154" i="3"/>
  <c r="A178" i="7"/>
  <c r="B176" i="15"/>
  <c r="A176" i="15"/>
  <c r="I176" i="7"/>
  <c r="I154" i="3" l="1"/>
  <c r="I154" i="8"/>
  <c r="B180" i="7"/>
  <c r="A179" i="5"/>
  <c r="J180" i="5"/>
  <c r="J154" i="3"/>
  <c r="E154" i="8"/>
  <c r="E154" i="3"/>
  <c r="A181" i="5"/>
  <c r="B181" i="5"/>
  <c r="B179" i="5"/>
  <c r="B155" i="8"/>
  <c r="A155" i="8"/>
  <c r="I155" i="8" s="1"/>
  <c r="A155" i="3"/>
  <c r="B155" i="3"/>
  <c r="A180" i="7"/>
  <c r="B177" i="15"/>
  <c r="A177" i="15"/>
  <c r="I177" i="7"/>
  <c r="E155" i="3" l="1"/>
  <c r="H155" i="8"/>
  <c r="E155" i="8"/>
  <c r="A179" i="7"/>
  <c r="B179" i="7"/>
  <c r="B181" i="7"/>
  <c r="J179" i="5"/>
  <c r="B182" i="5"/>
  <c r="A182" i="5"/>
  <c r="I155" i="3"/>
  <c r="J155" i="3"/>
  <c r="B156" i="8"/>
  <c r="A156" i="8"/>
  <c r="J181" i="5"/>
  <c r="A156" i="3"/>
  <c r="B156" i="3"/>
  <c r="A181" i="7"/>
  <c r="B179" i="15"/>
  <c r="A179" i="15"/>
  <c r="A178" i="15" s="1"/>
  <c r="I178" i="7"/>
  <c r="E156" i="3" l="1"/>
  <c r="H156" i="8"/>
  <c r="I156" i="3"/>
  <c r="B182" i="7"/>
  <c r="I156" i="8"/>
  <c r="B157" i="8"/>
  <c r="A157" i="8"/>
  <c r="E156" i="8"/>
  <c r="A157" i="3"/>
  <c r="B157" i="3"/>
  <c r="J156" i="3"/>
  <c r="J182" i="5"/>
  <c r="B183" i="5"/>
  <c r="A183" i="5"/>
  <c r="A182" i="7"/>
  <c r="A180" i="15"/>
  <c r="B180" i="15"/>
  <c r="B178" i="15"/>
  <c r="H157" i="8" l="1"/>
  <c r="E157" i="3"/>
  <c r="I157" i="8"/>
  <c r="B183" i="7"/>
  <c r="E157" i="8"/>
  <c r="A158" i="3"/>
  <c r="B158" i="3"/>
  <c r="I157" i="3"/>
  <c r="J183" i="5"/>
  <c r="J157" i="3"/>
  <c r="B158" i="8"/>
  <c r="A158" i="8"/>
  <c r="A184" i="5"/>
  <c r="B184" i="5"/>
  <c r="A183" i="7"/>
  <c r="B181" i="15"/>
  <c r="A181" i="15"/>
  <c r="I181" i="7"/>
  <c r="I179" i="7"/>
  <c r="I180" i="7"/>
  <c r="H158" i="8" l="1"/>
  <c r="I158" i="3"/>
  <c r="J158" i="3"/>
  <c r="E158" i="3"/>
  <c r="B184" i="7"/>
  <c r="E158" i="8"/>
  <c r="I158" i="8"/>
  <c r="B185" i="5"/>
  <c r="A185" i="5"/>
  <c r="J184" i="5"/>
  <c r="A159" i="3"/>
  <c r="B159" i="3"/>
  <c r="B159" i="8"/>
  <c r="A159" i="8"/>
  <c r="E159" i="8" s="1"/>
  <c r="A184" i="7"/>
  <c r="B182" i="15"/>
  <c r="A182" i="15"/>
  <c r="I182" i="7"/>
  <c r="H159" i="8" l="1"/>
  <c r="J159" i="3"/>
  <c r="E159" i="3"/>
  <c r="I159" i="8"/>
  <c r="B185" i="7"/>
  <c r="A186" i="5"/>
  <c r="J185" i="5"/>
  <c r="B186" i="5"/>
  <c r="A187" i="5"/>
  <c r="B187" i="5"/>
  <c r="I159" i="3"/>
  <c r="B160" i="8"/>
  <c r="A160" i="8"/>
  <c r="A160" i="3"/>
  <c r="B160" i="3"/>
  <c r="A185" i="7"/>
  <c r="B183" i="15"/>
  <c r="A183" i="15"/>
  <c r="I183" i="7"/>
  <c r="E160" i="8" l="1"/>
  <c r="E160" i="3"/>
  <c r="H160" i="8"/>
  <c r="J160" i="3"/>
  <c r="I160" i="8"/>
  <c r="I160" i="3"/>
  <c r="A186" i="7"/>
  <c r="B186" i="7"/>
  <c r="B187" i="7"/>
  <c r="J186" i="5"/>
  <c r="B161" i="8"/>
  <c r="A161" i="8"/>
  <c r="A188" i="5"/>
  <c r="B188" i="5"/>
  <c r="J187" i="5"/>
  <c r="A161" i="3"/>
  <c r="B161" i="3"/>
  <c r="A187" i="7"/>
  <c r="B184" i="15"/>
  <c r="A184" i="15"/>
  <c r="A185" i="15" s="1"/>
  <c r="I184" i="7"/>
  <c r="I161" i="8" l="1"/>
  <c r="I161" i="3"/>
  <c r="H161" i="8"/>
  <c r="E161" i="8"/>
  <c r="B188" i="7"/>
  <c r="J188" i="5"/>
  <c r="J161" i="3"/>
  <c r="A189" i="5"/>
  <c r="B189" i="5"/>
  <c r="E161" i="3"/>
  <c r="A162" i="3"/>
  <c r="B162" i="3"/>
  <c r="B162" i="8"/>
  <c r="A162" i="8"/>
  <c r="A188" i="7"/>
  <c r="A186" i="15"/>
  <c r="B185" i="15"/>
  <c r="B186" i="15"/>
  <c r="E162" i="3" l="1"/>
  <c r="B189" i="7"/>
  <c r="B163" i="8"/>
  <c r="A163" i="8"/>
  <c r="J162" i="3"/>
  <c r="A163" i="3"/>
  <c r="B163" i="3"/>
  <c r="H162" i="8"/>
  <c r="E162" i="8"/>
  <c r="I162" i="3"/>
  <c r="I162" i="8"/>
  <c r="B190" i="5"/>
  <c r="A190" i="5"/>
  <c r="J189" i="5"/>
  <c r="A189" i="7"/>
  <c r="B187" i="15"/>
  <c r="A187" i="15"/>
  <c r="I187" i="7"/>
  <c r="I186" i="7"/>
  <c r="I185" i="7"/>
  <c r="H163" i="8" l="1"/>
  <c r="E163" i="8"/>
  <c r="I163" i="8"/>
  <c r="I163" i="3"/>
  <c r="B190" i="7"/>
  <c r="A164" i="3"/>
  <c r="B164" i="3"/>
  <c r="J163" i="3"/>
  <c r="J190" i="5"/>
  <c r="E163" i="3"/>
  <c r="B191" i="5"/>
  <c r="A191" i="5"/>
  <c r="B164" i="8"/>
  <c r="A164" i="8"/>
  <c r="A190" i="7"/>
  <c r="B188" i="15"/>
  <c r="A188" i="15"/>
  <c r="I188" i="7"/>
  <c r="E164" i="3" l="1"/>
  <c r="B191" i="7"/>
  <c r="J191" i="5"/>
  <c r="B165" i="8"/>
  <c r="A165" i="8"/>
  <c r="B192" i="5"/>
  <c r="A192" i="5"/>
  <c r="E164" i="8"/>
  <c r="I164" i="8"/>
  <c r="J164" i="3"/>
  <c r="A165" i="3"/>
  <c r="B165" i="3"/>
  <c r="H164" i="8"/>
  <c r="I164" i="3"/>
  <c r="A191" i="7"/>
  <c r="B189" i="15"/>
  <c r="A189" i="15"/>
  <c r="I189" i="7"/>
  <c r="I165" i="8" l="1"/>
  <c r="E165" i="3"/>
  <c r="I165" i="3"/>
  <c r="E165" i="8"/>
  <c r="B192" i="7"/>
  <c r="J192" i="5"/>
  <c r="J165" i="3"/>
  <c r="A166" i="3"/>
  <c r="B166" i="3"/>
  <c r="H165" i="8"/>
  <c r="B194" i="5"/>
  <c r="A194" i="5"/>
  <c r="B166" i="8"/>
  <c r="A166" i="8"/>
  <c r="A192" i="7"/>
  <c r="B190" i="15"/>
  <c r="A190" i="15"/>
  <c r="I190" i="7"/>
  <c r="H166" i="8" l="1"/>
  <c r="E166" i="3"/>
  <c r="E166" i="8"/>
  <c r="B194" i="7"/>
  <c r="A193" i="5"/>
  <c r="I166" i="3"/>
  <c r="B167" i="8"/>
  <c r="A167" i="8"/>
  <c r="J166" i="3"/>
  <c r="A195" i="5"/>
  <c r="B195" i="5"/>
  <c r="B193" i="5"/>
  <c r="J194" i="5"/>
  <c r="I166" i="8"/>
  <c r="A167" i="3"/>
  <c r="B167" i="3"/>
  <c r="A194" i="7"/>
  <c r="B191" i="15"/>
  <c r="A191" i="15"/>
  <c r="I191" i="7"/>
  <c r="E167" i="8" l="1"/>
  <c r="E167" i="3"/>
  <c r="A193" i="7"/>
  <c r="B195" i="7"/>
  <c r="B193" i="7"/>
  <c r="J193" i="5"/>
  <c r="J195" i="5"/>
  <c r="A168" i="3"/>
  <c r="B168" i="3"/>
  <c r="I167" i="3"/>
  <c r="A196" i="5"/>
  <c r="B196" i="5"/>
  <c r="J167" i="3"/>
  <c r="B168" i="8"/>
  <c r="A168" i="8"/>
  <c r="H167" i="8"/>
  <c r="I167" i="8"/>
  <c r="A195" i="7"/>
  <c r="B193" i="15"/>
  <c r="A193" i="15"/>
  <c r="A192" i="15" s="1"/>
  <c r="I192" i="7"/>
  <c r="E168" i="3" l="1"/>
  <c r="H168" i="8"/>
  <c r="B196" i="7"/>
  <c r="I168" i="8"/>
  <c r="E168" i="8"/>
  <c r="I168" i="3"/>
  <c r="B197" i="5"/>
  <c r="A197" i="5"/>
  <c r="J196" i="5"/>
  <c r="J168" i="3"/>
  <c r="A169" i="3"/>
  <c r="J169" i="3" s="1"/>
  <c r="B169" i="3"/>
  <c r="B169" i="8"/>
  <c r="A169" i="8"/>
  <c r="A196" i="7"/>
  <c r="A194" i="15"/>
  <c r="B194" i="15"/>
  <c r="B192" i="15"/>
  <c r="E169" i="8" l="1"/>
  <c r="I169" i="3"/>
  <c r="B197" i="7"/>
  <c r="E169" i="3"/>
  <c r="I169" i="8"/>
  <c r="J197" i="5"/>
  <c r="B170" i="8"/>
  <c r="A170" i="8"/>
  <c r="A198" i="5"/>
  <c r="B198" i="5"/>
  <c r="A170" i="3"/>
  <c r="B170" i="3"/>
  <c r="H169" i="8"/>
  <c r="A197" i="7"/>
  <c r="B195" i="15"/>
  <c r="A195" i="15"/>
  <c r="I195" i="7"/>
  <c r="I193" i="7"/>
  <c r="I194" i="7"/>
  <c r="E170" i="8" l="1"/>
  <c r="E170" i="3"/>
  <c r="H170" i="8"/>
  <c r="B198" i="7"/>
  <c r="J198" i="5"/>
  <c r="I170" i="3"/>
  <c r="J170" i="3"/>
  <c r="B199" i="5"/>
  <c r="A199" i="5"/>
  <c r="I170" i="8"/>
  <c r="B171" i="8"/>
  <c r="A171" i="8"/>
  <c r="I171" i="8" s="1"/>
  <c r="A171" i="3"/>
  <c r="B171" i="3"/>
  <c r="A198" i="7"/>
  <c r="B196" i="15"/>
  <c r="A196" i="15"/>
  <c r="I196" i="7"/>
  <c r="J171" i="3" l="1"/>
  <c r="H171" i="8"/>
  <c r="E171" i="8"/>
  <c r="B199" i="7"/>
  <c r="A200" i="5"/>
  <c r="J199" i="5"/>
  <c r="A172" i="3"/>
  <c r="B172" i="3"/>
  <c r="E171" i="3"/>
  <c r="B172" i="8"/>
  <c r="A172" i="8"/>
  <c r="I171" i="3"/>
  <c r="A201" i="5"/>
  <c r="B201" i="5"/>
  <c r="B200" i="5"/>
  <c r="A199" i="7"/>
  <c r="B197" i="15"/>
  <c r="A197" i="15"/>
  <c r="I197" i="7"/>
  <c r="H172" i="8" l="1"/>
  <c r="A200" i="7"/>
  <c r="B201" i="7"/>
  <c r="B200" i="7"/>
  <c r="J200" i="5"/>
  <c r="A173" i="3"/>
  <c r="B173" i="3"/>
  <c r="J201" i="5"/>
  <c r="J172" i="3"/>
  <c r="A202" i="5"/>
  <c r="B202" i="5"/>
  <c r="I172" i="3"/>
  <c r="B173" i="8"/>
  <c r="A173" i="8"/>
  <c r="A201" i="7"/>
  <c r="B198" i="15"/>
  <c r="A198" i="15"/>
  <c r="A199" i="15" s="1"/>
  <c r="I198" i="7"/>
  <c r="B202" i="7" l="1"/>
  <c r="J202" i="5"/>
  <c r="A174" i="3"/>
  <c r="J174" i="3" s="1"/>
  <c r="B174" i="3"/>
  <c r="H173" i="8"/>
  <c r="A203" i="5"/>
  <c r="B203" i="5"/>
  <c r="I173" i="3"/>
  <c r="B174" i="8"/>
  <c r="A174" i="8"/>
  <c r="J173" i="3"/>
  <c r="A202" i="7"/>
  <c r="A200" i="15"/>
  <c r="B200" i="15"/>
  <c r="B199" i="15"/>
  <c r="I174" i="3" l="1"/>
  <c r="B203" i="7"/>
  <c r="H174" i="8"/>
  <c r="J203" i="5"/>
  <c r="A204" i="5"/>
  <c r="B204" i="5"/>
  <c r="B175" i="8"/>
  <c r="A175" i="8"/>
  <c r="A175" i="3"/>
  <c r="B175" i="3"/>
  <c r="A203" i="7"/>
  <c r="B201" i="15"/>
  <c r="A201" i="15"/>
  <c r="I201" i="7"/>
  <c r="I200" i="7"/>
  <c r="I199" i="7"/>
  <c r="H175" i="8" l="1"/>
  <c r="B204" i="7"/>
  <c r="A176" i="3"/>
  <c r="B176" i="3"/>
  <c r="B176" i="8"/>
  <c r="A176" i="8"/>
  <c r="J204" i="5"/>
  <c r="A205" i="5"/>
  <c r="B205" i="5"/>
  <c r="I175" i="3"/>
  <c r="J175" i="3"/>
  <c r="A204" i="7"/>
  <c r="B202" i="15"/>
  <c r="A202" i="15"/>
  <c r="I202" i="7"/>
  <c r="H176" i="8" l="1"/>
  <c r="J176" i="3"/>
  <c r="I176" i="3"/>
  <c r="B205" i="7"/>
  <c r="J205" i="5"/>
  <c r="A177" i="3"/>
  <c r="B177" i="3"/>
  <c r="A206" i="5"/>
  <c r="B206" i="5"/>
  <c r="B177" i="8"/>
  <c r="A177" i="8"/>
  <c r="A205" i="7"/>
  <c r="B203" i="15"/>
  <c r="A203" i="15"/>
  <c r="I203" i="7"/>
  <c r="B206" i="7" l="1"/>
  <c r="J206" i="5"/>
  <c r="A178" i="3"/>
  <c r="B178" i="3"/>
  <c r="H177" i="8"/>
  <c r="I177" i="3"/>
  <c r="B178" i="8"/>
  <c r="A178" i="8"/>
  <c r="A208" i="5"/>
  <c r="B208" i="5"/>
  <c r="J177" i="3"/>
  <c r="A206" i="7"/>
  <c r="B204" i="15"/>
  <c r="A204" i="15"/>
  <c r="I204" i="7"/>
  <c r="H178" i="8" l="1"/>
  <c r="B208" i="7"/>
  <c r="A207" i="5"/>
  <c r="J208" i="5"/>
  <c r="B207" i="5"/>
  <c r="B209" i="5"/>
  <c r="A209" i="5"/>
  <c r="A179" i="3"/>
  <c r="B179" i="3"/>
  <c r="J178" i="3"/>
  <c r="B179" i="8"/>
  <c r="A179" i="8"/>
  <c r="I178" i="3"/>
  <c r="A208" i="7"/>
  <c r="B205" i="15"/>
  <c r="A205" i="15"/>
  <c r="I205" i="7"/>
  <c r="A207" i="7" l="1"/>
  <c r="B207" i="7"/>
  <c r="B209" i="7"/>
  <c r="J207" i="5"/>
  <c r="B180" i="8"/>
  <c r="A180" i="8"/>
  <c r="A180" i="3"/>
  <c r="B180" i="3"/>
  <c r="H179" i="8"/>
  <c r="B210" i="5"/>
  <c r="A210" i="5"/>
  <c r="J179" i="3"/>
  <c r="I179" i="3"/>
  <c r="J209" i="5"/>
  <c r="A209" i="7"/>
  <c r="B207" i="15"/>
  <c r="A207" i="15"/>
  <c r="A206" i="15" s="1"/>
  <c r="I206" i="7"/>
  <c r="J180" i="3" l="1"/>
  <c r="B210" i="7"/>
  <c r="J210" i="5"/>
  <c r="B181" i="8"/>
  <c r="A181" i="8"/>
  <c r="A211" i="5"/>
  <c r="B211" i="5"/>
  <c r="A181" i="3"/>
  <c r="B181" i="3"/>
  <c r="I180" i="3"/>
  <c r="H180" i="8"/>
  <c r="A210" i="7"/>
  <c r="A208" i="15"/>
  <c r="B208" i="15"/>
  <c r="B206" i="15"/>
  <c r="B211" i="7" l="1"/>
  <c r="A182" i="3"/>
  <c r="B182" i="3"/>
  <c r="H181" i="8"/>
  <c r="J211" i="5"/>
  <c r="A212" i="5"/>
  <c r="B212" i="5"/>
  <c r="J181" i="3"/>
  <c r="I181" i="3"/>
  <c r="B182" i="8"/>
  <c r="A182" i="8"/>
  <c r="A211" i="7"/>
  <c r="B209" i="15"/>
  <c r="A209" i="15"/>
  <c r="I209" i="7"/>
  <c r="I207" i="7"/>
  <c r="I208" i="7"/>
  <c r="H182" i="8" l="1"/>
  <c r="I182" i="3"/>
  <c r="B212" i="7"/>
  <c r="J212" i="5"/>
  <c r="B213" i="5"/>
  <c r="A213" i="5"/>
  <c r="B183" i="8"/>
  <c r="A183" i="8"/>
  <c r="A183" i="3"/>
  <c r="B183" i="3"/>
  <c r="A212" i="7"/>
  <c r="B210" i="15"/>
  <c r="A210" i="15"/>
  <c r="I210" i="7"/>
  <c r="I183" i="8" l="1"/>
  <c r="B213" i="7"/>
  <c r="A214" i="5"/>
  <c r="A184" i="3"/>
  <c r="B184" i="3"/>
  <c r="I183" i="3"/>
  <c r="B184" i="8"/>
  <c r="A184" i="8"/>
  <c r="H183" i="8"/>
  <c r="E183" i="8"/>
  <c r="J213" i="5"/>
  <c r="A215" i="5"/>
  <c r="B215" i="5"/>
  <c r="B214" i="5"/>
  <c r="A213" i="7"/>
  <c r="B211" i="15"/>
  <c r="A211" i="15"/>
  <c r="I211" i="7"/>
  <c r="E184" i="8" l="1"/>
  <c r="I184" i="8"/>
  <c r="I184" i="3"/>
  <c r="H184" i="8"/>
  <c r="A214" i="7"/>
  <c r="B214" i="7"/>
  <c r="B215" i="7"/>
  <c r="J214" i="5"/>
  <c r="J215" i="5"/>
  <c r="B185" i="8"/>
  <c r="A185" i="8"/>
  <c r="A216" i="5"/>
  <c r="B216" i="5"/>
  <c r="A185" i="3"/>
  <c r="B185" i="3"/>
  <c r="A215" i="7"/>
  <c r="B212" i="15"/>
  <c r="A212" i="15"/>
  <c r="A213" i="15" s="1"/>
  <c r="I212" i="7"/>
  <c r="H185" i="8" l="1"/>
  <c r="I185" i="8"/>
  <c r="E185" i="8"/>
  <c r="B216" i="7"/>
  <c r="A186" i="3"/>
  <c r="B186" i="3"/>
  <c r="I185" i="3"/>
  <c r="J216" i="5"/>
  <c r="A217" i="5"/>
  <c r="B217" i="5"/>
  <c r="B186" i="8"/>
  <c r="A186" i="8"/>
  <c r="A216" i="7"/>
  <c r="A214" i="15"/>
  <c r="B214" i="15"/>
  <c r="B213" i="15"/>
  <c r="I186" i="8" l="1"/>
  <c r="I186" i="3"/>
  <c r="B217" i="7"/>
  <c r="J217" i="5"/>
  <c r="B187" i="8"/>
  <c r="A187" i="8"/>
  <c r="H186" i="8"/>
  <c r="E186" i="8"/>
  <c r="A218" i="5"/>
  <c r="B218" i="5"/>
  <c r="A187" i="3"/>
  <c r="B187" i="3"/>
  <c r="A217" i="7"/>
  <c r="B215" i="15"/>
  <c r="A215" i="15"/>
  <c r="I215" i="7"/>
  <c r="I214" i="7"/>
  <c r="I213" i="7"/>
  <c r="H187" i="8" l="1"/>
  <c r="I187" i="3"/>
  <c r="B218" i="7"/>
  <c r="A219" i="5"/>
  <c r="B219" i="5"/>
  <c r="J218" i="5"/>
  <c r="A188" i="3"/>
  <c r="B188" i="3"/>
  <c r="B188" i="8"/>
  <c r="A188" i="8"/>
  <c r="A218" i="7"/>
  <c r="B216" i="15"/>
  <c r="A216" i="15"/>
  <c r="I216" i="7"/>
  <c r="I188" i="3" l="1"/>
  <c r="B219" i="7"/>
  <c r="J219" i="5"/>
  <c r="B189" i="8"/>
  <c r="A189" i="8"/>
  <c r="A189" i="3"/>
  <c r="B189" i="3"/>
  <c r="H188" i="8"/>
  <c r="A220" i="5"/>
  <c r="B220" i="5"/>
  <c r="A219" i="7"/>
  <c r="B217" i="15"/>
  <c r="A217" i="15"/>
  <c r="I217" i="7"/>
  <c r="I189" i="3" l="1"/>
  <c r="H189" i="8"/>
  <c r="B220" i="7"/>
  <c r="J220" i="5"/>
  <c r="A222" i="5"/>
  <c r="B222" i="5"/>
  <c r="A190" i="3"/>
  <c r="B190" i="3"/>
  <c r="B190" i="8"/>
  <c r="A190" i="8"/>
  <c r="A220" i="7"/>
  <c r="B218" i="15"/>
  <c r="A218" i="15"/>
  <c r="I218" i="7"/>
  <c r="I190" i="3" l="1"/>
  <c r="B222" i="7"/>
  <c r="A221" i="5"/>
  <c r="J222" i="5"/>
  <c r="B191" i="8"/>
  <c r="A191" i="8"/>
  <c r="A191" i="3"/>
  <c r="B191" i="3"/>
  <c r="H190" i="8"/>
  <c r="A223" i="5"/>
  <c r="B223" i="5"/>
  <c r="B221" i="5"/>
  <c r="A222" i="7"/>
  <c r="B219" i="15"/>
  <c r="A219" i="15"/>
  <c r="I219" i="7"/>
  <c r="H191" i="8" l="1"/>
  <c r="I191" i="3"/>
  <c r="A221" i="7"/>
  <c r="B221" i="7"/>
  <c r="B223" i="7"/>
  <c r="J221" i="5"/>
  <c r="J223" i="5"/>
  <c r="A224" i="5"/>
  <c r="B224" i="5"/>
  <c r="A192" i="3"/>
  <c r="B192" i="3"/>
  <c r="B192" i="8"/>
  <c r="A192" i="8"/>
  <c r="A223" i="7"/>
  <c r="B221" i="15"/>
  <c r="A221" i="15"/>
  <c r="A220" i="15" s="1"/>
  <c r="I220" i="7"/>
  <c r="H192" i="8" l="1"/>
  <c r="B224" i="7"/>
  <c r="J224" i="5"/>
  <c r="B193" i="8"/>
  <c r="A193" i="8"/>
  <c r="A193" i="3"/>
  <c r="B193" i="3"/>
  <c r="I192" i="3"/>
  <c r="A225" i="5"/>
  <c r="B225" i="5"/>
  <c r="A224" i="7"/>
  <c r="A222" i="15"/>
  <c r="B222" i="15"/>
  <c r="B220" i="15"/>
  <c r="H193" i="8" l="1"/>
  <c r="I193" i="3"/>
  <c r="B225" i="7"/>
  <c r="J225" i="5"/>
  <c r="A226" i="5"/>
  <c r="B226" i="5"/>
  <c r="A194" i="3"/>
  <c r="B194" i="3"/>
  <c r="B194" i="8"/>
  <c r="A194" i="8"/>
  <c r="A225" i="7"/>
  <c r="B223" i="15"/>
  <c r="A223" i="15"/>
  <c r="I223" i="7"/>
  <c r="I221" i="7"/>
  <c r="I222" i="7"/>
  <c r="H194" i="8" l="1"/>
  <c r="B226" i="7"/>
  <c r="A195" i="3"/>
  <c r="B195" i="3"/>
  <c r="B195" i="8"/>
  <c r="A195" i="8"/>
  <c r="I194" i="3"/>
  <c r="A227" i="5"/>
  <c r="B227" i="5"/>
  <c r="J226" i="5"/>
  <c r="A226" i="7"/>
  <c r="B224" i="15"/>
  <c r="A224" i="15"/>
  <c r="I224" i="7"/>
  <c r="H195" i="8" l="1"/>
  <c r="I195" i="3"/>
  <c r="B227" i="7"/>
  <c r="A228" i="5"/>
  <c r="A196" i="3"/>
  <c r="B196" i="3"/>
  <c r="A229" i="5"/>
  <c r="B229" i="5"/>
  <c r="B228" i="5"/>
  <c r="J227" i="5"/>
  <c r="B196" i="8"/>
  <c r="A196" i="8"/>
  <c r="A227" i="7"/>
  <c r="B225" i="15"/>
  <c r="A225" i="15"/>
  <c r="I225" i="7"/>
  <c r="A228" i="7" l="1"/>
  <c r="B229" i="7"/>
  <c r="B228" i="7"/>
  <c r="J228" i="5"/>
  <c r="J229" i="5"/>
  <c r="B197" i="8"/>
  <c r="A197" i="8"/>
  <c r="H196" i="8"/>
  <c r="I196" i="3"/>
  <c r="A230" i="5"/>
  <c r="B230" i="5"/>
  <c r="A197" i="3"/>
  <c r="B197" i="3"/>
  <c r="A229" i="7"/>
  <c r="B226" i="15"/>
  <c r="A226" i="15"/>
  <c r="A227" i="15" s="1"/>
  <c r="I226" i="7"/>
  <c r="H197" i="8" l="1"/>
  <c r="I197" i="3"/>
  <c r="B230" i="7"/>
  <c r="A231" i="5"/>
  <c r="B231" i="5"/>
  <c r="J230" i="5"/>
  <c r="A198" i="3"/>
  <c r="B198" i="3"/>
  <c r="B198" i="8"/>
  <c r="A198" i="8"/>
  <c r="A230" i="7"/>
  <c r="A228" i="15"/>
  <c r="B227" i="15"/>
  <c r="B228" i="15"/>
  <c r="E198" i="8" l="1"/>
  <c r="I198" i="8"/>
  <c r="B231" i="7"/>
  <c r="A199" i="3"/>
  <c r="B199" i="3"/>
  <c r="I198" i="3"/>
  <c r="B199" i="8"/>
  <c r="A199" i="8"/>
  <c r="A232" i="5"/>
  <c r="B232" i="5"/>
  <c r="H198" i="8"/>
  <c r="J231" i="5"/>
  <c r="A231" i="7"/>
  <c r="B229" i="15"/>
  <c r="A229" i="15"/>
  <c r="I229" i="7"/>
  <c r="I228" i="7"/>
  <c r="I227" i="7"/>
  <c r="E199" i="8" l="1"/>
  <c r="B232" i="7"/>
  <c r="J232" i="5"/>
  <c r="A233" i="5"/>
  <c r="B233" i="5"/>
  <c r="H199" i="8"/>
  <c r="I199" i="8"/>
  <c r="B200" i="8"/>
  <c r="A200" i="8"/>
  <c r="A200" i="3"/>
  <c r="B200" i="3"/>
  <c r="I199" i="3"/>
  <c r="A232" i="7"/>
  <c r="B230" i="15"/>
  <c r="A230" i="15"/>
  <c r="I230" i="7"/>
  <c r="I200" i="8" l="1"/>
  <c r="I200" i="3"/>
  <c r="B233" i="7"/>
  <c r="B201" i="8"/>
  <c r="A201" i="8"/>
  <c r="E201" i="8" s="1"/>
  <c r="E200" i="8"/>
  <c r="H200" i="8"/>
  <c r="A234" i="5"/>
  <c r="B234" i="5"/>
  <c r="A201" i="3"/>
  <c r="B201" i="3"/>
  <c r="J233" i="5"/>
  <c r="A233" i="7"/>
  <c r="B231" i="15"/>
  <c r="A231" i="15"/>
  <c r="I231" i="7"/>
  <c r="I201" i="3" l="1"/>
  <c r="H201" i="8"/>
  <c r="B234" i="7"/>
  <c r="J234" i="5"/>
  <c r="I201" i="8"/>
  <c r="A236" i="5"/>
  <c r="B236" i="5"/>
  <c r="A202" i="3"/>
  <c r="B202" i="3"/>
  <c r="B202" i="8"/>
  <c r="A202" i="8"/>
  <c r="A234" i="7"/>
  <c r="B232" i="15"/>
  <c r="A232" i="15"/>
  <c r="I232" i="7"/>
  <c r="H202" i="8" l="1"/>
  <c r="E202" i="8"/>
  <c r="I202" i="3"/>
  <c r="B236" i="7"/>
  <c r="A235" i="5"/>
  <c r="J236" i="5"/>
  <c r="B203" i="8"/>
  <c r="A203" i="8"/>
  <c r="A203" i="3"/>
  <c r="B203" i="3"/>
  <c r="B235" i="5"/>
  <c r="A237" i="5"/>
  <c r="B237" i="5"/>
  <c r="I202" i="8"/>
  <c r="A236" i="7"/>
  <c r="B233" i="15"/>
  <c r="A233" i="15"/>
  <c r="I233" i="7"/>
  <c r="H203" i="8" l="1"/>
  <c r="E203" i="8"/>
  <c r="I203" i="3"/>
  <c r="I203" i="8"/>
  <c r="A235" i="7"/>
  <c r="B235" i="7"/>
  <c r="B237" i="7"/>
  <c r="J235" i="5"/>
  <c r="J237" i="5"/>
  <c r="A238" i="5"/>
  <c r="B238" i="5"/>
  <c r="A204" i="3"/>
  <c r="B204" i="3"/>
  <c r="B204" i="8"/>
  <c r="A204" i="8"/>
  <c r="A237" i="7"/>
  <c r="B235" i="15"/>
  <c r="A235" i="15"/>
  <c r="A234" i="15" s="1"/>
  <c r="I234" i="7"/>
  <c r="I204" i="8" l="1"/>
  <c r="E204" i="8"/>
  <c r="B238" i="7"/>
  <c r="J238" i="5"/>
  <c r="B205" i="8"/>
  <c r="A205" i="8"/>
  <c r="H204" i="8"/>
  <c r="A205" i="3"/>
  <c r="B205" i="3"/>
  <c r="I204" i="3"/>
  <c r="B239" i="5"/>
  <c r="A239" i="5"/>
  <c r="A238" i="7"/>
  <c r="A236" i="15"/>
  <c r="B234" i="15"/>
  <c r="B236" i="15"/>
  <c r="I205" i="3" l="1"/>
  <c r="E205" i="8"/>
  <c r="H205" i="8"/>
  <c r="B239" i="7"/>
  <c r="J239" i="5"/>
  <c r="A240" i="5"/>
  <c r="B240" i="5"/>
  <c r="A206" i="3"/>
  <c r="B206" i="3"/>
  <c r="I205" i="8"/>
  <c r="B206" i="8"/>
  <c r="A206" i="8"/>
  <c r="A239" i="7"/>
  <c r="B237" i="15"/>
  <c r="A237" i="15"/>
  <c r="I237" i="7"/>
  <c r="I235" i="7"/>
  <c r="I236" i="7"/>
  <c r="H206" i="8" l="1"/>
  <c r="E206" i="8"/>
  <c r="I206" i="3"/>
  <c r="I206" i="8"/>
  <c r="B240" i="7"/>
  <c r="A241" i="5"/>
  <c r="B241" i="5"/>
  <c r="B207" i="8"/>
  <c r="A207" i="8"/>
  <c r="A207" i="3"/>
  <c r="B207" i="3"/>
  <c r="J240" i="5"/>
  <c r="A240" i="7"/>
  <c r="B238" i="15"/>
  <c r="A238" i="15"/>
  <c r="I238" i="7"/>
  <c r="H207" i="8" l="1"/>
  <c r="I207" i="8"/>
  <c r="I207" i="3"/>
  <c r="E207" i="8"/>
  <c r="B241" i="7"/>
  <c r="A242" i="5"/>
  <c r="B242" i="5"/>
  <c r="B243" i="5"/>
  <c r="A243" i="5"/>
  <c r="J241" i="5"/>
  <c r="A208" i="3"/>
  <c r="I208" i="3" s="1"/>
  <c r="B208" i="3"/>
  <c r="B208" i="8"/>
  <c r="A208" i="8"/>
  <c r="A241" i="7"/>
  <c r="B239" i="15"/>
  <c r="A239" i="15"/>
  <c r="I239" i="7"/>
  <c r="I208" i="8" l="1"/>
  <c r="A242" i="7"/>
  <c r="B243" i="7"/>
  <c r="B242" i="7"/>
  <c r="J242" i="5"/>
  <c r="A209" i="3"/>
  <c r="B209" i="3"/>
  <c r="J243" i="5"/>
  <c r="A244" i="5"/>
  <c r="B244" i="5"/>
  <c r="B209" i="8"/>
  <c r="A209" i="8"/>
  <c r="H208" i="8"/>
  <c r="E208" i="8"/>
  <c r="A243" i="7"/>
  <c r="B240" i="15"/>
  <c r="A240" i="15"/>
  <c r="A241" i="15" s="1"/>
  <c r="I240" i="7"/>
  <c r="I209" i="3" l="1"/>
  <c r="I209" i="8"/>
  <c r="E209" i="8"/>
  <c r="B244" i="7"/>
  <c r="B210" i="8"/>
  <c r="A210" i="8"/>
  <c r="J244" i="5"/>
  <c r="A210" i="3"/>
  <c r="B210" i="3"/>
  <c r="A245" i="5"/>
  <c r="B245" i="5"/>
  <c r="H209" i="8"/>
  <c r="A244" i="7"/>
  <c r="A242" i="15"/>
  <c r="B241" i="15"/>
  <c r="B242" i="15"/>
  <c r="I210" i="8" l="1"/>
  <c r="H210" i="8"/>
  <c r="B245" i="7"/>
  <c r="J245" i="5"/>
  <c r="A246" i="5"/>
  <c r="B246" i="5"/>
  <c r="A211" i="3"/>
  <c r="B211" i="3"/>
  <c r="E210" i="8"/>
  <c r="I210" i="3"/>
  <c r="B211" i="8"/>
  <c r="A211" i="8"/>
  <c r="A245" i="7"/>
  <c r="B243" i="15"/>
  <c r="A243" i="15"/>
  <c r="I243" i="7"/>
  <c r="I242" i="7"/>
  <c r="I241" i="7"/>
  <c r="I211" i="3" l="1"/>
  <c r="E211" i="8"/>
  <c r="B246" i="7"/>
  <c r="J246" i="5"/>
  <c r="B212" i="8"/>
  <c r="A212" i="8"/>
  <c r="H211" i="8"/>
  <c r="A212" i="3"/>
  <c r="B212" i="3"/>
  <c r="I211" i="8"/>
  <c r="A247" i="5"/>
  <c r="B247" i="5"/>
  <c r="A246" i="7"/>
  <c r="B244" i="15"/>
  <c r="A244" i="15"/>
  <c r="I212" i="8" l="1"/>
  <c r="I212" i="3"/>
  <c r="H212" i="8"/>
  <c r="B247" i="7"/>
  <c r="A248" i="5"/>
  <c r="B248" i="5"/>
  <c r="J247" i="5"/>
  <c r="A213" i="3"/>
  <c r="B213" i="3"/>
  <c r="E212" i="8"/>
  <c r="B213" i="8"/>
  <c r="A213" i="8"/>
  <c r="A247" i="7"/>
  <c r="B245" i="15"/>
  <c r="A245" i="15"/>
  <c r="I244" i="7"/>
  <c r="I213" i="3" l="1"/>
  <c r="I213" i="8"/>
  <c r="B248" i="7"/>
  <c r="A214" i="3"/>
  <c r="B214" i="3"/>
  <c r="H213" i="8"/>
  <c r="E213" i="8"/>
  <c r="B214" i="8"/>
  <c r="A214" i="8"/>
  <c r="A250" i="5"/>
  <c r="B250" i="5"/>
  <c r="J248" i="5"/>
  <c r="A248" i="7"/>
  <c r="B246" i="15"/>
  <c r="A246" i="15"/>
  <c r="I245" i="7"/>
  <c r="J214" i="3" l="1"/>
  <c r="H214" i="8"/>
  <c r="I214" i="3"/>
  <c r="A249" i="5"/>
  <c r="E214" i="8"/>
  <c r="A251" i="5"/>
  <c r="B251" i="5"/>
  <c r="B249" i="5"/>
  <c r="I214" i="8"/>
  <c r="B215" i="8"/>
  <c r="A215" i="8"/>
  <c r="A215" i="3"/>
  <c r="B215" i="3"/>
  <c r="B247" i="15"/>
  <c r="A247" i="15"/>
  <c r="I246" i="7"/>
  <c r="H215" i="8" l="1"/>
  <c r="J215" i="3"/>
  <c r="E215" i="8"/>
  <c r="A252" i="5"/>
  <c r="B252" i="5"/>
  <c r="I215" i="8"/>
  <c r="A216" i="3"/>
  <c r="B216" i="3"/>
  <c r="I215" i="3"/>
  <c r="B249" i="15"/>
  <c r="A249" i="15"/>
  <c r="A248" i="15" s="1"/>
  <c r="I247" i="7"/>
  <c r="I248" i="7"/>
  <c r="J249" i="5"/>
  <c r="J250" i="5"/>
  <c r="J251" i="5"/>
  <c r="E216" i="3" l="1"/>
  <c r="J216" i="3"/>
  <c r="A217" i="3"/>
  <c r="B217" i="3"/>
  <c r="A253" i="5"/>
  <c r="B253" i="5"/>
  <c r="I216" i="3"/>
  <c r="A250" i="15"/>
  <c r="B248" i="15"/>
  <c r="B250" i="15"/>
  <c r="J252" i="5"/>
  <c r="I217" i="3" l="1"/>
  <c r="A254" i="5"/>
  <c r="B254" i="5"/>
  <c r="A218" i="3"/>
  <c r="B218" i="3"/>
  <c r="J217" i="3"/>
  <c r="E217" i="3"/>
  <c r="B251" i="15"/>
  <c r="A251" i="15"/>
  <c r="J253" i="5"/>
  <c r="E218" i="3" l="1"/>
  <c r="I218" i="3"/>
  <c r="A219" i="3"/>
  <c r="B219" i="3"/>
  <c r="J218" i="3"/>
  <c r="A255" i="5"/>
  <c r="B255" i="5"/>
  <c r="B252" i="15"/>
  <c r="A252" i="15"/>
  <c r="J254" i="5"/>
  <c r="E219" i="3" l="1"/>
  <c r="I219" i="3"/>
  <c r="A256" i="5"/>
  <c r="B257" i="5"/>
  <c r="A257" i="5"/>
  <c r="B256" i="5"/>
  <c r="A220" i="3"/>
  <c r="B220" i="3"/>
  <c r="J219" i="3"/>
  <c r="B253" i="15"/>
  <c r="A253" i="15"/>
  <c r="E220" i="3" l="1"/>
  <c r="I220" i="3"/>
  <c r="A258" i="5"/>
  <c r="B258" i="5"/>
  <c r="J220" i="3"/>
  <c r="A221" i="3"/>
  <c r="B221" i="3"/>
  <c r="B254" i="15"/>
  <c r="A254" i="15"/>
  <c r="A255" i="15" s="1"/>
  <c r="J256" i="5"/>
  <c r="J255" i="5"/>
  <c r="J257" i="5"/>
  <c r="E221" i="3" l="1"/>
  <c r="A222" i="3"/>
  <c r="B222" i="3"/>
  <c r="I221" i="3"/>
  <c r="J221" i="3"/>
  <c r="B259" i="5"/>
  <c r="A259" i="5"/>
  <c r="A256" i="15"/>
  <c r="B255" i="15"/>
  <c r="B256" i="15"/>
  <c r="J258" i="5"/>
  <c r="E222" i="3" l="1"/>
  <c r="I222" i="3"/>
  <c r="A260" i="5"/>
  <c r="B260" i="5"/>
  <c r="J222" i="3"/>
  <c r="A223" i="3"/>
  <c r="B223" i="3"/>
  <c r="B257" i="15"/>
  <c r="A257" i="15"/>
  <c r="J259" i="5"/>
  <c r="E223" i="3" l="1"/>
  <c r="I223" i="3"/>
  <c r="J223" i="3"/>
  <c r="A224" i="3"/>
  <c r="B224" i="3"/>
  <c r="B258" i="15"/>
  <c r="A258" i="15"/>
  <c r="J224" i="3" l="1"/>
  <c r="A225" i="3"/>
  <c r="B225" i="3"/>
  <c r="E224" i="3"/>
  <c r="I224" i="3"/>
  <c r="B259" i="15"/>
  <c r="A259" i="15"/>
  <c r="J225" i="3" l="1"/>
  <c r="I225" i="3"/>
  <c r="E225" i="3"/>
  <c r="B260" i="15"/>
  <c r="A260" i="15"/>
  <c r="J260" i="5"/>
  <c r="B261" i="15" l="1"/>
  <c r="A261" i="15"/>
  <c r="E5" i="15"/>
  <c r="B263" i="15" l="1"/>
  <c r="A263" i="15"/>
  <c r="A262" i="15" s="1"/>
  <c r="G5" i="15"/>
  <c r="I5" i="15" s="1"/>
  <c r="A264" i="15" l="1"/>
  <c r="B264" i="15"/>
  <c r="B262" i="15"/>
  <c r="J5" i="15"/>
  <c r="K5" i="15"/>
  <c r="B265" i="15" l="1"/>
  <c r="A265" i="15"/>
  <c r="L5" i="15"/>
  <c r="B266" i="15" l="1"/>
  <c r="A266" i="15"/>
  <c r="E214" i="3"/>
  <c r="E215" i="3"/>
  <c r="B267" i="15" l="1"/>
  <c r="A267" i="15"/>
  <c r="E6" i="15"/>
  <c r="N9" i="15"/>
  <c r="N8" i="15"/>
  <c r="B268" i="15" l="1"/>
  <c r="A268" i="15"/>
  <c r="A269" i="15" s="1"/>
  <c r="F6" i="15"/>
  <c r="G6" i="15"/>
  <c r="A270" i="15" l="1"/>
  <c r="B270" i="15"/>
  <c r="B269" i="15"/>
  <c r="E7" i="15"/>
  <c r="G7" i="15"/>
  <c r="F7" i="15"/>
  <c r="I6" i="15"/>
  <c r="N10" i="15"/>
  <c r="B271" i="15" l="1"/>
  <c r="A271" i="15"/>
  <c r="N11" i="15"/>
  <c r="G8" i="15"/>
  <c r="F8" i="15"/>
  <c r="E8" i="15"/>
  <c r="J6" i="15"/>
  <c r="K6" i="15"/>
  <c r="I7" i="15"/>
  <c r="B272" i="15" l="1"/>
  <c r="A272" i="15"/>
  <c r="I8" i="15"/>
  <c r="B10" i="15"/>
  <c r="N13" i="15" s="1"/>
  <c r="N12" i="15"/>
  <c r="K7" i="15"/>
  <c r="L7" i="15" s="1"/>
  <c r="J7" i="15"/>
  <c r="L6" i="15"/>
  <c r="G9" i="15"/>
  <c r="E9" i="15"/>
  <c r="F9" i="15"/>
  <c r="B273" i="15" l="1"/>
  <c r="A273" i="15"/>
  <c r="I9" i="15"/>
  <c r="A10" i="15"/>
  <c r="E11" i="15"/>
  <c r="F11" i="15"/>
  <c r="G11" i="15"/>
  <c r="J8" i="15"/>
  <c r="K8" i="15"/>
  <c r="L8" i="15" s="1"/>
  <c r="B274" i="15" l="1"/>
  <c r="A274" i="15"/>
  <c r="I11" i="15"/>
  <c r="K11" i="15" s="1"/>
  <c r="L11" i="15" s="1"/>
  <c r="J9" i="15"/>
  <c r="K9" i="15"/>
  <c r="L9" i="15" s="1"/>
  <c r="E12" i="15"/>
  <c r="G12" i="15"/>
  <c r="F12" i="15"/>
  <c r="F10" i="15"/>
  <c r="E10" i="15"/>
  <c r="G10" i="15"/>
  <c r="J11" i="15" l="1"/>
  <c r="B275" i="15"/>
  <c r="A275" i="15"/>
  <c r="F13" i="15"/>
  <c r="G13" i="15"/>
  <c r="E13" i="15"/>
  <c r="I10" i="15"/>
  <c r="I12" i="15"/>
  <c r="B277" i="15" l="1"/>
  <c r="A277" i="15"/>
  <c r="A276" i="15" s="1"/>
  <c r="J10" i="15"/>
  <c r="L10" i="15"/>
  <c r="I13" i="15"/>
  <c r="J12" i="15"/>
  <c r="K12" i="15"/>
  <c r="L12" i="15" s="1"/>
  <c r="G14" i="15"/>
  <c r="E14" i="15"/>
  <c r="F14" i="15"/>
  <c r="A278" i="15" l="1"/>
  <c r="B278" i="15"/>
  <c r="B276" i="15"/>
  <c r="F15" i="15"/>
  <c r="E15" i="15"/>
  <c r="G15" i="15"/>
  <c r="J13" i="15"/>
  <c r="K13" i="15"/>
  <c r="L13" i="15" s="1"/>
  <c r="B17" i="15"/>
  <c r="I14" i="15"/>
  <c r="B279" i="15" l="1"/>
  <c r="A279" i="15"/>
  <c r="E16" i="15"/>
  <c r="G16" i="15"/>
  <c r="A17" i="15"/>
  <c r="F16" i="15"/>
  <c r="K14" i="15"/>
  <c r="L14" i="15" s="1"/>
  <c r="J14" i="15"/>
  <c r="I15" i="15"/>
  <c r="B280" i="15" l="1"/>
  <c r="A280" i="15"/>
  <c r="I16" i="15"/>
  <c r="J16" i="15" s="1"/>
  <c r="K16" i="15"/>
  <c r="L16" i="15" s="1"/>
  <c r="F18" i="15"/>
  <c r="E18" i="15"/>
  <c r="G18" i="15"/>
  <c r="J15" i="15"/>
  <c r="K15" i="15"/>
  <c r="L15" i="15" s="1"/>
  <c r="E17" i="15"/>
  <c r="F17" i="15"/>
  <c r="G17" i="15"/>
  <c r="B281" i="15" l="1"/>
  <c r="A281" i="15"/>
  <c r="I18" i="15"/>
  <c r="I17" i="15"/>
  <c r="G19" i="15"/>
  <c r="E19" i="15"/>
  <c r="F19" i="15"/>
  <c r="B282" i="15" l="1"/>
  <c r="A282" i="15"/>
  <c r="A283" i="15" s="1"/>
  <c r="I19" i="15"/>
  <c r="J19" i="15" s="1"/>
  <c r="K19" i="15"/>
  <c r="L19" i="15" s="1"/>
  <c r="G20" i="15"/>
  <c r="F20" i="15"/>
  <c r="E20" i="15"/>
  <c r="J17" i="15"/>
  <c r="L17" i="15"/>
  <c r="K18" i="15"/>
  <c r="L18" i="15" s="1"/>
  <c r="J18" i="15"/>
  <c r="A284" i="15" l="1"/>
  <c r="B284" i="15"/>
  <c r="B283" i="15"/>
  <c r="G21" i="15"/>
  <c r="F21" i="15"/>
  <c r="E21" i="15"/>
  <c r="I20" i="15"/>
  <c r="B285" i="15" l="1"/>
  <c r="A285" i="15"/>
  <c r="I21" i="15"/>
  <c r="J21" i="15" s="1"/>
  <c r="K20" i="15"/>
  <c r="L20" i="15" s="1"/>
  <c r="J20" i="15"/>
  <c r="F22" i="15"/>
  <c r="G22" i="15"/>
  <c r="E22" i="15"/>
  <c r="B286" i="15" l="1"/>
  <c r="A286" i="15"/>
  <c r="K21" i="15"/>
  <c r="L21" i="15" s="1"/>
  <c r="F23" i="15"/>
  <c r="G23" i="15"/>
  <c r="E23" i="15"/>
  <c r="B24" i="15"/>
  <c r="I22" i="15"/>
  <c r="B287" i="15" l="1"/>
  <c r="A287" i="15"/>
  <c r="F25" i="15"/>
  <c r="G25" i="15"/>
  <c r="A24" i="15"/>
  <c r="E25" i="15"/>
  <c r="J22" i="15"/>
  <c r="K22" i="15"/>
  <c r="L22" i="15" s="1"/>
  <c r="I23" i="15"/>
  <c r="B288" i="15" l="1"/>
  <c r="A288" i="15"/>
  <c r="F24" i="15"/>
  <c r="J24" i="15" s="1"/>
  <c r="E24" i="15"/>
  <c r="G24" i="15"/>
  <c r="K23" i="15"/>
  <c r="L23" i="15" s="1"/>
  <c r="J23" i="15"/>
  <c r="F26" i="15"/>
  <c r="G26" i="15"/>
  <c r="E26" i="15"/>
  <c r="I25" i="15"/>
  <c r="B289" i="15" l="1"/>
  <c r="A289" i="15"/>
  <c r="F27" i="15"/>
  <c r="E27" i="15"/>
  <c r="G27" i="15"/>
  <c r="J25" i="15"/>
  <c r="K25" i="15"/>
  <c r="L25" i="15" s="1"/>
  <c r="I26" i="15"/>
  <c r="B291" i="15" l="1"/>
  <c r="A291" i="15"/>
  <c r="A290" i="15" s="1"/>
  <c r="I27" i="15"/>
  <c r="K26" i="15"/>
  <c r="L26" i="15" s="1"/>
  <c r="J26" i="15"/>
  <c r="F28" i="15"/>
  <c r="G28" i="15"/>
  <c r="E28" i="15"/>
  <c r="A292" i="15" l="1"/>
  <c r="B290" i="15"/>
  <c r="B292" i="15"/>
  <c r="J27" i="15"/>
  <c r="K27" i="15"/>
  <c r="L27" i="15" s="1"/>
  <c r="I28" i="15"/>
  <c r="F29" i="15"/>
  <c r="E29" i="15"/>
  <c r="G29" i="15"/>
  <c r="B31" i="15"/>
  <c r="B293" i="15" l="1"/>
  <c r="A293" i="15"/>
  <c r="F30" i="15"/>
  <c r="G30" i="15"/>
  <c r="A31" i="15"/>
  <c r="E30" i="15"/>
  <c r="J28" i="15"/>
  <c r="K28" i="15"/>
  <c r="L28" i="15" s="1"/>
  <c r="I29" i="15"/>
  <c r="B294" i="15" l="1"/>
  <c r="A294" i="15"/>
  <c r="E31" i="15"/>
  <c r="G31" i="15"/>
  <c r="F31" i="15"/>
  <c r="J29" i="15"/>
  <c r="K29" i="15"/>
  <c r="L29" i="15" s="1"/>
  <c r="E32" i="15"/>
  <c r="F32" i="15"/>
  <c r="G32" i="15"/>
  <c r="I30" i="15"/>
  <c r="B295" i="15" l="1"/>
  <c r="A295" i="15"/>
  <c r="E33" i="15"/>
  <c r="F33" i="15"/>
  <c r="G33" i="15"/>
  <c r="K30" i="15"/>
  <c r="L30" i="15" s="1"/>
  <c r="J30" i="15"/>
  <c r="I31" i="15"/>
  <c r="I32" i="15"/>
  <c r="B296" i="15" l="1"/>
  <c r="A296" i="15"/>
  <c r="A297" i="15" s="1"/>
  <c r="I33" i="15"/>
  <c r="J32" i="15"/>
  <c r="K32" i="15"/>
  <c r="L32" i="15" s="1"/>
  <c r="J31" i="15"/>
  <c r="L31" i="15"/>
  <c r="F34" i="15"/>
  <c r="E34" i="15"/>
  <c r="G34" i="15"/>
  <c r="A298" i="15" l="1"/>
  <c r="B298" i="15"/>
  <c r="B297" i="15"/>
  <c r="K33" i="15"/>
  <c r="L33" i="15" s="1"/>
  <c r="J33" i="15"/>
  <c r="I34" i="15"/>
  <c r="E35" i="15"/>
  <c r="G35" i="15"/>
  <c r="F35" i="15"/>
  <c r="B299" i="15" l="1"/>
  <c r="A299" i="15"/>
  <c r="K34" i="15"/>
  <c r="L34" i="15" s="1"/>
  <c r="J34" i="15"/>
  <c r="E36" i="15"/>
  <c r="G36" i="15"/>
  <c r="F36" i="15"/>
  <c r="I35" i="15"/>
  <c r="B300" i="15" l="1"/>
  <c r="A300" i="15"/>
  <c r="E37" i="15"/>
  <c r="F37" i="15"/>
  <c r="G37" i="15"/>
  <c r="I36" i="15"/>
  <c r="J35" i="15"/>
  <c r="K35" i="15"/>
  <c r="L35" i="15" s="1"/>
  <c r="B301" i="15" l="1"/>
  <c r="A301" i="15"/>
  <c r="K36" i="15"/>
  <c r="L36" i="15" s="1"/>
  <c r="J36" i="15"/>
  <c r="E39" i="15"/>
  <c r="G39" i="15"/>
  <c r="F39" i="15"/>
  <c r="I37" i="15"/>
  <c r="B302" i="15" l="1"/>
  <c r="A302" i="15"/>
  <c r="J37" i="15"/>
  <c r="K37" i="15"/>
  <c r="L37" i="15" s="1"/>
  <c r="E38" i="15"/>
  <c r="F38" i="15"/>
  <c r="G38" i="15"/>
  <c r="I39" i="15"/>
  <c r="F40" i="15"/>
  <c r="E40" i="15"/>
  <c r="G40" i="15"/>
  <c r="B303" i="15" l="1"/>
  <c r="A303" i="15"/>
  <c r="K39" i="15"/>
  <c r="L39" i="15" s="1"/>
  <c r="J39" i="15"/>
  <c r="F41" i="15"/>
  <c r="E41" i="15"/>
  <c r="G41" i="15"/>
  <c r="I38" i="15"/>
  <c r="I40" i="15"/>
  <c r="B305" i="15" l="1"/>
  <c r="A305" i="15"/>
  <c r="A304" i="15" s="1"/>
  <c r="J40" i="15"/>
  <c r="K40" i="15"/>
  <c r="L40" i="15" s="1"/>
  <c r="J38" i="15"/>
  <c r="L38" i="15"/>
  <c r="I41" i="15"/>
  <c r="E42" i="15"/>
  <c r="F42" i="15"/>
  <c r="G42" i="15"/>
  <c r="A306" i="15" l="1"/>
  <c r="B306" i="15"/>
  <c r="B304" i="15"/>
  <c r="E43" i="15"/>
  <c r="F43" i="15"/>
  <c r="G43" i="15"/>
  <c r="I42" i="15"/>
  <c r="J41" i="15"/>
  <c r="K41" i="15"/>
  <c r="L41" i="15" s="1"/>
  <c r="B307" i="15" l="1"/>
  <c r="A307" i="15"/>
  <c r="K42" i="15"/>
  <c r="L42" i="15" s="1"/>
  <c r="J42" i="15"/>
  <c r="E44" i="15"/>
  <c r="F44" i="15"/>
  <c r="G44" i="15"/>
  <c r="I43" i="15"/>
  <c r="B308" i="15" l="1"/>
  <c r="A308" i="15"/>
  <c r="I44" i="15"/>
  <c r="E45" i="15"/>
  <c r="G45" i="15"/>
  <c r="F45" i="15"/>
  <c r="K44" i="15"/>
  <c r="L44" i="15" s="1"/>
  <c r="J44" i="15"/>
  <c r="J43" i="15"/>
  <c r="K43" i="15"/>
  <c r="L43" i="15" s="1"/>
  <c r="G46" i="15"/>
  <c r="F46" i="15"/>
  <c r="E46" i="15"/>
  <c r="B309" i="15" l="1"/>
  <c r="A309" i="15"/>
  <c r="I45" i="15"/>
  <c r="L45" i="15" s="1"/>
  <c r="I46" i="15"/>
  <c r="K46" i="15"/>
  <c r="L46" i="15" s="1"/>
  <c r="J46" i="15"/>
  <c r="G47" i="15"/>
  <c r="F47" i="15"/>
  <c r="E47" i="15"/>
  <c r="B310" i="15" l="1"/>
  <c r="A310" i="15"/>
  <c r="A311" i="15" s="1"/>
  <c r="J45" i="15"/>
  <c r="G48" i="15"/>
  <c r="E48" i="15"/>
  <c r="F48" i="15"/>
  <c r="I47" i="15"/>
  <c r="A312" i="15" l="1"/>
  <c r="B312" i="15"/>
  <c r="B311" i="15"/>
  <c r="J47" i="15"/>
  <c r="K47" i="15"/>
  <c r="L47" i="15" s="1"/>
  <c r="I48" i="15"/>
  <c r="F49" i="15"/>
  <c r="G49" i="15"/>
  <c r="E49" i="15"/>
  <c r="B313" i="15" l="1"/>
  <c r="A313" i="15"/>
  <c r="I49" i="15"/>
  <c r="J48" i="15"/>
  <c r="K48" i="15"/>
  <c r="L48" i="15" s="1"/>
  <c r="E50" i="15"/>
  <c r="F50" i="15"/>
  <c r="G50" i="15"/>
  <c r="B314" i="15" l="1"/>
  <c r="A314" i="15"/>
  <c r="I50" i="15"/>
  <c r="J50" i="15" s="1"/>
  <c r="K50" i="15"/>
  <c r="L50" i="15" s="1"/>
  <c r="J49" i="15"/>
  <c r="K49" i="15"/>
  <c r="L49" i="15" s="1"/>
  <c r="E51" i="15"/>
  <c r="F51" i="15"/>
  <c r="G51" i="15"/>
  <c r="B315" i="15" l="1"/>
  <c r="A315" i="15"/>
  <c r="E53" i="15"/>
  <c r="F53" i="15"/>
  <c r="G53" i="15"/>
  <c r="I51" i="15"/>
  <c r="B316" i="15" l="1"/>
  <c r="A316" i="15"/>
  <c r="K51" i="15"/>
  <c r="L51" i="15" s="1"/>
  <c r="J51" i="15"/>
  <c r="E54" i="15"/>
  <c r="F54" i="15"/>
  <c r="G54" i="15"/>
  <c r="I53" i="15"/>
  <c r="G52" i="15"/>
  <c r="F52" i="15"/>
  <c r="E52" i="15"/>
  <c r="B317" i="15" l="1"/>
  <c r="A317" i="15"/>
  <c r="I54" i="15"/>
  <c r="I52" i="15"/>
  <c r="J53" i="15"/>
  <c r="K53" i="15"/>
  <c r="L53" i="15" s="1"/>
  <c r="F55" i="15"/>
  <c r="G55" i="15"/>
  <c r="E55" i="15"/>
  <c r="B319" i="15" l="1"/>
  <c r="A319" i="15"/>
  <c r="A318" i="15" s="1"/>
  <c r="I55" i="15"/>
  <c r="F56" i="15"/>
  <c r="E56" i="15"/>
  <c r="G56" i="15"/>
  <c r="L52" i="15"/>
  <c r="J52" i="15"/>
  <c r="K54" i="15"/>
  <c r="L54" i="15" s="1"/>
  <c r="J54" i="15"/>
  <c r="A320" i="15" l="1"/>
  <c r="B320" i="15"/>
  <c r="B318" i="15"/>
  <c r="E57" i="15"/>
  <c r="F57" i="15"/>
  <c r="G57" i="15"/>
  <c r="I56" i="15"/>
  <c r="J55" i="15"/>
  <c r="K55" i="15"/>
  <c r="L55" i="15" s="1"/>
  <c r="B321" i="15" l="1"/>
  <c r="A321" i="15"/>
  <c r="K56" i="15"/>
  <c r="L56" i="15" s="1"/>
  <c r="J56" i="15"/>
  <c r="I57" i="15"/>
  <c r="E58" i="15"/>
  <c r="G58" i="15"/>
  <c r="F58" i="15"/>
  <c r="B322" i="15" l="1"/>
  <c r="A322" i="15"/>
  <c r="I58" i="15"/>
  <c r="F59" i="15"/>
  <c r="E59" i="15"/>
  <c r="G59" i="15"/>
  <c r="K57" i="15"/>
  <c r="L57" i="15" s="1"/>
  <c r="J57" i="15"/>
  <c r="J58" i="15"/>
  <c r="K58" i="15"/>
  <c r="L58" i="15" s="1"/>
  <c r="G60" i="15"/>
  <c r="F60" i="15"/>
  <c r="E60" i="15"/>
  <c r="B323" i="15" l="1"/>
  <c r="A323" i="15"/>
  <c r="G61" i="15"/>
  <c r="F61" i="15"/>
  <c r="E61" i="15"/>
  <c r="I60" i="15"/>
  <c r="I59" i="15"/>
  <c r="B324" i="15" l="1"/>
  <c r="A324" i="15"/>
  <c r="A325" i="15" s="1"/>
  <c r="J59" i="15"/>
  <c r="L59" i="15"/>
  <c r="J60" i="15"/>
  <c r="K60" i="15"/>
  <c r="L60" i="15" s="1"/>
  <c r="I61" i="15"/>
  <c r="F62" i="15"/>
  <c r="E62" i="15"/>
  <c r="G62" i="15"/>
  <c r="A326" i="15" l="1"/>
  <c r="B325" i="15"/>
  <c r="B326" i="15"/>
  <c r="J61" i="15"/>
  <c r="K61" i="15"/>
  <c r="L61" i="15" s="1"/>
  <c r="I62" i="15"/>
  <c r="G63" i="15"/>
  <c r="F63" i="15"/>
  <c r="E63" i="15"/>
  <c r="B327" i="15" l="1"/>
  <c r="A327" i="15"/>
  <c r="I63" i="15"/>
  <c r="J62" i="15"/>
  <c r="K62" i="15"/>
  <c r="L62" i="15" s="1"/>
  <c r="E64" i="15"/>
  <c r="F64" i="15"/>
  <c r="G64" i="15"/>
  <c r="B328" i="15" l="1"/>
  <c r="A328" i="15"/>
  <c r="I64" i="15"/>
  <c r="J64" i="15" s="1"/>
  <c r="E65" i="15"/>
  <c r="F65" i="15"/>
  <c r="G65" i="15"/>
  <c r="J63" i="15"/>
  <c r="K63" i="15"/>
  <c r="L63" i="15" s="1"/>
  <c r="B329" i="15" l="1"/>
  <c r="A329" i="15"/>
  <c r="K64" i="15"/>
  <c r="L64" i="15" s="1"/>
  <c r="I65" i="15"/>
  <c r="K65" i="15" s="1"/>
  <c r="L65" i="15" s="1"/>
  <c r="G67" i="15"/>
  <c r="F67" i="15"/>
  <c r="E67" i="15"/>
  <c r="B330" i="15" l="1"/>
  <c r="A330" i="15"/>
  <c r="J65" i="15"/>
  <c r="E66" i="15"/>
  <c r="F66" i="15"/>
  <c r="G66" i="15"/>
  <c r="I67" i="15"/>
  <c r="E68" i="15"/>
  <c r="F68" i="15"/>
  <c r="G68" i="15"/>
  <c r="B331" i="15" l="1"/>
  <c r="A331" i="15"/>
  <c r="I68" i="15"/>
  <c r="J68" i="15" s="1"/>
  <c r="J67" i="15"/>
  <c r="K67" i="15"/>
  <c r="L67" i="15" s="1"/>
  <c r="I66" i="15"/>
  <c r="E69" i="15"/>
  <c r="G69" i="15"/>
  <c r="F69" i="15"/>
  <c r="B333" i="15" l="1"/>
  <c r="A333" i="15"/>
  <c r="A332" i="15" s="1"/>
  <c r="K68" i="15"/>
  <c r="L68" i="15" s="1"/>
  <c r="I69" i="15"/>
  <c r="G70" i="15"/>
  <c r="F70" i="15"/>
  <c r="E70" i="15"/>
  <c r="K69" i="15"/>
  <c r="L69" i="15" s="1"/>
  <c r="J69" i="15"/>
  <c r="L66" i="15"/>
  <c r="J66" i="15"/>
  <c r="A334" i="15" l="1"/>
  <c r="B332" i="15"/>
  <c r="B334" i="15"/>
  <c r="I70" i="15"/>
  <c r="K70" i="15" s="1"/>
  <c r="L70" i="15" s="1"/>
  <c r="E71" i="15"/>
  <c r="F71" i="15"/>
  <c r="G71" i="15"/>
  <c r="B335" i="15" l="1"/>
  <c r="A335" i="15"/>
  <c r="J70" i="15"/>
  <c r="I71" i="15"/>
  <c r="J71" i="15" s="1"/>
  <c r="F72" i="15"/>
  <c r="G72" i="15"/>
  <c r="E72" i="15"/>
  <c r="K71" i="15"/>
  <c r="L71" i="15" s="1"/>
  <c r="B336" i="15" l="1"/>
  <c r="A336" i="15"/>
  <c r="F73" i="15"/>
  <c r="E73" i="15"/>
  <c r="G73" i="15"/>
  <c r="F74" i="15"/>
  <c r="E74" i="15"/>
  <c r="G74" i="15"/>
  <c r="I72" i="15"/>
  <c r="B337" i="15" l="1"/>
  <c r="A337" i="15"/>
  <c r="I74" i="15"/>
  <c r="E75" i="15"/>
  <c r="F75" i="15"/>
  <c r="G75" i="15"/>
  <c r="J72" i="15"/>
  <c r="K72" i="15"/>
  <c r="L72" i="15" s="1"/>
  <c r="I73" i="15"/>
  <c r="B338" i="15" l="1"/>
  <c r="A338" i="15"/>
  <c r="A339" i="15" s="1"/>
  <c r="I75" i="15"/>
  <c r="J74" i="15"/>
  <c r="K74" i="15"/>
  <c r="L74" i="15" s="1"/>
  <c r="J73" i="15"/>
  <c r="L73" i="15"/>
  <c r="E76" i="15"/>
  <c r="F76" i="15"/>
  <c r="G76" i="15"/>
  <c r="A340" i="15" l="1"/>
  <c r="B340" i="15"/>
  <c r="B339" i="15"/>
  <c r="E77" i="15"/>
  <c r="F77" i="15"/>
  <c r="G77" i="15"/>
  <c r="I76" i="15"/>
  <c r="J75" i="15"/>
  <c r="K75" i="15"/>
  <c r="L75" i="15" s="1"/>
  <c r="B341" i="15" l="1"/>
  <c r="A341" i="15"/>
  <c r="J76" i="15"/>
  <c r="K76" i="15"/>
  <c r="L76" i="15" s="1"/>
  <c r="I77" i="15"/>
  <c r="E78" i="15"/>
  <c r="F78" i="15"/>
  <c r="G78" i="15"/>
  <c r="B342" i="15" l="1"/>
  <c r="A342" i="15"/>
  <c r="I78" i="15"/>
  <c r="J78" i="15" s="1"/>
  <c r="J77" i="15"/>
  <c r="K77" i="15"/>
  <c r="L77" i="15" s="1"/>
  <c r="E79" i="15"/>
  <c r="G79" i="15"/>
  <c r="F79" i="15"/>
  <c r="B343" i="15" l="1"/>
  <c r="A343" i="15"/>
  <c r="K78" i="15"/>
  <c r="L78" i="15" s="1"/>
  <c r="I79" i="15"/>
  <c r="J79" i="15" s="1"/>
  <c r="K79" i="15"/>
  <c r="L79" i="15" s="1"/>
  <c r="E81" i="15"/>
  <c r="G81" i="15"/>
  <c r="F81" i="15"/>
  <c r="B344" i="15" l="1"/>
  <c r="A344" i="15"/>
  <c r="I81" i="15"/>
  <c r="G80" i="15"/>
  <c r="F80" i="15"/>
  <c r="E80" i="15"/>
  <c r="F82" i="15"/>
  <c r="E82" i="15"/>
  <c r="G82" i="15"/>
  <c r="B345" i="15" l="1"/>
  <c r="A345" i="15"/>
  <c r="I82" i="15"/>
  <c r="I80" i="15"/>
  <c r="J80" i="15" s="1"/>
  <c r="J82" i="15"/>
  <c r="K82" i="15"/>
  <c r="L82" i="15" s="1"/>
  <c r="E83" i="15"/>
  <c r="F83" i="15"/>
  <c r="G83" i="15"/>
  <c r="K81" i="15"/>
  <c r="L81" i="15" s="1"/>
  <c r="J81" i="15"/>
  <c r="B347" i="15" l="1"/>
  <c r="A347" i="15"/>
  <c r="A346" i="15" s="1"/>
  <c r="L80" i="15"/>
  <c r="I83" i="15"/>
  <c r="F84" i="15"/>
  <c r="G84" i="15"/>
  <c r="E84" i="15"/>
  <c r="A348" i="15" l="1"/>
  <c r="B348" i="15"/>
  <c r="B346" i="15"/>
  <c r="I84" i="15"/>
  <c r="E85" i="15"/>
  <c r="F85" i="15"/>
  <c r="G85" i="15"/>
  <c r="J83" i="15"/>
  <c r="K83" i="15"/>
  <c r="L83" i="15" s="1"/>
  <c r="B349" i="15" l="1"/>
  <c r="A349" i="15"/>
  <c r="I85" i="15"/>
  <c r="F86" i="15"/>
  <c r="E86" i="15"/>
  <c r="G86" i="15"/>
  <c r="J84" i="15"/>
  <c r="K84" i="15"/>
  <c r="L84" i="15" s="1"/>
  <c r="B350" i="15" l="1"/>
  <c r="A350" i="15"/>
  <c r="I86" i="15"/>
  <c r="G87" i="15"/>
  <c r="E87" i="15"/>
  <c r="F87" i="15"/>
  <c r="K85" i="15"/>
  <c r="L85" i="15" s="1"/>
  <c r="J85" i="15"/>
  <c r="F88" i="15"/>
  <c r="G88" i="15"/>
  <c r="E88" i="15"/>
  <c r="B351" i="15" l="1"/>
  <c r="A351" i="15"/>
  <c r="I87" i="15"/>
  <c r="J87" i="15" s="1"/>
  <c r="F89" i="15"/>
  <c r="G89" i="15"/>
  <c r="E89" i="15"/>
  <c r="I88" i="15"/>
  <c r="J86" i="15"/>
  <c r="K86" i="15"/>
  <c r="L86" i="15" s="1"/>
  <c r="B352" i="15" l="1"/>
  <c r="A352" i="15"/>
  <c r="A353" i="15" s="1"/>
  <c r="L87" i="15"/>
  <c r="E90" i="15"/>
  <c r="G90" i="15"/>
  <c r="F90" i="15"/>
  <c r="J88" i="15"/>
  <c r="K88" i="15"/>
  <c r="L88" i="15" s="1"/>
  <c r="I89" i="15"/>
  <c r="A354" i="15" l="1"/>
  <c r="B354" i="15"/>
  <c r="B353" i="15"/>
  <c r="I90" i="15"/>
  <c r="J90" i="15" s="1"/>
  <c r="E91" i="15"/>
  <c r="G91" i="15"/>
  <c r="F91" i="15"/>
  <c r="K90" i="15"/>
  <c r="L90" i="15" s="1"/>
  <c r="K89" i="15"/>
  <c r="L89" i="15" s="1"/>
  <c r="J89" i="15"/>
  <c r="B355" i="15" l="1"/>
  <c r="A355" i="15"/>
  <c r="I91" i="15"/>
  <c r="J91" i="15" s="1"/>
  <c r="G92" i="15"/>
  <c r="F92" i="15"/>
  <c r="E92" i="15"/>
  <c r="B356" i="15" l="1"/>
  <c r="A356" i="15"/>
  <c r="K91" i="15"/>
  <c r="L91" i="15" s="1"/>
  <c r="I92" i="15"/>
  <c r="F93" i="15"/>
  <c r="E93" i="15"/>
  <c r="G93" i="15"/>
  <c r="B357" i="15" l="1"/>
  <c r="A357" i="15"/>
  <c r="I93" i="15"/>
  <c r="J92" i="15"/>
  <c r="K92" i="15"/>
  <c r="L92" i="15" s="1"/>
  <c r="G95" i="15"/>
  <c r="E95" i="15"/>
  <c r="F95" i="15"/>
  <c r="B358" i="15" l="1"/>
  <c r="A358" i="15"/>
  <c r="G94" i="15"/>
  <c r="E94" i="15"/>
  <c r="F94" i="15"/>
  <c r="J93" i="15"/>
  <c r="K93" i="15"/>
  <c r="L93" i="15" s="1"/>
  <c r="I95" i="15"/>
  <c r="G96" i="15"/>
  <c r="E96" i="15"/>
  <c r="F96" i="15"/>
  <c r="B359" i="15" l="1"/>
  <c r="A359" i="15"/>
  <c r="I96" i="15"/>
  <c r="K96" i="15" s="1"/>
  <c r="L96" i="15" s="1"/>
  <c r="I94" i="15"/>
  <c r="L94" i="15" s="1"/>
  <c r="E97" i="15"/>
  <c r="F97" i="15"/>
  <c r="G97" i="15"/>
  <c r="J94" i="15"/>
  <c r="K95" i="15"/>
  <c r="L95" i="15" s="1"/>
  <c r="J95" i="15"/>
  <c r="B361" i="15" l="1"/>
  <c r="A361" i="15"/>
  <c r="A360" i="15" s="1"/>
  <c r="J96" i="15"/>
  <c r="G98" i="15"/>
  <c r="F98" i="15"/>
  <c r="E98" i="15"/>
  <c r="I97" i="15"/>
  <c r="A362" i="15" l="1"/>
  <c r="B362" i="15"/>
  <c r="B360" i="15"/>
  <c r="I98" i="15"/>
  <c r="J98" i="15" s="1"/>
  <c r="E99" i="15"/>
  <c r="G99" i="15"/>
  <c r="F99" i="15"/>
  <c r="J97" i="15"/>
  <c r="K97" i="15"/>
  <c r="L97" i="15" s="1"/>
  <c r="K98" i="15"/>
  <c r="L98" i="15" s="1"/>
  <c r="B363" i="15" l="1"/>
  <c r="A363" i="15"/>
  <c r="I99" i="15"/>
  <c r="K99" i="15" s="1"/>
  <c r="L99" i="15" s="1"/>
  <c r="E100" i="15"/>
  <c r="G100" i="15"/>
  <c r="F100" i="15"/>
  <c r="B364" i="15" l="1"/>
  <c r="A364" i="15"/>
  <c r="J99" i="15"/>
  <c r="E101" i="15"/>
  <c r="G101" i="15"/>
  <c r="F101" i="15"/>
  <c r="E102" i="15"/>
  <c r="F102" i="15"/>
  <c r="G102" i="15"/>
  <c r="I100" i="15"/>
  <c r="B365" i="15" l="1"/>
  <c r="A365" i="15"/>
  <c r="I101" i="15"/>
  <c r="F103" i="15"/>
  <c r="E103" i="15"/>
  <c r="G103" i="15"/>
  <c r="I102" i="15"/>
  <c r="K100" i="15"/>
  <c r="L100" i="15" s="1"/>
  <c r="J100" i="15"/>
  <c r="B366" i="15" l="1"/>
  <c r="A366" i="15"/>
  <c r="A367" i="15" s="1"/>
  <c r="K102" i="15"/>
  <c r="L102" i="15" s="1"/>
  <c r="J102" i="15"/>
  <c r="I103" i="15"/>
  <c r="L101" i="15"/>
  <c r="J101" i="15"/>
  <c r="G104" i="15"/>
  <c r="F104" i="15"/>
  <c r="E104" i="15"/>
  <c r="A368" i="15" l="1"/>
  <c r="B368" i="15"/>
  <c r="B367" i="15"/>
  <c r="I104" i="15"/>
  <c r="J104" i="15" s="1"/>
  <c r="J103" i="15"/>
  <c r="K103" i="15"/>
  <c r="L103" i="15" s="1"/>
  <c r="F105" i="15"/>
  <c r="G105" i="15"/>
  <c r="E105" i="15"/>
  <c r="K104" i="15"/>
  <c r="L104" i="15" s="1"/>
  <c r="B369" i="15" l="1"/>
  <c r="A369" i="15"/>
  <c r="F106" i="15"/>
  <c r="E106" i="15"/>
  <c r="G106" i="15"/>
  <c r="I105" i="15"/>
  <c r="B370" i="15" l="1"/>
  <c r="A370" i="15"/>
  <c r="J105" i="15"/>
  <c r="K105" i="15"/>
  <c r="L105" i="15" s="1"/>
  <c r="I106" i="15"/>
  <c r="E107" i="15"/>
  <c r="F107" i="15"/>
  <c r="G107" i="15"/>
  <c r="B371" i="15" l="1"/>
  <c r="A371" i="15"/>
  <c r="G109" i="15"/>
  <c r="F109" i="15"/>
  <c r="E109" i="15"/>
  <c r="K106" i="15"/>
  <c r="L106" i="15" s="1"/>
  <c r="J106" i="15"/>
  <c r="I107" i="15"/>
  <c r="B372" i="15" l="1"/>
  <c r="A372" i="15"/>
  <c r="I109" i="15"/>
  <c r="K109" i="15" s="1"/>
  <c r="L109" i="15" s="1"/>
  <c r="F108" i="15"/>
  <c r="G108" i="15"/>
  <c r="E108" i="15"/>
  <c r="E110" i="15"/>
  <c r="F110" i="15"/>
  <c r="G110" i="15"/>
  <c r="J107" i="15"/>
  <c r="K107" i="15"/>
  <c r="L107" i="15" s="1"/>
  <c r="J109" i="15" l="1"/>
  <c r="B373" i="15"/>
  <c r="A373" i="15"/>
  <c r="I110" i="15"/>
  <c r="F111" i="15"/>
  <c r="E111" i="15"/>
  <c r="G111" i="15"/>
  <c r="I108" i="15"/>
  <c r="B375" i="15" l="1"/>
  <c r="A375" i="15"/>
  <c r="A374" i="15" s="1"/>
  <c r="J108" i="15"/>
  <c r="L108" i="15"/>
  <c r="I111" i="15"/>
  <c r="E112" i="15"/>
  <c r="G112" i="15"/>
  <c r="F112" i="15"/>
  <c r="K110" i="15"/>
  <c r="L110" i="15" s="1"/>
  <c r="J110" i="15"/>
  <c r="A376" i="15" l="1"/>
  <c r="B374" i="15"/>
  <c r="B376" i="15"/>
  <c r="I112" i="15"/>
  <c r="K111" i="15"/>
  <c r="L111" i="15" s="1"/>
  <c r="J111" i="15"/>
  <c r="G113" i="15"/>
  <c r="F113" i="15"/>
  <c r="E113" i="15"/>
  <c r="B377" i="15" l="1"/>
  <c r="A377" i="15"/>
  <c r="F114" i="15"/>
  <c r="E114" i="15"/>
  <c r="G114" i="15"/>
  <c r="I113" i="15"/>
  <c r="K112" i="15"/>
  <c r="L112" i="15" s="1"/>
  <c r="J112" i="15"/>
  <c r="B378" i="15" l="1"/>
  <c r="A378" i="15"/>
  <c r="E116" i="15"/>
  <c r="F116" i="15"/>
  <c r="G116" i="15"/>
  <c r="J113" i="15"/>
  <c r="K113" i="15"/>
  <c r="L113" i="15" s="1"/>
  <c r="I114" i="15"/>
  <c r="G115" i="15"/>
  <c r="E115" i="15"/>
  <c r="F115" i="15"/>
  <c r="B379" i="15" l="1"/>
  <c r="A379" i="15"/>
  <c r="I115" i="15"/>
  <c r="J115" i="15" s="1"/>
  <c r="E117" i="15"/>
  <c r="G117" i="15"/>
  <c r="F117" i="15"/>
  <c r="I116" i="15"/>
  <c r="J114" i="15"/>
  <c r="K114" i="15"/>
  <c r="L114" i="15" s="1"/>
  <c r="B380" i="15" l="1"/>
  <c r="A380" i="15"/>
  <c r="A381" i="15" s="1"/>
  <c r="L115" i="15"/>
  <c r="I117" i="15"/>
  <c r="K117" i="15" s="1"/>
  <c r="L117" i="15" s="1"/>
  <c r="K116" i="15"/>
  <c r="L116" i="15" s="1"/>
  <c r="J116" i="15"/>
  <c r="G118" i="15"/>
  <c r="F118" i="15"/>
  <c r="E118" i="15"/>
  <c r="A382" i="15" l="1"/>
  <c r="B381" i="15"/>
  <c r="B382" i="15"/>
  <c r="J117" i="15"/>
  <c r="G119" i="15"/>
  <c r="F119" i="15"/>
  <c r="E119" i="15"/>
  <c r="I118" i="15"/>
  <c r="B383" i="15" l="1"/>
  <c r="A383" i="15"/>
  <c r="I119" i="15"/>
  <c r="J119" i="15" s="1"/>
  <c r="J118" i="15"/>
  <c r="K118" i="15"/>
  <c r="L118" i="15" s="1"/>
  <c r="E120" i="15"/>
  <c r="G120" i="15"/>
  <c r="F120" i="15"/>
  <c r="B384" i="15" l="1"/>
  <c r="A384" i="15"/>
  <c r="K119" i="15"/>
  <c r="L119" i="15" s="1"/>
  <c r="I120" i="15"/>
  <c r="F121" i="15"/>
  <c r="E121" i="15"/>
  <c r="G121" i="15"/>
  <c r="B385" i="15" l="1"/>
  <c r="A385" i="15"/>
  <c r="I121" i="15"/>
  <c r="F123" i="15"/>
  <c r="E123" i="15"/>
  <c r="G123" i="15"/>
  <c r="K120" i="15"/>
  <c r="L120" i="15" s="1"/>
  <c r="J120" i="15"/>
  <c r="B386" i="15" l="1"/>
  <c r="A386" i="15"/>
  <c r="I123" i="15"/>
  <c r="F122" i="15"/>
  <c r="E122" i="15"/>
  <c r="G122" i="15"/>
  <c r="K121" i="15"/>
  <c r="L121" i="15" s="1"/>
  <c r="J121" i="15"/>
  <c r="E124" i="15"/>
  <c r="F124" i="15"/>
  <c r="G124" i="15"/>
  <c r="B387" i="15" l="1"/>
  <c r="A387" i="15"/>
  <c r="I124" i="15"/>
  <c r="I122" i="15"/>
  <c r="F125" i="15"/>
  <c r="G125" i="15"/>
  <c r="E125" i="15"/>
  <c r="J123" i="15"/>
  <c r="K123" i="15"/>
  <c r="L123" i="15" s="1"/>
  <c r="B389" i="15" l="1"/>
  <c r="A389" i="15"/>
  <c r="A388" i="15" s="1"/>
  <c r="F126" i="15"/>
  <c r="G126" i="15"/>
  <c r="E126" i="15"/>
  <c r="I125" i="15"/>
  <c r="L122" i="15"/>
  <c r="J122" i="15"/>
  <c r="K124" i="15"/>
  <c r="L124" i="15" s="1"/>
  <c r="J124" i="15"/>
  <c r="A390" i="15" l="1"/>
  <c r="B390" i="15"/>
  <c r="B388" i="15"/>
  <c r="K125" i="15"/>
  <c r="L125" i="15" s="1"/>
  <c r="J125" i="15"/>
  <c r="I126" i="15"/>
  <c r="F127" i="15"/>
  <c r="G127" i="15"/>
  <c r="E127" i="15"/>
  <c r="B391" i="15" l="1"/>
  <c r="A391" i="15"/>
  <c r="I127" i="15"/>
  <c r="K127" i="15" s="1"/>
  <c r="L127" i="15" s="1"/>
  <c r="E128" i="15"/>
  <c r="F128" i="15"/>
  <c r="G128" i="15"/>
  <c r="J126" i="15"/>
  <c r="K126" i="15"/>
  <c r="L126" i="15" s="1"/>
  <c r="J127" i="15" l="1"/>
  <c r="B392" i="15"/>
  <c r="A392" i="15"/>
  <c r="I128" i="15"/>
  <c r="G129" i="15"/>
  <c r="F129" i="15"/>
  <c r="E129" i="15"/>
  <c r="F130" i="15"/>
  <c r="E130" i="15"/>
  <c r="G130" i="15"/>
  <c r="B393" i="15" l="1"/>
  <c r="A393" i="15"/>
  <c r="I130" i="15"/>
  <c r="J130" i="15" s="1"/>
  <c r="F131" i="15"/>
  <c r="G131" i="15"/>
  <c r="E131" i="15"/>
  <c r="I129" i="15"/>
  <c r="K128" i="15"/>
  <c r="L128" i="15" s="1"/>
  <c r="J128" i="15"/>
  <c r="B394" i="15" l="1"/>
  <c r="A394" i="15"/>
  <c r="A395" i="15" s="1"/>
  <c r="K130" i="15"/>
  <c r="L130" i="15" s="1"/>
  <c r="I131" i="15"/>
  <c r="E132" i="15"/>
  <c r="G132" i="15"/>
  <c r="F132" i="15"/>
  <c r="J129" i="15"/>
  <c r="L129" i="15"/>
  <c r="A396" i="15" l="1"/>
  <c r="B395" i="15"/>
  <c r="B396" i="15"/>
  <c r="I132" i="15"/>
  <c r="F133" i="15"/>
  <c r="G133" i="15"/>
  <c r="E133" i="15"/>
  <c r="K131" i="15"/>
  <c r="L131" i="15" s="1"/>
  <c r="J131" i="15"/>
  <c r="B397" i="15" l="1"/>
  <c r="A397" i="15"/>
  <c r="K132" i="15"/>
  <c r="L132" i="15" s="1"/>
  <c r="J132" i="15"/>
  <c r="I133" i="15"/>
  <c r="E134" i="15"/>
  <c r="G134" i="15"/>
  <c r="F134" i="15"/>
  <c r="B398" i="15" l="1"/>
  <c r="A398" i="15"/>
  <c r="K133" i="15"/>
  <c r="L133" i="15" s="1"/>
  <c r="J133" i="15"/>
  <c r="G135" i="15"/>
  <c r="F135" i="15"/>
  <c r="E135" i="15"/>
  <c r="I134" i="15"/>
  <c r="B399" i="15" l="1"/>
  <c r="A399" i="15"/>
  <c r="I135" i="15"/>
  <c r="E137" i="15"/>
  <c r="F137" i="15"/>
  <c r="G137" i="15"/>
  <c r="K134" i="15"/>
  <c r="L134" i="15" s="1"/>
  <c r="J134" i="15"/>
  <c r="B400" i="15" l="1"/>
  <c r="A400" i="15"/>
  <c r="F136" i="15"/>
  <c r="E136" i="15"/>
  <c r="G136" i="15"/>
  <c r="K135" i="15"/>
  <c r="L135" i="15" s="1"/>
  <c r="J135" i="15"/>
  <c r="I137" i="15"/>
  <c r="E138" i="15"/>
  <c r="F138" i="15"/>
  <c r="G138" i="15"/>
  <c r="B401" i="15" l="1"/>
  <c r="A401" i="15"/>
  <c r="G139" i="15"/>
  <c r="E139" i="15"/>
  <c r="F139" i="15"/>
  <c r="I138" i="15"/>
  <c r="J137" i="15"/>
  <c r="K137" i="15"/>
  <c r="L137" i="15" s="1"/>
  <c r="I136" i="15"/>
  <c r="B403" i="15" l="1"/>
  <c r="A403" i="15"/>
  <c r="A402" i="15" s="1"/>
  <c r="I139" i="15"/>
  <c r="J139" i="15" s="1"/>
  <c r="K139" i="15"/>
  <c r="L139" i="15" s="1"/>
  <c r="G140" i="15"/>
  <c r="E140" i="15"/>
  <c r="F140" i="15"/>
  <c r="J136" i="15"/>
  <c r="L136" i="15"/>
  <c r="J138" i="15"/>
  <c r="K138" i="15"/>
  <c r="L138" i="15" s="1"/>
  <c r="A404" i="15" l="1"/>
  <c r="B404" i="15"/>
  <c r="B402" i="15"/>
  <c r="I140" i="15"/>
  <c r="J140" i="15"/>
  <c r="K140" i="15"/>
  <c r="L140" i="15" s="1"/>
  <c r="G141" i="15"/>
  <c r="F141" i="15"/>
  <c r="E141" i="15"/>
  <c r="B405" i="15" l="1"/>
  <c r="A405" i="15"/>
  <c r="I141" i="15"/>
  <c r="G142" i="15"/>
  <c r="F142" i="15"/>
  <c r="E142" i="15"/>
  <c r="B406" i="15" l="1"/>
  <c r="A406" i="15"/>
  <c r="I142" i="15"/>
  <c r="E143" i="15"/>
  <c r="F143" i="15"/>
  <c r="G143" i="15"/>
  <c r="K141" i="15"/>
  <c r="L141" i="15" s="1"/>
  <c r="J141" i="15"/>
  <c r="F144" i="15"/>
  <c r="E144" i="15"/>
  <c r="G144" i="15"/>
  <c r="B407" i="15" l="1"/>
  <c r="A407" i="15"/>
  <c r="I143" i="15"/>
  <c r="I144" i="15"/>
  <c r="F145" i="15"/>
  <c r="E145" i="15"/>
  <c r="G145" i="15"/>
  <c r="K142" i="15"/>
  <c r="L142" i="15" s="1"/>
  <c r="J142" i="15"/>
  <c r="B408" i="15" l="1"/>
  <c r="A408" i="15"/>
  <c r="A409" i="15" s="1"/>
  <c r="J144" i="15"/>
  <c r="K144" i="15"/>
  <c r="L144" i="15" s="1"/>
  <c r="F146" i="15"/>
  <c r="G146" i="15"/>
  <c r="E146" i="15"/>
  <c r="I145" i="15"/>
  <c r="J143" i="15"/>
  <c r="L143" i="15"/>
  <c r="A410" i="15" l="1"/>
  <c r="B410" i="15"/>
  <c r="B409" i="15"/>
  <c r="I146" i="15"/>
  <c r="J145" i="15"/>
  <c r="K145" i="15"/>
  <c r="L145" i="15" s="1"/>
  <c r="F147" i="15"/>
  <c r="E147" i="15"/>
  <c r="G147" i="15"/>
  <c r="B411" i="15" l="1"/>
  <c r="A411" i="15"/>
  <c r="I147" i="15"/>
  <c r="J147" i="15" s="1"/>
  <c r="J146" i="15"/>
  <c r="K146" i="15"/>
  <c r="L146" i="15" s="1"/>
  <c r="F148" i="15"/>
  <c r="E148" i="15"/>
  <c r="G148" i="15"/>
  <c r="K147" i="15" l="1"/>
  <c r="L147" i="15" s="1"/>
  <c r="B412" i="15"/>
  <c r="A412" i="15"/>
  <c r="G149" i="15"/>
  <c r="F149" i="15"/>
  <c r="E149" i="15"/>
  <c r="I148" i="15"/>
  <c r="B413" i="15" l="1"/>
  <c r="A413" i="15"/>
  <c r="I149" i="15"/>
  <c r="K149" i="15" s="1"/>
  <c r="L149" i="15" s="1"/>
  <c r="K148" i="15"/>
  <c r="L148" i="15" s="1"/>
  <c r="J148" i="15"/>
  <c r="F151" i="15"/>
  <c r="G151" i="15"/>
  <c r="E151" i="15"/>
  <c r="J149" i="15" l="1"/>
  <c r="B414" i="15"/>
  <c r="A414" i="15"/>
  <c r="F150" i="15"/>
  <c r="E150" i="15"/>
  <c r="G150" i="15"/>
  <c r="E152" i="15"/>
  <c r="G152" i="15"/>
  <c r="F152" i="15"/>
  <c r="I151" i="15"/>
  <c r="B415" i="15" l="1"/>
  <c r="A415" i="15"/>
  <c r="I152" i="15"/>
  <c r="I150" i="15"/>
  <c r="K151" i="15"/>
  <c r="L151" i="15" s="1"/>
  <c r="J151" i="15"/>
  <c r="E153" i="15"/>
  <c r="G153" i="15"/>
  <c r="F153" i="15"/>
  <c r="B417" i="15" l="1"/>
  <c r="A417" i="15"/>
  <c r="A416" i="15" s="1"/>
  <c r="I153" i="15"/>
  <c r="J153" i="15" s="1"/>
  <c r="J150" i="15"/>
  <c r="L150" i="15"/>
  <c r="J152" i="15"/>
  <c r="K152" i="15"/>
  <c r="L152" i="15" s="1"/>
  <c r="K153" i="15"/>
  <c r="G154" i="15"/>
  <c r="F154" i="15"/>
  <c r="E154" i="15"/>
  <c r="A418" i="15" l="1"/>
  <c r="B416" i="15"/>
  <c r="B418" i="15"/>
  <c r="L153" i="15"/>
  <c r="I154" i="15"/>
  <c r="J154" i="15" s="1"/>
  <c r="F155" i="15"/>
  <c r="G155" i="15"/>
  <c r="E155" i="15"/>
  <c r="K154" i="15"/>
  <c r="L154" i="15" s="1"/>
  <c r="B419" i="15" l="1"/>
  <c r="A419" i="15"/>
  <c r="G156" i="15"/>
  <c r="E156" i="15"/>
  <c r="F156" i="15"/>
  <c r="I155" i="15"/>
  <c r="B420" i="15" l="1"/>
  <c r="A420" i="15"/>
  <c r="J155" i="15"/>
  <c r="K155" i="15"/>
  <c r="L155" i="15" s="1"/>
  <c r="I156" i="15"/>
  <c r="G157" i="15"/>
  <c r="E157" i="15"/>
  <c r="F157" i="15"/>
  <c r="G158" i="15"/>
  <c r="E158" i="15"/>
  <c r="F158" i="15"/>
  <c r="B421" i="15" l="1"/>
  <c r="A421" i="15"/>
  <c r="I158" i="15"/>
  <c r="J158" i="15" s="1"/>
  <c r="F159" i="15"/>
  <c r="G159" i="15"/>
  <c r="E159" i="15"/>
  <c r="I157" i="15"/>
  <c r="K156" i="15"/>
  <c r="L156" i="15" s="1"/>
  <c r="J156" i="15"/>
  <c r="K158" i="15" l="1"/>
  <c r="L158" i="15" s="1"/>
  <c r="B422" i="15"/>
  <c r="A422" i="15"/>
  <c r="A423" i="15" s="1"/>
  <c r="J157" i="15"/>
  <c r="L157" i="15"/>
  <c r="G160" i="15"/>
  <c r="F160" i="15"/>
  <c r="E160" i="15"/>
  <c r="I159" i="15"/>
  <c r="A424" i="15" l="1"/>
  <c r="B424" i="15"/>
  <c r="B423" i="15"/>
  <c r="K159" i="15"/>
  <c r="L159" i="15" s="1"/>
  <c r="J159" i="15"/>
  <c r="I160" i="15"/>
  <c r="E161" i="15"/>
  <c r="G161" i="15"/>
  <c r="F161" i="15"/>
  <c r="B425" i="15" l="1"/>
  <c r="A425" i="15"/>
  <c r="F162" i="15"/>
  <c r="E162" i="15"/>
  <c r="G162" i="15"/>
  <c r="K160" i="15"/>
  <c r="L160" i="15" s="1"/>
  <c r="J160" i="15"/>
  <c r="I161" i="15"/>
  <c r="B426" i="15" l="1"/>
  <c r="A426" i="15"/>
  <c r="I162" i="15"/>
  <c r="J161" i="15"/>
  <c r="K161" i="15"/>
  <c r="L161" i="15" s="1"/>
  <c r="E163" i="15"/>
  <c r="F163" i="15"/>
  <c r="G163" i="15"/>
  <c r="B427" i="15" l="1"/>
  <c r="A427" i="15"/>
  <c r="K162" i="15"/>
  <c r="L162" i="15" s="1"/>
  <c r="J162" i="15"/>
  <c r="I163" i="15"/>
  <c r="E165" i="15"/>
  <c r="F165" i="15"/>
  <c r="G165" i="15"/>
  <c r="B428" i="15" l="1"/>
  <c r="A428" i="15"/>
  <c r="G164" i="15"/>
  <c r="E164" i="15"/>
  <c r="F164" i="15"/>
  <c r="J163" i="15"/>
  <c r="K163" i="15"/>
  <c r="L163" i="15" s="1"/>
  <c r="F166" i="15"/>
  <c r="G166" i="15"/>
  <c r="E166" i="15"/>
  <c r="I165" i="15"/>
  <c r="B429" i="15" l="1"/>
  <c r="A429" i="15"/>
  <c r="I164" i="15"/>
  <c r="L164" i="15" s="1"/>
  <c r="I166" i="15"/>
  <c r="J165" i="15"/>
  <c r="K165" i="15"/>
  <c r="L165" i="15" s="1"/>
  <c r="E167" i="15"/>
  <c r="F167" i="15"/>
  <c r="G167" i="15"/>
  <c r="B431" i="15" l="1"/>
  <c r="A431" i="15"/>
  <c r="A430" i="15" s="1"/>
  <c r="J164" i="15"/>
  <c r="K166" i="15"/>
  <c r="L166" i="15" s="1"/>
  <c r="J166" i="15"/>
  <c r="E168" i="15"/>
  <c r="F168" i="15"/>
  <c r="G168" i="15"/>
  <c r="I167" i="15"/>
  <c r="A432" i="15" l="1"/>
  <c r="B432" i="15"/>
  <c r="B430" i="15"/>
  <c r="I168" i="15"/>
  <c r="J167" i="15"/>
  <c r="K167" i="15"/>
  <c r="L167" i="15" s="1"/>
  <c r="E169" i="15"/>
  <c r="G169" i="15"/>
  <c r="F169" i="15"/>
  <c r="B433" i="15" l="1"/>
  <c r="A433" i="15"/>
  <c r="J168" i="15"/>
  <c r="K168" i="15"/>
  <c r="L168" i="15" s="1"/>
  <c r="I169" i="15"/>
  <c r="F170" i="15"/>
  <c r="E170" i="15"/>
  <c r="G170" i="15"/>
  <c r="B434" i="15" l="1"/>
  <c r="A434" i="15"/>
  <c r="I170" i="15"/>
  <c r="J170" i="15" s="1"/>
  <c r="J169" i="15"/>
  <c r="K169" i="15"/>
  <c r="L169" i="15" s="1"/>
  <c r="E171" i="15"/>
  <c r="G171" i="15"/>
  <c r="F171" i="15"/>
  <c r="K170" i="15"/>
  <c r="L170" i="15" s="1"/>
  <c r="F172" i="15"/>
  <c r="E172" i="15"/>
  <c r="G172" i="15"/>
  <c r="B435" i="15" l="1"/>
  <c r="A435" i="15"/>
  <c r="E173" i="15"/>
  <c r="G173" i="15"/>
  <c r="F173" i="15"/>
  <c r="I172" i="15"/>
  <c r="I171" i="15"/>
  <c r="B436" i="15" l="1"/>
  <c r="A436" i="15"/>
  <c r="A437" i="15" s="1"/>
  <c r="I173" i="15"/>
  <c r="G174" i="15"/>
  <c r="F174" i="15"/>
  <c r="E174" i="15"/>
  <c r="J171" i="15"/>
  <c r="L171" i="15"/>
  <c r="J173" i="15"/>
  <c r="K173" i="15"/>
  <c r="L173" i="15" s="1"/>
  <c r="K172" i="15"/>
  <c r="L172" i="15" s="1"/>
  <c r="J172" i="15"/>
  <c r="A438" i="15" l="1"/>
  <c r="B438" i="15"/>
  <c r="B437" i="15"/>
  <c r="I174" i="15"/>
  <c r="K174" i="15"/>
  <c r="L174" i="15" s="1"/>
  <c r="J174" i="15"/>
  <c r="G175" i="15"/>
  <c r="E175" i="15"/>
  <c r="F175" i="15"/>
  <c r="B439" i="15" l="1"/>
  <c r="A439" i="15"/>
  <c r="I175" i="15"/>
  <c r="J175" i="15" s="1"/>
  <c r="K175" i="15"/>
  <c r="L175" i="15" s="1"/>
  <c r="G176" i="15"/>
  <c r="F176" i="15"/>
  <c r="E176" i="15"/>
  <c r="B440" i="15" l="1"/>
  <c r="A440" i="15"/>
  <c r="I176" i="15"/>
  <c r="F177" i="15"/>
  <c r="G177" i="15"/>
  <c r="E177" i="15"/>
  <c r="B441" i="15" l="1"/>
  <c r="A441" i="15"/>
  <c r="E179" i="15"/>
  <c r="F179" i="15"/>
  <c r="G179" i="15"/>
  <c r="I177" i="15"/>
  <c r="J176" i="15"/>
  <c r="K176" i="15"/>
  <c r="L176" i="15" s="1"/>
  <c r="B442" i="15" l="1"/>
  <c r="A442" i="15"/>
  <c r="K177" i="15"/>
  <c r="L177" i="15" s="1"/>
  <c r="J177" i="15"/>
  <c r="G178" i="15"/>
  <c r="F178" i="15"/>
  <c r="E178" i="15"/>
  <c r="I179" i="15"/>
  <c r="G180" i="15"/>
  <c r="F180" i="15"/>
  <c r="E180" i="15"/>
  <c r="B443" i="15" l="1"/>
  <c r="A443" i="15"/>
  <c r="I180" i="15"/>
  <c r="J180" i="15" s="1"/>
  <c r="I178" i="15"/>
  <c r="J179" i="15"/>
  <c r="K179" i="15"/>
  <c r="L179" i="15" s="1"/>
  <c r="E181" i="15"/>
  <c r="G181" i="15"/>
  <c r="F181" i="15"/>
  <c r="K180" i="15" l="1"/>
  <c r="L180" i="15" s="1"/>
  <c r="B445" i="15"/>
  <c r="A445" i="15"/>
  <c r="A444" i="15" s="1"/>
  <c r="E182" i="15"/>
  <c r="F182" i="15"/>
  <c r="G182" i="15"/>
  <c r="I181" i="15"/>
  <c r="L178" i="15"/>
  <c r="J178" i="15"/>
  <c r="A446" i="15" l="1"/>
  <c r="B446" i="15"/>
  <c r="B444" i="15"/>
  <c r="J181" i="15"/>
  <c r="K181" i="15"/>
  <c r="L181" i="15" s="1"/>
  <c r="I182" i="15"/>
  <c r="G183" i="15"/>
  <c r="E183" i="15"/>
  <c r="F183" i="15"/>
  <c r="B447" i="15" l="1"/>
  <c r="A447" i="15"/>
  <c r="I183" i="15"/>
  <c r="K182" i="15"/>
  <c r="L182" i="15" s="1"/>
  <c r="J182" i="15"/>
  <c r="G184" i="15"/>
  <c r="E184" i="15"/>
  <c r="F184" i="15"/>
  <c r="B448" i="15" l="1"/>
  <c r="A448" i="15"/>
  <c r="G185" i="15"/>
  <c r="E185" i="15"/>
  <c r="F185" i="15"/>
  <c r="K183" i="15"/>
  <c r="L183" i="15" s="1"/>
  <c r="J183" i="15"/>
  <c r="I184" i="15"/>
  <c r="E186" i="15"/>
  <c r="F186" i="15"/>
  <c r="G186" i="15"/>
  <c r="I185" i="15" l="1"/>
  <c r="J185" i="15" s="1"/>
  <c r="B449" i="15"/>
  <c r="A449" i="15"/>
  <c r="E187" i="15"/>
  <c r="F187" i="15"/>
  <c r="G187" i="15"/>
  <c r="L185" i="15"/>
  <c r="I186" i="15"/>
  <c r="J184" i="15"/>
  <c r="K184" i="15"/>
  <c r="L184" i="15" s="1"/>
  <c r="B450" i="15" l="1"/>
  <c r="A450" i="15"/>
  <c r="A451" i="15" s="1"/>
  <c r="I187" i="15"/>
  <c r="K186" i="15"/>
  <c r="L186" i="15" s="1"/>
  <c r="J186" i="15"/>
  <c r="G188" i="15"/>
  <c r="E188" i="15"/>
  <c r="F188" i="15"/>
  <c r="A452" i="15" l="1"/>
  <c r="B452" i="15"/>
  <c r="B451" i="15"/>
  <c r="F189" i="15"/>
  <c r="G189" i="15"/>
  <c r="E189" i="15"/>
  <c r="I188" i="15"/>
  <c r="K187" i="15"/>
  <c r="L187" i="15" s="1"/>
  <c r="J187" i="15"/>
  <c r="B453" i="15" l="1"/>
  <c r="A453" i="15"/>
  <c r="K188" i="15"/>
  <c r="L188" i="15" s="1"/>
  <c r="J188" i="15"/>
  <c r="I189" i="15"/>
  <c r="F190" i="15"/>
  <c r="E190" i="15"/>
  <c r="G190" i="15"/>
  <c r="B454" i="15" l="1"/>
  <c r="A454" i="15"/>
  <c r="I190" i="15"/>
  <c r="J190" i="15" s="1"/>
  <c r="F191" i="15"/>
  <c r="E191" i="15"/>
  <c r="G191" i="15"/>
  <c r="K190" i="15"/>
  <c r="L190" i="15" s="1"/>
  <c r="J189" i="15"/>
  <c r="K189" i="15"/>
  <c r="L189" i="15" s="1"/>
  <c r="B455" i="15" l="1"/>
  <c r="A455" i="15"/>
  <c r="F193" i="15"/>
  <c r="E193" i="15"/>
  <c r="G193" i="15"/>
  <c r="I191" i="15"/>
  <c r="B456" i="15" l="1"/>
  <c r="A456" i="15"/>
  <c r="K191" i="15"/>
  <c r="L191" i="15" s="1"/>
  <c r="J191" i="15"/>
  <c r="G194" i="15"/>
  <c r="E194" i="15"/>
  <c r="F194" i="15"/>
  <c r="F192" i="15"/>
  <c r="E192" i="15"/>
  <c r="G192" i="15"/>
  <c r="I193" i="15"/>
  <c r="B457" i="15" l="1"/>
  <c r="A457" i="15"/>
  <c r="I194" i="15"/>
  <c r="J193" i="15"/>
  <c r="K193" i="15"/>
  <c r="L193" i="15" s="1"/>
  <c r="I192" i="15"/>
  <c r="G195" i="15"/>
  <c r="F195" i="15"/>
  <c r="E195" i="15"/>
  <c r="B459" i="15" l="1"/>
  <c r="A459" i="15"/>
  <c r="A458" i="15" s="1"/>
  <c r="F196" i="15"/>
  <c r="G196" i="15"/>
  <c r="E196" i="15"/>
  <c r="L192" i="15"/>
  <c r="J192" i="15"/>
  <c r="I195" i="15"/>
  <c r="J194" i="15"/>
  <c r="K194" i="15"/>
  <c r="L194" i="15" s="1"/>
  <c r="A460" i="15" l="1"/>
  <c r="B460" i="15"/>
  <c r="B458" i="15"/>
  <c r="I196" i="15"/>
  <c r="J195" i="15"/>
  <c r="K195" i="15"/>
  <c r="L195" i="15" s="1"/>
  <c r="F197" i="15"/>
  <c r="E197" i="15"/>
  <c r="G197" i="15"/>
  <c r="B461" i="15" l="1"/>
  <c r="A461" i="15"/>
  <c r="I197" i="15"/>
  <c r="K197" i="15" s="1"/>
  <c r="L197" i="15" s="1"/>
  <c r="G198" i="15"/>
  <c r="F198" i="15"/>
  <c r="E198" i="15"/>
  <c r="K196" i="15"/>
  <c r="L196" i="15" s="1"/>
  <c r="J196" i="15"/>
  <c r="J197" i="15" l="1"/>
  <c r="B462" i="15"/>
  <c r="A462" i="15"/>
  <c r="I198" i="15"/>
  <c r="K198" i="15" s="1"/>
  <c r="E199" i="15"/>
  <c r="G199" i="15"/>
  <c r="F199" i="15"/>
  <c r="F200" i="15"/>
  <c r="E200" i="15"/>
  <c r="G200" i="15"/>
  <c r="B463" i="15" l="1"/>
  <c r="A463" i="15"/>
  <c r="L198" i="15"/>
  <c r="J198" i="15"/>
  <c r="I199" i="15"/>
  <c r="L199" i="15" s="1"/>
  <c r="J199" i="15"/>
  <c r="G201" i="15"/>
  <c r="E201" i="15"/>
  <c r="F201" i="15" s="1"/>
  <c r="I200" i="15"/>
  <c r="B464" i="15" l="1"/>
  <c r="A464" i="15"/>
  <c r="A465" i="15" s="1"/>
  <c r="I201" i="15"/>
  <c r="J201" i="15" s="1"/>
  <c r="J200" i="15"/>
  <c r="K200" i="15"/>
  <c r="L200" i="15" s="1"/>
  <c r="E202" i="15"/>
  <c r="F202" i="15" s="1"/>
  <c r="G202" i="15"/>
  <c r="A466" i="15" l="1"/>
  <c r="B465" i="15"/>
  <c r="B466" i="15"/>
  <c r="K201" i="15"/>
  <c r="L201" i="15" s="1"/>
  <c r="E203" i="15"/>
  <c r="F203" i="15" s="1"/>
  <c r="G203" i="15"/>
  <c r="I202" i="15"/>
  <c r="I203" i="15" l="1"/>
  <c r="J203" i="15" s="1"/>
  <c r="G204" i="15"/>
  <c r="E204" i="15"/>
  <c r="F204" i="15" s="1"/>
  <c r="I204" i="15" s="1"/>
  <c r="J202" i="15"/>
  <c r="K202" i="15"/>
  <c r="L202" i="15" s="1"/>
  <c r="K203" i="15" l="1"/>
  <c r="L203" i="15" s="1"/>
  <c r="J204" i="15"/>
  <c r="K204" i="15"/>
  <c r="L204" i="15" s="1"/>
  <c r="G205" i="15"/>
  <c r="E205" i="15"/>
  <c r="F205" i="15" s="1"/>
  <c r="I205" i="15" s="1"/>
  <c r="K205" i="15" l="1"/>
  <c r="L205" i="15" s="1"/>
  <c r="J205" i="15"/>
  <c r="G207" i="15"/>
  <c r="E207" i="15"/>
  <c r="F207" i="15" s="1"/>
  <c r="I207" i="15" l="1"/>
  <c r="K207" i="15"/>
  <c r="L207" i="15" s="1"/>
  <c r="J207" i="15"/>
  <c r="E206" i="15"/>
  <c r="F206" i="15" s="1"/>
  <c r="G206" i="15"/>
  <c r="G208" i="15"/>
  <c r="E208" i="15"/>
  <c r="F208" i="15" s="1"/>
  <c r="I206" i="15" l="1"/>
  <c r="L206" i="15" s="1"/>
  <c r="I208" i="15"/>
  <c r="K208" i="15"/>
  <c r="L208" i="15" s="1"/>
  <c r="J208" i="15"/>
  <c r="E209" i="15"/>
  <c r="F209" i="15" s="1"/>
  <c r="G209" i="15"/>
  <c r="J206" i="15" l="1"/>
  <c r="I209" i="15"/>
  <c r="E210" i="15"/>
  <c r="F210" i="15" s="1"/>
  <c r="G210" i="15"/>
  <c r="I210" i="15" l="1"/>
  <c r="K210" i="15" s="1"/>
  <c r="G211" i="15"/>
  <c r="E211" i="15"/>
  <c r="F211" i="15" s="1"/>
  <c r="K209" i="15"/>
  <c r="L209" i="15" s="1"/>
  <c r="J209" i="15"/>
  <c r="I211" i="15" l="1"/>
  <c r="L210" i="15"/>
  <c r="J210" i="15"/>
  <c r="K211" i="15"/>
  <c r="L211" i="15" s="1"/>
  <c r="J211" i="15"/>
  <c r="E212" i="15"/>
  <c r="F212" i="15" s="1"/>
  <c r="G212" i="15"/>
  <c r="G214" i="15" l="1"/>
  <c r="E214" i="15"/>
  <c r="F214" i="15" s="1"/>
  <c r="E213" i="15"/>
  <c r="F213" i="15" s="1"/>
  <c r="G213" i="15"/>
  <c r="I212" i="15"/>
  <c r="I214" i="15" l="1"/>
  <c r="K214" i="15" s="1"/>
  <c r="L214" i="15" s="1"/>
  <c r="I213" i="15"/>
  <c r="G215" i="15"/>
  <c r="E215" i="15"/>
  <c r="F215" i="15" s="1"/>
  <c r="J212" i="15"/>
  <c r="K212" i="15"/>
  <c r="L212" i="15" s="1"/>
  <c r="I215" i="15" l="1"/>
  <c r="J214" i="15"/>
  <c r="J215" i="15"/>
  <c r="K215" i="15"/>
  <c r="L215" i="15" s="1"/>
  <c r="L213" i="15"/>
  <c r="J213" i="15"/>
  <c r="E216" i="15"/>
  <c r="F216" i="15" s="1"/>
  <c r="G216" i="15"/>
  <c r="I216" i="15" l="1"/>
  <c r="K216" i="15" s="1"/>
  <c r="L216" i="15" s="1"/>
  <c r="J216" i="15"/>
  <c r="G217" i="15"/>
  <c r="E217" i="15"/>
  <c r="F217" i="15"/>
  <c r="G218" i="15" l="1"/>
  <c r="E218" i="15"/>
  <c r="F218" i="15" s="1"/>
  <c r="I217" i="15"/>
  <c r="I218" i="15" l="1"/>
  <c r="K218" i="15" s="1"/>
  <c r="L218" i="15" s="1"/>
  <c r="J217" i="15"/>
  <c r="K217" i="15"/>
  <c r="L217" i="15" s="1"/>
  <c r="E219" i="15"/>
  <c r="F219" i="15" s="1"/>
  <c r="G219" i="15"/>
  <c r="J218" i="15" l="1"/>
  <c r="I219" i="15"/>
  <c r="G221" i="15"/>
  <c r="E221" i="15"/>
  <c r="F221" i="15" s="1"/>
  <c r="I221" i="15" l="1"/>
  <c r="J221" i="15" s="1"/>
  <c r="K221" i="15"/>
  <c r="L221" i="15" s="1"/>
  <c r="G220" i="15"/>
  <c r="E220" i="15"/>
  <c r="F220" i="15" s="1"/>
  <c r="J219" i="15"/>
  <c r="K219" i="15"/>
  <c r="L219" i="15" s="1"/>
  <c r="E222" i="15"/>
  <c r="F222" i="15" s="1"/>
  <c r="G222" i="15"/>
  <c r="I220" i="15" l="1"/>
  <c r="J220" i="15" s="1"/>
  <c r="I222" i="15"/>
  <c r="J222" i="15" s="1"/>
  <c r="K222" i="15"/>
  <c r="L222" i="15" s="1"/>
  <c r="G223" i="15"/>
  <c r="E223" i="15"/>
  <c r="F223" i="15" s="1"/>
  <c r="I223" i="15" l="1"/>
  <c r="L220" i="15"/>
  <c r="J223" i="15"/>
  <c r="K223" i="15"/>
  <c r="L223" i="15" s="1"/>
  <c r="G224" i="15"/>
  <c r="E224" i="15"/>
  <c r="F224" i="15" s="1"/>
  <c r="I224" i="15" l="1"/>
  <c r="K224" i="15"/>
  <c r="L224" i="15" s="1"/>
  <c r="J224" i="15"/>
  <c r="G225" i="15"/>
  <c r="E225" i="15"/>
  <c r="F225" i="15" s="1"/>
  <c r="I225" i="15" l="1"/>
  <c r="K225" i="15" s="1"/>
  <c r="L225" i="15" s="1"/>
  <c r="E226" i="15"/>
  <c r="F226" i="15" s="1"/>
  <c r="G226" i="15"/>
  <c r="J225" i="15" l="1"/>
  <c r="I226" i="15"/>
  <c r="K226" i="15"/>
  <c r="L226" i="15" s="1"/>
  <c r="J226" i="15"/>
  <c r="E227" i="15"/>
  <c r="F227" i="15" s="1"/>
  <c r="G227" i="15"/>
  <c r="E228" i="15"/>
  <c r="F228" i="15" s="1"/>
  <c r="G228" i="15"/>
  <c r="I227" i="15" l="1"/>
  <c r="J227" i="15" s="1"/>
  <c r="I228" i="15"/>
  <c r="J228" i="15" s="1"/>
  <c r="G229" i="15"/>
  <c r="E229" i="15"/>
  <c r="F229" i="15" s="1"/>
  <c r="L227" i="15" l="1"/>
  <c r="K228" i="15"/>
  <c r="L228" i="15" s="1"/>
  <c r="I229" i="15"/>
  <c r="G230" i="15"/>
  <c r="E230" i="15"/>
  <c r="F230" i="15" s="1"/>
  <c r="I230" i="15" l="1"/>
  <c r="K230" i="15" s="1"/>
  <c r="L230" i="15" s="1"/>
  <c r="G231" i="15"/>
  <c r="E231" i="15"/>
  <c r="F231" i="15" s="1"/>
  <c r="K229" i="15"/>
  <c r="L229" i="15" s="1"/>
  <c r="J229" i="15"/>
  <c r="I231" i="15" l="1"/>
  <c r="J230" i="15"/>
  <c r="J231" i="15"/>
  <c r="K231" i="15"/>
  <c r="L231" i="15" s="1"/>
  <c r="E232" i="15"/>
  <c r="F232" i="15" s="1"/>
  <c r="G232" i="15"/>
  <c r="I232" i="15" l="1"/>
  <c r="K232" i="15" s="1"/>
  <c r="E233" i="15"/>
  <c r="F233" i="15" s="1"/>
  <c r="G233" i="15"/>
  <c r="L232" i="15" l="1"/>
  <c r="J232" i="15"/>
  <c r="G235" i="15"/>
  <c r="E235" i="15"/>
  <c r="F235" i="15" s="1"/>
  <c r="I235" i="15" s="1"/>
  <c r="I233" i="15"/>
  <c r="J235" i="15" l="1"/>
  <c r="K235" i="15"/>
  <c r="L235" i="15" s="1"/>
  <c r="K233" i="15"/>
  <c r="L233" i="15" s="1"/>
  <c r="J233" i="15"/>
  <c r="G234" i="15"/>
  <c r="E234" i="15"/>
  <c r="F234" i="15" s="1"/>
  <c r="G236" i="15"/>
  <c r="E236" i="15"/>
  <c r="F236" i="15" s="1"/>
  <c r="I236" i="15" l="1"/>
  <c r="I234" i="15"/>
  <c r="K236" i="15"/>
  <c r="L236" i="15" s="1"/>
  <c r="J236" i="15"/>
  <c r="J234" i="15"/>
  <c r="L234" i="15"/>
  <c r="E237" i="15"/>
  <c r="F237" i="15" s="1"/>
  <c r="G237" i="15"/>
  <c r="I237" i="15" l="1"/>
  <c r="J237" i="15" s="1"/>
  <c r="K237" i="15"/>
  <c r="L237" i="15" s="1"/>
  <c r="E238" i="15"/>
  <c r="F238" i="15"/>
  <c r="G238" i="15"/>
  <c r="I238" i="15" l="1"/>
  <c r="K238" i="15" s="1"/>
  <c r="L238" i="15" s="1"/>
  <c r="E239" i="15"/>
  <c r="G239" i="15"/>
  <c r="F239" i="15"/>
  <c r="J238" i="15" l="1"/>
  <c r="I239" i="15"/>
  <c r="J239" i="15" s="1"/>
  <c r="E240" i="15"/>
  <c r="F240" i="15" s="1"/>
  <c r="G240" i="15"/>
  <c r="K239" i="15" l="1"/>
  <c r="L239" i="15" s="1"/>
  <c r="I240" i="15"/>
  <c r="K240" i="15" s="1"/>
  <c r="L240" i="15" s="1"/>
  <c r="G242" i="15"/>
  <c r="E242" i="15"/>
  <c r="F242" i="15" s="1"/>
  <c r="I242" i="15" s="1"/>
  <c r="G241" i="15"/>
  <c r="E241" i="15"/>
  <c r="F241" i="15" s="1"/>
  <c r="J240" i="15" l="1"/>
  <c r="I241" i="15"/>
  <c r="J241" i="15" s="1"/>
  <c r="J242" i="15"/>
  <c r="K242" i="15"/>
  <c r="L242" i="15" s="1"/>
  <c r="G243" i="15"/>
  <c r="E243" i="15"/>
  <c r="F243" i="15" s="1"/>
  <c r="I243" i="15" s="1"/>
  <c r="L241" i="15" l="1"/>
  <c r="J243" i="15"/>
  <c r="K243" i="15"/>
  <c r="L243" i="15" s="1"/>
  <c r="G244" i="15"/>
  <c r="E244" i="15"/>
  <c r="F244" i="15" s="1"/>
  <c r="I244" i="15" s="1"/>
  <c r="K244" i="15" l="1"/>
  <c r="L244" i="15" s="1"/>
  <c r="J244" i="15"/>
  <c r="G245" i="15"/>
  <c r="E245" i="15"/>
  <c r="F245" i="15" s="1"/>
  <c r="I245" i="15" l="1"/>
  <c r="K245" i="15"/>
  <c r="L245" i="15" s="1"/>
  <c r="J245" i="15"/>
  <c r="G246" i="15"/>
  <c r="E246" i="15"/>
  <c r="F246" i="15" s="1"/>
  <c r="I246" i="15" l="1"/>
  <c r="K246" i="15" s="1"/>
  <c r="L246" i="15" s="1"/>
  <c r="E247" i="15"/>
  <c r="F247" i="15"/>
  <c r="G247" i="15"/>
  <c r="J246" i="15" l="1"/>
  <c r="G249" i="15"/>
  <c r="E249" i="15"/>
  <c r="F249" i="15" s="1"/>
  <c r="I249" i="15" s="1"/>
  <c r="I247" i="15"/>
  <c r="G250" i="15" l="1"/>
  <c r="E250" i="15"/>
  <c r="F250" i="15" s="1"/>
  <c r="I250" i="15" s="1"/>
  <c r="J247" i="15"/>
  <c r="K247" i="15"/>
  <c r="L247" i="15" s="1"/>
  <c r="J249" i="15"/>
  <c r="K249" i="15"/>
  <c r="L249" i="15" s="1"/>
  <c r="G248" i="15"/>
  <c r="E248" i="15"/>
  <c r="F248" i="15" s="1"/>
  <c r="I248" i="15" l="1"/>
  <c r="J248" i="15" s="1"/>
  <c r="K250" i="15"/>
  <c r="L250" i="15" s="1"/>
  <c r="J250" i="15"/>
  <c r="G251" i="15"/>
  <c r="E251" i="15"/>
  <c r="F251" i="15" s="1"/>
  <c r="I251" i="15" s="1"/>
  <c r="L248" i="15" l="1"/>
  <c r="J251" i="15"/>
  <c r="K251" i="15"/>
  <c r="L251" i="15" s="1"/>
  <c r="E252" i="15"/>
  <c r="F252" i="15" s="1"/>
  <c r="G252" i="15"/>
  <c r="I252" i="15" l="1"/>
  <c r="G253" i="15"/>
  <c r="E253" i="15"/>
  <c r="F253" i="15" s="1"/>
  <c r="I253" i="15" s="1"/>
  <c r="K253" i="15" l="1"/>
  <c r="L253" i="15" s="1"/>
  <c r="J253" i="15"/>
  <c r="E254" i="15"/>
  <c r="F254" i="15"/>
  <c r="G254" i="15"/>
  <c r="J252" i="15"/>
  <c r="K252" i="15"/>
  <c r="L252" i="15" s="1"/>
  <c r="I254" i="15" l="1"/>
  <c r="J254" i="15"/>
  <c r="K254" i="15"/>
  <c r="L254" i="15" s="1"/>
  <c r="E255" i="15"/>
  <c r="G255" i="15"/>
  <c r="F255" i="15"/>
  <c r="G256" i="15"/>
  <c r="E256" i="15"/>
  <c r="F256" i="15" s="1"/>
  <c r="I255" i="15" l="1"/>
  <c r="J255" i="15" s="1"/>
  <c r="I256" i="15"/>
  <c r="G257" i="15"/>
  <c r="E257" i="15"/>
  <c r="F257" i="15" s="1"/>
  <c r="I257" i="15" s="1"/>
  <c r="L255" i="15" l="1"/>
  <c r="K257" i="15"/>
  <c r="L257" i="15" s="1"/>
  <c r="J257" i="15"/>
  <c r="G258" i="15"/>
  <c r="E258" i="15"/>
  <c r="F258" i="15" s="1"/>
  <c r="I258" i="15" s="1"/>
  <c r="K256" i="15"/>
  <c r="L256" i="15" s="1"/>
  <c r="J256" i="15"/>
  <c r="K258" i="15" l="1"/>
  <c r="L258" i="15" s="1"/>
  <c r="J258" i="15"/>
  <c r="G259" i="15"/>
  <c r="E259" i="15"/>
  <c r="F259" i="15" s="1"/>
  <c r="I259" i="15" l="1"/>
  <c r="K259" i="15" s="1"/>
  <c r="L259" i="15" s="1"/>
  <c r="E260" i="15"/>
  <c r="F260" i="15" s="1"/>
  <c r="G260" i="15"/>
  <c r="J259" i="15" l="1"/>
  <c r="I260" i="15"/>
  <c r="G261" i="15"/>
  <c r="E261" i="15"/>
  <c r="F261" i="15" s="1"/>
  <c r="I261" i="15" s="1"/>
  <c r="K261" i="15" l="1"/>
  <c r="J261" i="15"/>
  <c r="L261" i="15"/>
  <c r="G263" i="15"/>
  <c r="E263" i="15"/>
  <c r="F263" i="15" s="1"/>
  <c r="I263" i="15" s="1"/>
  <c r="K260" i="15"/>
  <c r="L260" i="15" s="1"/>
  <c r="J260" i="15"/>
  <c r="E262" i="15" l="1"/>
  <c r="F262" i="15"/>
  <c r="G262" i="15"/>
  <c r="K263" i="15"/>
  <c r="L263" i="15" s="1"/>
  <c r="J263" i="15"/>
  <c r="G264" i="15"/>
  <c r="E264" i="15"/>
  <c r="F264" i="15" s="1"/>
  <c r="I264" i="15" l="1"/>
  <c r="J264" i="15" s="1"/>
  <c r="E265" i="15"/>
  <c r="F265" i="15"/>
  <c r="G265" i="15"/>
  <c r="I262" i="15"/>
  <c r="K264" i="15"/>
  <c r="L264" i="15" s="1"/>
  <c r="I265" i="15" l="1"/>
  <c r="J265" i="15" s="1"/>
  <c r="J262" i="15"/>
  <c r="L262" i="15"/>
  <c r="K265" i="15"/>
  <c r="L265" i="15" s="1"/>
  <c r="G266" i="15"/>
  <c r="E266" i="15"/>
  <c r="F266" i="15" s="1"/>
  <c r="G267" i="15" l="1"/>
  <c r="E267" i="15"/>
  <c r="F267" i="15" s="1"/>
  <c r="I267" i="15" s="1"/>
  <c r="I266" i="15"/>
  <c r="K267" i="15" l="1"/>
  <c r="L267" i="15" s="1"/>
  <c r="J267" i="15"/>
  <c r="K266" i="15"/>
  <c r="L266" i="15" s="1"/>
  <c r="J266" i="15"/>
  <c r="E268" i="15"/>
  <c r="F268" i="15" s="1"/>
  <c r="G268" i="15"/>
  <c r="I268" i="15" l="1"/>
  <c r="J268" i="15"/>
  <c r="K268" i="15"/>
  <c r="L268" i="15" s="1"/>
  <c r="G269" i="15"/>
  <c r="E269" i="15"/>
  <c r="F269" i="15" s="1"/>
  <c r="E270" i="15"/>
  <c r="F270" i="15" s="1"/>
  <c r="G270" i="15"/>
  <c r="I269" i="15" l="1"/>
  <c r="E271" i="15"/>
  <c r="F271" i="15" s="1"/>
  <c r="G271" i="15"/>
  <c r="I270" i="15"/>
  <c r="I271" i="15" l="1"/>
  <c r="K271" i="15" s="1"/>
  <c r="L271" i="15" s="1"/>
  <c r="J271" i="15"/>
  <c r="E272" i="15"/>
  <c r="F272" i="15"/>
  <c r="G272" i="15"/>
  <c r="K270" i="15"/>
  <c r="L270" i="15" s="1"/>
  <c r="J270" i="15"/>
  <c r="J269" i="15"/>
  <c r="L269" i="15"/>
  <c r="I272" i="15" l="1"/>
  <c r="K272" i="15"/>
  <c r="L272" i="15" s="1"/>
  <c r="J272" i="15"/>
  <c r="G273" i="15"/>
  <c r="E273" i="15"/>
  <c r="F273" i="15" s="1"/>
  <c r="E274" i="15" l="1"/>
  <c r="F274" i="15" s="1"/>
  <c r="G274" i="15"/>
  <c r="I273" i="15"/>
  <c r="G275" i="15" l="1"/>
  <c r="E275" i="15"/>
  <c r="F275" i="15" s="1"/>
  <c r="J273" i="15"/>
  <c r="K273" i="15"/>
  <c r="L273" i="15" s="1"/>
  <c r="I274" i="15"/>
  <c r="I275" i="15" l="1"/>
  <c r="K274" i="15"/>
  <c r="L274" i="15" s="1"/>
  <c r="J274" i="15"/>
  <c r="G277" i="15"/>
  <c r="E277" i="15"/>
  <c r="F277" i="15" s="1"/>
  <c r="I277" i="15" s="1"/>
  <c r="J275" i="15"/>
  <c r="K275" i="15"/>
  <c r="L275" i="15" s="1"/>
  <c r="K277" i="15" l="1"/>
  <c r="L277" i="15" s="1"/>
  <c r="J277" i="15"/>
  <c r="E276" i="15"/>
  <c r="F276" i="15" s="1"/>
  <c r="G276" i="15"/>
  <c r="E278" i="15"/>
  <c r="F278" i="15" s="1"/>
  <c r="G278" i="15"/>
  <c r="I276" i="15" l="1"/>
  <c r="J276" i="15" s="1"/>
  <c r="E279" i="15"/>
  <c r="F279" i="15" s="1"/>
  <c r="G279" i="15"/>
  <c r="I278" i="15"/>
  <c r="L276" i="15" l="1"/>
  <c r="I279" i="15"/>
  <c r="K278" i="15"/>
  <c r="L278" i="15" s="1"/>
  <c r="J278" i="15"/>
  <c r="K279" i="15"/>
  <c r="L279" i="15" s="1"/>
  <c r="J279" i="15"/>
  <c r="G280" i="15"/>
  <c r="E280" i="15"/>
  <c r="F280" i="15" s="1"/>
  <c r="I280" i="15" s="1"/>
  <c r="J280" i="15" l="1"/>
  <c r="K280" i="15"/>
  <c r="L280" i="15" s="1"/>
  <c r="E281" i="15"/>
  <c r="F281" i="15" s="1"/>
  <c r="G281" i="15"/>
  <c r="I281" i="15" l="1"/>
  <c r="J281" i="15" s="1"/>
  <c r="G282" i="15"/>
  <c r="E282" i="15"/>
  <c r="F282" i="15" s="1"/>
  <c r="I282" i="15" l="1"/>
  <c r="J282" i="15" s="1"/>
  <c r="K281" i="15"/>
  <c r="L281" i="15" s="1"/>
  <c r="G283" i="15"/>
  <c r="E283" i="15"/>
  <c r="F283" i="15" s="1"/>
  <c r="E284" i="15"/>
  <c r="F284" i="15" s="1"/>
  <c r="G284" i="15"/>
  <c r="K282" i="15" l="1"/>
  <c r="L282" i="15" s="1"/>
  <c r="I284" i="15"/>
  <c r="J284" i="15" s="1"/>
  <c r="I283" i="15"/>
  <c r="E285" i="15"/>
  <c r="F285" i="15" s="1"/>
  <c r="G285" i="15"/>
  <c r="K284" i="15" l="1"/>
  <c r="L284" i="15" s="1"/>
  <c r="I285" i="15"/>
  <c r="J285" i="15" s="1"/>
  <c r="E286" i="15"/>
  <c r="F286" i="15" s="1"/>
  <c r="G286" i="15"/>
  <c r="J283" i="15"/>
  <c r="L283" i="15"/>
  <c r="K285" i="15"/>
  <c r="L285" i="15" s="1"/>
  <c r="I286" i="15" l="1"/>
  <c r="G287" i="15"/>
  <c r="E287" i="15"/>
  <c r="F287" i="15" s="1"/>
  <c r="I287" i="15" s="1"/>
  <c r="K287" i="15" l="1"/>
  <c r="L287" i="15" s="1"/>
  <c r="J287" i="15"/>
  <c r="G288" i="15"/>
  <c r="E288" i="15"/>
  <c r="F288" i="15"/>
  <c r="K286" i="15"/>
  <c r="L286" i="15" s="1"/>
  <c r="J286" i="15"/>
  <c r="I288" i="15" l="1"/>
  <c r="J288" i="15" s="1"/>
  <c r="G289" i="15"/>
  <c r="E289" i="15"/>
  <c r="F289" i="15" s="1"/>
  <c r="K288" i="15" l="1"/>
  <c r="L288" i="15" s="1"/>
  <c r="I289" i="15"/>
  <c r="E291" i="15"/>
  <c r="F291" i="15" s="1"/>
  <c r="G291" i="15"/>
  <c r="I291" i="15" l="1"/>
  <c r="J291" i="15" s="1"/>
  <c r="K291" i="15"/>
  <c r="L291" i="15" s="1"/>
  <c r="E290" i="15"/>
  <c r="F290" i="15" s="1"/>
  <c r="G290" i="15"/>
  <c r="K289" i="15"/>
  <c r="L289" i="15" s="1"/>
  <c r="J289" i="15"/>
  <c r="G292" i="15"/>
  <c r="E292" i="15"/>
  <c r="F292" i="15" s="1"/>
  <c r="I292" i="15" l="1"/>
  <c r="J292" i="15" s="1"/>
  <c r="I290" i="15"/>
  <c r="K292" i="15"/>
  <c r="L292" i="15" s="1"/>
  <c r="E293" i="15"/>
  <c r="F293" i="15" s="1"/>
  <c r="G293" i="15"/>
  <c r="I293" i="15" l="1"/>
  <c r="J293" i="15" s="1"/>
  <c r="G294" i="15"/>
  <c r="E294" i="15"/>
  <c r="F294" i="15"/>
  <c r="L290" i="15"/>
  <c r="J290" i="15"/>
  <c r="K293" i="15" l="1"/>
  <c r="L293" i="15" s="1"/>
  <c r="I294" i="15"/>
  <c r="J294" i="15" s="1"/>
  <c r="K294" i="15"/>
  <c r="L294" i="15" s="1"/>
  <c r="E295" i="15"/>
  <c r="F295" i="15" s="1"/>
  <c r="G295" i="15"/>
  <c r="I295" i="15" l="1"/>
  <c r="K295" i="15" s="1"/>
  <c r="L295" i="15" s="1"/>
  <c r="E296" i="15"/>
  <c r="F296" i="15" s="1"/>
  <c r="G296" i="15"/>
  <c r="J295" i="15" l="1"/>
  <c r="I296" i="15"/>
  <c r="G298" i="15"/>
  <c r="E298" i="15"/>
  <c r="F298" i="15" s="1"/>
  <c r="I298" i="15" s="1"/>
  <c r="E297" i="15"/>
  <c r="F297" i="15" s="1"/>
  <c r="G297" i="15"/>
  <c r="I297" i="15" l="1"/>
  <c r="L297" i="15" s="1"/>
  <c r="K298" i="15"/>
  <c r="L298" i="15" s="1"/>
  <c r="J298" i="15"/>
  <c r="G299" i="15"/>
  <c r="E299" i="15"/>
  <c r="F299" i="15" s="1"/>
  <c r="K296" i="15"/>
  <c r="L296" i="15" s="1"/>
  <c r="J296" i="15"/>
  <c r="J297" i="15" l="1"/>
  <c r="I299" i="15"/>
  <c r="J299" i="15" s="1"/>
  <c r="K299" i="15"/>
  <c r="L299" i="15" s="1"/>
  <c r="E300" i="15"/>
  <c r="G300" i="15"/>
  <c r="F300" i="15"/>
  <c r="I300" i="15" l="1"/>
  <c r="K300" i="15" s="1"/>
  <c r="L300" i="15" s="1"/>
  <c r="G301" i="15"/>
  <c r="E301" i="15"/>
  <c r="F301" i="15" s="1"/>
  <c r="I301" i="15" l="1"/>
  <c r="J301" i="15" s="1"/>
  <c r="J300" i="15"/>
  <c r="G302" i="15"/>
  <c r="E302" i="15"/>
  <c r="F302" i="15"/>
  <c r="I302" i="15" s="1"/>
  <c r="K301" i="15"/>
  <c r="L301" i="15" s="1"/>
  <c r="J302" i="15" l="1"/>
  <c r="K302" i="15"/>
  <c r="L302" i="15" s="1"/>
  <c r="G303" i="15"/>
  <c r="E303" i="15"/>
  <c r="F303" i="15" s="1"/>
  <c r="I303" i="15" l="1"/>
  <c r="J303" i="15" s="1"/>
  <c r="G305" i="15"/>
  <c r="E305" i="15"/>
  <c r="F305" i="15" s="1"/>
  <c r="K303" i="15" l="1"/>
  <c r="L303" i="15" s="1"/>
  <c r="I305" i="15"/>
  <c r="K305" i="15" s="1"/>
  <c r="L305" i="15" s="1"/>
  <c r="G304" i="15"/>
  <c r="E304" i="15"/>
  <c r="F304" i="15" s="1"/>
  <c r="E306" i="15"/>
  <c r="F306" i="15"/>
  <c r="G306" i="15"/>
  <c r="J305" i="15" l="1"/>
  <c r="I304" i="15"/>
  <c r="L304" i="15" s="1"/>
  <c r="J304" i="15"/>
  <c r="G307" i="15"/>
  <c r="E307" i="15"/>
  <c r="F307" i="15" s="1"/>
  <c r="I306" i="15"/>
  <c r="I307" i="15" l="1"/>
  <c r="J307" i="15"/>
  <c r="K307" i="15"/>
  <c r="L307" i="15" s="1"/>
  <c r="J306" i="15"/>
  <c r="K306" i="15"/>
  <c r="L306" i="15" s="1"/>
  <c r="G308" i="15"/>
  <c r="E308" i="15"/>
  <c r="F308" i="15" s="1"/>
  <c r="I308" i="15" l="1"/>
  <c r="K308" i="15" s="1"/>
  <c r="L308" i="15" s="1"/>
  <c r="J308" i="15"/>
  <c r="G309" i="15"/>
  <c r="E309" i="15"/>
  <c r="F309" i="15" s="1"/>
  <c r="I309" i="15" l="1"/>
  <c r="E310" i="15"/>
  <c r="F310" i="15" s="1"/>
  <c r="G310" i="15"/>
  <c r="I310" i="15" l="1"/>
  <c r="K310" i="15" s="1"/>
  <c r="L310" i="15" s="1"/>
  <c r="J310" i="15"/>
  <c r="E311" i="15"/>
  <c r="F311" i="15" s="1"/>
  <c r="G311" i="15"/>
  <c r="E312" i="15"/>
  <c r="F312" i="15" s="1"/>
  <c r="G312" i="15"/>
  <c r="J309" i="15"/>
  <c r="K309" i="15"/>
  <c r="L309" i="15" s="1"/>
  <c r="I311" i="15" l="1"/>
  <c r="L311" i="15" s="1"/>
  <c r="E313" i="15"/>
  <c r="G313" i="15"/>
  <c r="F313" i="15"/>
  <c r="I312" i="15"/>
  <c r="J311" i="15" l="1"/>
  <c r="J312" i="15"/>
  <c r="K312" i="15"/>
  <c r="L312" i="15" s="1"/>
  <c r="E314" i="15"/>
  <c r="F314" i="15" s="1"/>
  <c r="G314" i="15"/>
  <c r="I313" i="15"/>
  <c r="I314" i="15" l="1"/>
  <c r="G315" i="15"/>
  <c r="E315" i="15"/>
  <c r="F315" i="15" s="1"/>
  <c r="K313" i="15"/>
  <c r="L313" i="15" s="1"/>
  <c r="J313" i="15"/>
  <c r="I315" i="15" l="1"/>
  <c r="K315" i="15" s="1"/>
  <c r="L315" i="15" s="1"/>
  <c r="K314" i="15"/>
  <c r="L314" i="15" s="1"/>
  <c r="J314" i="15"/>
  <c r="E316" i="15"/>
  <c r="F316" i="15" s="1"/>
  <c r="G316" i="15"/>
  <c r="J315" i="15" l="1"/>
  <c r="G317" i="15"/>
  <c r="E317" i="15"/>
  <c r="F317" i="15" s="1"/>
  <c r="I317" i="15" s="1"/>
  <c r="I316" i="15"/>
  <c r="K317" i="15" l="1"/>
  <c r="L317" i="15" s="1"/>
  <c r="J317" i="15"/>
  <c r="G319" i="15"/>
  <c r="E319" i="15"/>
  <c r="F319" i="15" s="1"/>
  <c r="I319" i="15" s="1"/>
  <c r="K316" i="15"/>
  <c r="L316" i="15" s="1"/>
  <c r="J316" i="15"/>
  <c r="E318" i="15" l="1"/>
  <c r="F318" i="15"/>
  <c r="G318" i="15"/>
  <c r="J319" i="15"/>
  <c r="K319" i="15"/>
  <c r="L319" i="15" s="1"/>
  <c r="G320" i="15"/>
  <c r="E320" i="15"/>
  <c r="F320" i="15" s="1"/>
  <c r="I320" i="15" l="1"/>
  <c r="K320" i="15"/>
  <c r="L320" i="15" s="1"/>
  <c r="J320" i="15"/>
  <c r="I318" i="15"/>
  <c r="E321" i="15"/>
  <c r="F321" i="15"/>
  <c r="G321" i="15"/>
  <c r="I321" i="15" l="1"/>
  <c r="J321" i="15" s="1"/>
  <c r="K321" i="15"/>
  <c r="L321" i="15" s="1"/>
  <c r="L318" i="15"/>
  <c r="J318" i="15"/>
  <c r="G322" i="15"/>
  <c r="E322" i="15"/>
  <c r="F322" i="15" s="1"/>
  <c r="I322" i="15" l="1"/>
  <c r="J322" i="15"/>
  <c r="K322" i="15"/>
  <c r="L322" i="15" s="1"/>
  <c r="E323" i="15"/>
  <c r="F323" i="15" s="1"/>
  <c r="G323" i="15"/>
  <c r="I323" i="15" l="1"/>
  <c r="J323" i="15" s="1"/>
  <c r="G324" i="15"/>
  <c r="E324" i="15"/>
  <c r="F324" i="15" s="1"/>
  <c r="K323" i="15" l="1"/>
  <c r="L323" i="15" s="1"/>
  <c r="G325" i="15"/>
  <c r="E325" i="15"/>
  <c r="F325" i="15" s="1"/>
  <c r="E326" i="15"/>
  <c r="F326" i="15" s="1"/>
  <c r="G326" i="15"/>
  <c r="I324" i="15"/>
  <c r="I326" i="15" l="1"/>
  <c r="I325" i="15"/>
  <c r="J325" i="15"/>
  <c r="L325" i="15"/>
  <c r="K326" i="15"/>
  <c r="L326" i="15" s="1"/>
  <c r="J326" i="15"/>
  <c r="J324" i="15"/>
  <c r="K324" i="15"/>
  <c r="L324" i="15" s="1"/>
  <c r="E327" i="15"/>
  <c r="F327" i="15"/>
  <c r="G327" i="15"/>
  <c r="I327" i="15" l="1"/>
  <c r="G328" i="15"/>
  <c r="E328" i="15"/>
  <c r="F328" i="15" s="1"/>
  <c r="I328" i="15" s="1"/>
  <c r="K327" i="15"/>
  <c r="L327" i="15" s="1"/>
  <c r="J327" i="15"/>
  <c r="J328" i="15" l="1"/>
  <c r="K328" i="15"/>
  <c r="L328" i="15" s="1"/>
  <c r="E329" i="15"/>
  <c r="F329" i="15" s="1"/>
  <c r="G329" i="15"/>
  <c r="E330" i="15" l="1"/>
  <c r="F330" i="15"/>
  <c r="G330" i="15"/>
  <c r="I329" i="15"/>
  <c r="I330" i="15" l="1"/>
  <c r="K330" i="15" s="1"/>
  <c r="L330" i="15" s="1"/>
  <c r="J329" i="15"/>
  <c r="K329" i="15"/>
  <c r="L329" i="15" s="1"/>
  <c r="E331" i="15"/>
  <c r="F331" i="15" s="1"/>
  <c r="G331" i="15"/>
  <c r="J330" i="15" l="1"/>
  <c r="I331" i="15"/>
  <c r="G333" i="15"/>
  <c r="E333" i="15"/>
  <c r="F333" i="15" s="1"/>
  <c r="I333" i="15" s="1"/>
  <c r="J333" i="15" l="1"/>
  <c r="K333" i="15"/>
  <c r="L333" i="15" s="1"/>
  <c r="G332" i="15"/>
  <c r="E332" i="15"/>
  <c r="F332" i="15" s="1"/>
  <c r="K331" i="15"/>
  <c r="L331" i="15" s="1"/>
  <c r="J331" i="15"/>
  <c r="E334" i="15"/>
  <c r="F334" i="15" s="1"/>
  <c r="G334" i="15"/>
  <c r="I332" i="15" l="1"/>
  <c r="L332" i="15" s="1"/>
  <c r="I334" i="15"/>
  <c r="G335" i="15"/>
  <c r="E335" i="15"/>
  <c r="F335" i="15" s="1"/>
  <c r="J332" i="15" l="1"/>
  <c r="I335" i="15"/>
  <c r="J335" i="15" s="1"/>
  <c r="J334" i="15"/>
  <c r="K334" i="15"/>
  <c r="L334" i="15" s="1"/>
  <c r="E336" i="15"/>
  <c r="F336" i="15" s="1"/>
  <c r="G336" i="15"/>
  <c r="K335" i="15" l="1"/>
  <c r="L335" i="15" s="1"/>
  <c r="I336" i="15"/>
  <c r="K336" i="15" s="1"/>
  <c r="L336" i="15" s="1"/>
  <c r="E337" i="15"/>
  <c r="F337" i="15"/>
  <c r="G337" i="15"/>
  <c r="J336" i="15" l="1"/>
  <c r="I337" i="15"/>
  <c r="G338" i="15"/>
  <c r="E338" i="15"/>
  <c r="F338" i="15"/>
  <c r="J337" i="15"/>
  <c r="K337" i="15"/>
  <c r="L337" i="15" s="1"/>
  <c r="I338" i="15" l="1"/>
  <c r="K338" i="15" s="1"/>
  <c r="L338" i="15" s="1"/>
  <c r="E340" i="15"/>
  <c r="F340" i="15" s="1"/>
  <c r="G340" i="15"/>
  <c r="G339" i="15"/>
  <c r="E339" i="15"/>
  <c r="F339" i="15" s="1"/>
  <c r="J338" i="15" l="1"/>
  <c r="I339" i="15"/>
  <c r="G341" i="15"/>
  <c r="E341" i="15"/>
  <c r="F341" i="15" s="1"/>
  <c r="I341" i="15" s="1"/>
  <c r="I340" i="15"/>
  <c r="K340" i="15" l="1"/>
  <c r="L340" i="15" s="1"/>
  <c r="J340" i="15"/>
  <c r="K341" i="15"/>
  <c r="L341" i="15" s="1"/>
  <c r="J341" i="15"/>
  <c r="G342" i="15"/>
  <c r="E342" i="15"/>
  <c r="F342" i="15" s="1"/>
  <c r="J339" i="15"/>
  <c r="L339" i="15"/>
  <c r="I342" i="15" l="1"/>
  <c r="J342" i="15" s="1"/>
  <c r="E343" i="15"/>
  <c r="G343" i="15"/>
  <c r="F343" i="15"/>
  <c r="K342" i="15" l="1"/>
  <c r="L342" i="15" s="1"/>
  <c r="I343" i="15"/>
  <c r="J343" i="15" s="1"/>
  <c r="E344" i="15"/>
  <c r="F344" i="15" s="1"/>
  <c r="G344" i="15"/>
  <c r="K343" i="15" l="1"/>
  <c r="L343" i="15" s="1"/>
  <c r="I344" i="15"/>
  <c r="J344" i="15" s="1"/>
  <c r="G345" i="15"/>
  <c r="E345" i="15"/>
  <c r="F345" i="15" s="1"/>
  <c r="K344" i="15" l="1"/>
  <c r="L344" i="15" s="1"/>
  <c r="I345" i="15"/>
  <c r="J345" i="15" s="1"/>
  <c r="E347" i="15"/>
  <c r="F347" i="15"/>
  <c r="G347" i="15"/>
  <c r="K345" i="15" l="1"/>
  <c r="L345" i="15" s="1"/>
  <c r="I347" i="15"/>
  <c r="E348" i="15"/>
  <c r="F348" i="15" s="1"/>
  <c r="G348" i="15"/>
  <c r="K347" i="15"/>
  <c r="L347" i="15" s="1"/>
  <c r="J347" i="15"/>
  <c r="E346" i="15"/>
  <c r="F346" i="15"/>
  <c r="G346" i="15"/>
  <c r="I348" i="15" l="1"/>
  <c r="K348" i="15" s="1"/>
  <c r="L348" i="15" s="1"/>
  <c r="I346" i="15"/>
  <c r="L346" i="15" s="1"/>
  <c r="J348" i="15"/>
  <c r="E349" i="15"/>
  <c r="F349" i="15" s="1"/>
  <c r="G349" i="15"/>
  <c r="J346" i="15" l="1"/>
  <c r="I349" i="15"/>
  <c r="J349" i="15" s="1"/>
  <c r="G350" i="15"/>
  <c r="E350" i="15"/>
  <c r="F350" i="15" s="1"/>
  <c r="I350" i="15" l="1"/>
  <c r="K350" i="15" s="1"/>
  <c r="L350" i="15" s="1"/>
  <c r="K349" i="15"/>
  <c r="L349" i="15" s="1"/>
  <c r="E351" i="15"/>
  <c r="G351" i="15"/>
  <c r="F351" i="15"/>
  <c r="J350" i="15" l="1"/>
  <c r="E352" i="15"/>
  <c r="F352" i="15" s="1"/>
  <c r="G352" i="15"/>
  <c r="I351" i="15"/>
  <c r="I352" i="15" l="1"/>
  <c r="K352" i="15" s="1"/>
  <c r="L352" i="15" s="1"/>
  <c r="J351" i="15"/>
  <c r="K351" i="15"/>
  <c r="L351" i="15" s="1"/>
  <c r="E353" i="15"/>
  <c r="F353" i="15" s="1"/>
  <c r="G353" i="15"/>
  <c r="G354" i="15"/>
  <c r="E354" i="15"/>
  <c r="F354" i="15" s="1"/>
  <c r="J352" i="15" l="1"/>
  <c r="I354" i="15"/>
  <c r="J354" i="15" s="1"/>
  <c r="G355" i="15"/>
  <c r="E355" i="15"/>
  <c r="F355" i="15" s="1"/>
  <c r="K354" i="15"/>
  <c r="L354" i="15" s="1"/>
  <c r="I353" i="15"/>
  <c r="I355" i="15" l="1"/>
  <c r="K355" i="15" s="1"/>
  <c r="L355" i="15" s="1"/>
  <c r="E356" i="15"/>
  <c r="F356" i="15" s="1"/>
  <c r="G356" i="15"/>
  <c r="L353" i="15"/>
  <c r="J353" i="15"/>
  <c r="J355" i="15" l="1"/>
  <c r="I356" i="15"/>
  <c r="E357" i="15"/>
  <c r="F357" i="15" s="1"/>
  <c r="G357" i="15"/>
  <c r="I357" i="15" l="1"/>
  <c r="E358" i="15"/>
  <c r="F358" i="15" s="1"/>
  <c r="G358" i="15"/>
  <c r="J356" i="15"/>
  <c r="K356" i="15"/>
  <c r="L356" i="15" s="1"/>
  <c r="I358" i="15" l="1"/>
  <c r="G359" i="15"/>
  <c r="E359" i="15"/>
  <c r="F359" i="15" s="1"/>
  <c r="I359" i="15" s="1"/>
  <c r="K357" i="15"/>
  <c r="L357" i="15" s="1"/>
  <c r="J357" i="15"/>
  <c r="J359" i="15" l="1"/>
  <c r="K359" i="15"/>
  <c r="L359" i="15" s="1"/>
  <c r="G361" i="15"/>
  <c r="E361" i="15"/>
  <c r="F361" i="15" s="1"/>
  <c r="I361" i="15" s="1"/>
  <c r="K358" i="15"/>
  <c r="L358" i="15" s="1"/>
  <c r="J358" i="15"/>
  <c r="K361" i="15" l="1"/>
  <c r="L361" i="15" s="1"/>
  <c r="J361" i="15"/>
  <c r="E360" i="15"/>
  <c r="F360" i="15" s="1"/>
  <c r="G360" i="15"/>
  <c r="E362" i="15"/>
  <c r="F362" i="15" s="1"/>
  <c r="G362" i="15"/>
  <c r="I360" i="15" l="1"/>
  <c r="G363" i="15"/>
  <c r="E363" i="15"/>
  <c r="F363" i="15" s="1"/>
  <c r="I362" i="15"/>
  <c r="I363" i="15" l="1"/>
  <c r="E364" i="15"/>
  <c r="F364" i="15" s="1"/>
  <c r="G364" i="15"/>
  <c r="J362" i="15"/>
  <c r="K362" i="15"/>
  <c r="L362" i="15" s="1"/>
  <c r="J363" i="15"/>
  <c r="K363" i="15"/>
  <c r="L363" i="15" s="1"/>
  <c r="J360" i="15"/>
  <c r="L360" i="15"/>
  <c r="I364" i="15" l="1"/>
  <c r="K364" i="15" s="1"/>
  <c r="L364" i="15" s="1"/>
  <c r="E365" i="15"/>
  <c r="F365" i="15" s="1"/>
  <c r="G365" i="15"/>
  <c r="J364" i="15" l="1"/>
  <c r="I365" i="15"/>
  <c r="K365" i="15"/>
  <c r="L365" i="15" s="1"/>
  <c r="J365" i="15"/>
  <c r="G366" i="15"/>
  <c r="E366" i="15"/>
  <c r="F366" i="15" s="1"/>
  <c r="I366" i="15" s="1"/>
  <c r="K366" i="15" l="1"/>
  <c r="L366" i="15" s="1"/>
  <c r="J366" i="15"/>
  <c r="G368" i="15"/>
  <c r="E368" i="15"/>
  <c r="F368" i="15" s="1"/>
  <c r="I368" i="15" s="1"/>
  <c r="E367" i="15"/>
  <c r="F367" i="15" s="1"/>
  <c r="G367" i="15"/>
  <c r="I367" i="15" l="1"/>
  <c r="J367" i="15" s="1"/>
  <c r="J368" i="15"/>
  <c r="K368" i="15"/>
  <c r="L368" i="15" s="1"/>
  <c r="E369" i="15"/>
  <c r="F369" i="15" s="1"/>
  <c r="G369" i="15"/>
  <c r="L367" i="15" l="1"/>
  <c r="I369" i="15"/>
  <c r="K369" i="15" s="1"/>
  <c r="L369" i="15" s="1"/>
  <c r="G370" i="15"/>
  <c r="E370" i="15"/>
  <c r="F370" i="15" s="1"/>
  <c r="J369" i="15" l="1"/>
  <c r="I370" i="15"/>
  <c r="J370" i="15" s="1"/>
  <c r="E371" i="15"/>
  <c r="F371" i="15" s="1"/>
  <c r="G371" i="15"/>
  <c r="K370" i="15" l="1"/>
  <c r="L370" i="15" s="1"/>
  <c r="I371" i="15"/>
  <c r="K371" i="15" s="1"/>
  <c r="L371" i="15" s="1"/>
  <c r="E372" i="15"/>
  <c r="F372" i="15"/>
  <c r="G372" i="15"/>
  <c r="J371" i="15" l="1"/>
  <c r="E373" i="15"/>
  <c r="F373" i="15" s="1"/>
  <c r="G373" i="15"/>
  <c r="I372" i="15"/>
  <c r="E375" i="15" l="1"/>
  <c r="F375" i="15" s="1"/>
  <c r="G375" i="15"/>
  <c r="J372" i="15"/>
  <c r="K372" i="15"/>
  <c r="L372" i="15" s="1"/>
  <c r="I373" i="15"/>
  <c r="I375" i="15" l="1"/>
  <c r="J375" i="15" s="1"/>
  <c r="E376" i="15"/>
  <c r="F376" i="15" s="1"/>
  <c r="G376" i="15"/>
  <c r="K375" i="15"/>
  <c r="L375" i="15" s="1"/>
  <c r="J373" i="15"/>
  <c r="K373" i="15"/>
  <c r="L373" i="15" s="1"/>
  <c r="G374" i="15"/>
  <c r="E374" i="15"/>
  <c r="F374" i="15" s="1"/>
  <c r="I374" i="15" l="1"/>
  <c r="E377" i="15"/>
  <c r="F377" i="15" s="1"/>
  <c r="G377" i="15"/>
  <c r="I376" i="15"/>
  <c r="L374" i="15"/>
  <c r="J374" i="15"/>
  <c r="I377" i="15" l="1"/>
  <c r="J377" i="15" s="1"/>
  <c r="J376" i="15"/>
  <c r="K376" i="15"/>
  <c r="L376" i="15" s="1"/>
  <c r="E378" i="15"/>
  <c r="F378" i="15" s="1"/>
  <c r="G378" i="15"/>
  <c r="K377" i="15" l="1"/>
  <c r="L377" i="15" s="1"/>
  <c r="I378" i="15"/>
  <c r="J378" i="15" s="1"/>
  <c r="G379" i="15"/>
  <c r="E379" i="15"/>
  <c r="F379" i="15" s="1"/>
  <c r="K378" i="15" l="1"/>
  <c r="L378" i="15" s="1"/>
  <c r="I379" i="15"/>
  <c r="J379" i="15" s="1"/>
  <c r="K379" i="15"/>
  <c r="L379" i="15" s="1"/>
  <c r="E380" i="15"/>
  <c r="F380" i="15" s="1"/>
  <c r="G380" i="15"/>
  <c r="E382" i="15" l="1"/>
  <c r="F382" i="15" s="1"/>
  <c r="G382" i="15"/>
  <c r="I380" i="15"/>
  <c r="E381" i="15"/>
  <c r="F381" i="15" s="1"/>
  <c r="G381" i="15"/>
  <c r="I381" i="15" l="1"/>
  <c r="J381" i="15" s="1"/>
  <c r="I382" i="15"/>
  <c r="J382" i="15" s="1"/>
  <c r="K382" i="15"/>
  <c r="L382" i="15" s="1"/>
  <c r="E383" i="15"/>
  <c r="F383" i="15" s="1"/>
  <c r="G383" i="15"/>
  <c r="K380" i="15"/>
  <c r="L380" i="15" s="1"/>
  <c r="J380" i="15"/>
  <c r="L381" i="15" l="1"/>
  <c r="I383" i="15"/>
  <c r="J383" i="15" s="1"/>
  <c r="E384" i="15"/>
  <c r="F384" i="15" s="1"/>
  <c r="G384" i="15"/>
  <c r="K383" i="15" l="1"/>
  <c r="L383" i="15" s="1"/>
  <c r="I384" i="15"/>
  <c r="J384" i="15" s="1"/>
  <c r="E385" i="15"/>
  <c r="F385" i="15"/>
  <c r="G385" i="15"/>
  <c r="K384" i="15" l="1"/>
  <c r="L384" i="15" s="1"/>
  <c r="I385" i="15"/>
  <c r="K385" i="15" s="1"/>
  <c r="L385" i="15" s="1"/>
  <c r="E386" i="15"/>
  <c r="F386" i="15" s="1"/>
  <c r="G386" i="15"/>
  <c r="J385" i="15" l="1"/>
  <c r="G387" i="15"/>
  <c r="E387" i="15"/>
  <c r="F387" i="15" s="1"/>
  <c r="I387" i="15" s="1"/>
  <c r="I386" i="15"/>
  <c r="J386" i="15" l="1"/>
  <c r="K386" i="15"/>
  <c r="L386" i="15" s="1"/>
  <c r="J387" i="15"/>
  <c r="K387" i="15"/>
  <c r="L387" i="15" s="1"/>
  <c r="G389" i="15"/>
  <c r="E389" i="15"/>
  <c r="F389" i="15" s="1"/>
  <c r="I389" i="15" l="1"/>
  <c r="K389" i="15" s="1"/>
  <c r="L389" i="15" s="1"/>
  <c r="E388" i="15"/>
  <c r="F388" i="15" s="1"/>
  <c r="G388" i="15"/>
  <c r="G390" i="15"/>
  <c r="E390" i="15"/>
  <c r="F390" i="15" s="1"/>
  <c r="J389" i="15" l="1"/>
  <c r="I390" i="15"/>
  <c r="J390" i="15" s="1"/>
  <c r="K390" i="15"/>
  <c r="L390" i="15" s="1"/>
  <c r="I388" i="15"/>
  <c r="E391" i="15"/>
  <c r="F391" i="15" s="1"/>
  <c r="G391" i="15"/>
  <c r="I391" i="15" l="1"/>
  <c r="J391" i="15" s="1"/>
  <c r="K391" i="15"/>
  <c r="L391" i="15" s="1"/>
  <c r="G392" i="15"/>
  <c r="E392" i="15"/>
  <c r="F392" i="15" s="1"/>
  <c r="L388" i="15"/>
  <c r="J388" i="15"/>
  <c r="I392" i="15" l="1"/>
  <c r="K392" i="15" s="1"/>
  <c r="L392" i="15" s="1"/>
  <c r="E393" i="15"/>
  <c r="F393" i="15" s="1"/>
  <c r="G393" i="15"/>
  <c r="J392" i="15" l="1"/>
  <c r="I393" i="15"/>
  <c r="J393" i="15" s="1"/>
  <c r="G394" i="15"/>
  <c r="E394" i="15"/>
  <c r="F394" i="15" s="1"/>
  <c r="K393" i="15" l="1"/>
  <c r="L393" i="15" s="1"/>
  <c r="I394" i="15"/>
  <c r="J394" i="15" s="1"/>
  <c r="G395" i="15"/>
  <c r="E395" i="15"/>
  <c r="F395" i="15" s="1"/>
  <c r="E396" i="15"/>
  <c r="F396" i="15" s="1"/>
  <c r="G396" i="15"/>
  <c r="I395" i="15" l="1"/>
  <c r="K394" i="15"/>
  <c r="L394" i="15" s="1"/>
  <c r="L395" i="15"/>
  <c r="J395" i="15"/>
  <c r="I396" i="15"/>
  <c r="G397" i="15"/>
  <c r="E397" i="15"/>
  <c r="F397" i="15" s="1"/>
  <c r="I397" i="15" l="1"/>
  <c r="K397" i="15"/>
  <c r="L397" i="15" s="1"/>
  <c r="J397" i="15"/>
  <c r="J396" i="15"/>
  <c r="K396" i="15"/>
  <c r="L396" i="15" s="1"/>
  <c r="G398" i="15"/>
  <c r="E398" i="15"/>
  <c r="F398" i="15" s="1"/>
  <c r="I398" i="15" l="1"/>
  <c r="K398" i="15" s="1"/>
  <c r="L398" i="15" s="1"/>
  <c r="G399" i="15"/>
  <c r="E399" i="15"/>
  <c r="F399" i="15" s="1"/>
  <c r="J398" i="15" l="1"/>
  <c r="I399" i="15"/>
  <c r="J399" i="15" s="1"/>
  <c r="K399" i="15"/>
  <c r="L399" i="15" s="1"/>
  <c r="E400" i="15"/>
  <c r="F400" i="15" s="1"/>
  <c r="G400" i="15"/>
  <c r="I400" i="15" l="1"/>
  <c r="J400" i="15" s="1"/>
  <c r="K400" i="15"/>
  <c r="E401" i="15"/>
  <c r="F401" i="15" s="1"/>
  <c r="G401" i="15"/>
  <c r="I401" i="15" l="1"/>
  <c r="L400" i="15"/>
  <c r="E403" i="15"/>
  <c r="F403" i="15" s="1"/>
  <c r="G403" i="15"/>
  <c r="J401" i="15"/>
  <c r="K401" i="15"/>
  <c r="L401" i="15" s="1"/>
  <c r="G402" i="15" l="1"/>
  <c r="E402" i="15"/>
  <c r="F402" i="15" s="1"/>
  <c r="I403" i="15"/>
  <c r="G404" i="15"/>
  <c r="E404" i="15"/>
  <c r="F404" i="15" s="1"/>
  <c r="I402" i="15" l="1"/>
  <c r="L402" i="15" s="1"/>
  <c r="I404" i="15"/>
  <c r="J404" i="15" s="1"/>
  <c r="K404" i="15"/>
  <c r="L404" i="15" s="1"/>
  <c r="G405" i="15"/>
  <c r="E405" i="15"/>
  <c r="F405" i="15" s="1"/>
  <c r="K403" i="15"/>
  <c r="L403" i="15" s="1"/>
  <c r="J403" i="15"/>
  <c r="J402" i="15" l="1"/>
  <c r="I405" i="15"/>
  <c r="K405" i="15"/>
  <c r="L405" i="15" s="1"/>
  <c r="J405" i="15"/>
  <c r="E406" i="15"/>
  <c r="G406" i="15"/>
  <c r="F406" i="15"/>
  <c r="I406" i="15" l="1"/>
  <c r="E407" i="15"/>
  <c r="F407" i="15"/>
  <c r="G407" i="15"/>
  <c r="G408" i="15" l="1"/>
  <c r="E408" i="15"/>
  <c r="F408" i="15" s="1"/>
  <c r="I407" i="15"/>
  <c r="J406" i="15"/>
  <c r="K406" i="15"/>
  <c r="L406" i="15" s="1"/>
  <c r="I408" i="15" l="1"/>
  <c r="K408" i="15"/>
  <c r="L408" i="15" s="1"/>
  <c r="J408" i="15"/>
  <c r="G410" i="15"/>
  <c r="E410" i="15"/>
  <c r="F410" i="15" s="1"/>
  <c r="J407" i="15"/>
  <c r="K407" i="15"/>
  <c r="L407" i="15" s="1"/>
  <c r="E409" i="15"/>
  <c r="F409" i="15" s="1"/>
  <c r="G409" i="15"/>
  <c r="I410" i="15" l="1"/>
  <c r="I409" i="15"/>
  <c r="L409" i="15" s="1"/>
  <c r="K410" i="15"/>
  <c r="L410" i="15" s="1"/>
  <c r="J410" i="15"/>
  <c r="G411" i="15"/>
  <c r="E411" i="15"/>
  <c r="F411" i="15" s="1"/>
  <c r="J409" i="15" l="1"/>
  <c r="G412" i="15"/>
  <c r="F412" i="15"/>
  <c r="E412" i="15"/>
  <c r="I411" i="15"/>
  <c r="K411" i="15" l="1"/>
  <c r="L411" i="15" s="1"/>
  <c r="J411" i="15"/>
  <c r="I412" i="15"/>
  <c r="E413" i="15"/>
  <c r="F413" i="15"/>
  <c r="G413" i="15"/>
  <c r="I413" i="15" l="1"/>
  <c r="J413" i="15"/>
  <c r="K413" i="15"/>
  <c r="L413" i="15" s="1"/>
  <c r="K412" i="15"/>
  <c r="L412" i="15" s="1"/>
  <c r="J412" i="15"/>
  <c r="G414" i="15"/>
  <c r="F414" i="15"/>
  <c r="E414" i="15"/>
  <c r="I414" i="15" l="1"/>
  <c r="J414" i="15" s="1"/>
  <c r="K414" i="15"/>
  <c r="L414" i="15" s="1"/>
  <c r="E415" i="15"/>
  <c r="F415" i="15"/>
  <c r="G415" i="15"/>
  <c r="I415" i="15" l="1"/>
  <c r="J415" i="15"/>
  <c r="K415" i="15"/>
  <c r="L415" i="15" s="1"/>
  <c r="G417" i="15"/>
  <c r="F417" i="15"/>
  <c r="E417" i="15"/>
  <c r="I417" i="15" l="1"/>
  <c r="E418" i="15"/>
  <c r="F418" i="15"/>
  <c r="G418" i="15"/>
  <c r="F416" i="15"/>
  <c r="G416" i="15"/>
  <c r="E416" i="15"/>
  <c r="E419" i="15" l="1"/>
  <c r="F419" i="15"/>
  <c r="G419" i="15"/>
  <c r="I416" i="15"/>
  <c r="I418" i="15"/>
  <c r="K417" i="15"/>
  <c r="L417" i="15" s="1"/>
  <c r="J417" i="15"/>
  <c r="K418" i="15" l="1"/>
  <c r="L418" i="15" s="1"/>
  <c r="J418" i="15"/>
  <c r="J416" i="15"/>
  <c r="L416" i="15"/>
  <c r="I419" i="15"/>
  <c r="F420" i="15"/>
  <c r="E420" i="15"/>
  <c r="G420" i="15"/>
  <c r="E421" i="15" l="1"/>
  <c r="F421" i="15"/>
  <c r="G421" i="15"/>
  <c r="K419" i="15"/>
  <c r="L419" i="15" s="1"/>
  <c r="J419" i="15"/>
  <c r="I420" i="15"/>
  <c r="I421" i="15" l="1"/>
  <c r="J420" i="15"/>
  <c r="K420" i="15"/>
  <c r="L420" i="15" s="1"/>
  <c r="E422" i="15"/>
  <c r="F422" i="15"/>
  <c r="G422" i="15"/>
  <c r="I422" i="15" l="1"/>
  <c r="K422" i="15" s="1"/>
  <c r="L422" i="15" s="1"/>
  <c r="G424" i="15"/>
  <c r="F424" i="15"/>
  <c r="E424" i="15"/>
  <c r="G423" i="15"/>
  <c r="F423" i="15"/>
  <c r="E423" i="15"/>
  <c r="J421" i="15"/>
  <c r="K421" i="15"/>
  <c r="L421" i="15" s="1"/>
  <c r="J422" i="15" l="1"/>
  <c r="I423" i="15"/>
  <c r="J423" i="15" s="1"/>
  <c r="I424" i="15"/>
  <c r="K424" i="15"/>
  <c r="L424" i="15" s="1"/>
  <c r="J424" i="15"/>
  <c r="G425" i="15"/>
  <c r="E425" i="15"/>
  <c r="F425" i="15"/>
  <c r="L423" i="15" l="1"/>
  <c r="G426" i="15"/>
  <c r="E426" i="15"/>
  <c r="F426" i="15"/>
  <c r="I425" i="15"/>
  <c r="I426" i="15" l="1"/>
  <c r="K426" i="15" s="1"/>
  <c r="L426" i="15" s="1"/>
  <c r="E427" i="15"/>
  <c r="G427" i="15"/>
  <c r="F427" i="15"/>
  <c r="J425" i="15"/>
  <c r="K425" i="15"/>
  <c r="L425" i="15" s="1"/>
  <c r="J426" i="15" l="1"/>
  <c r="I427" i="15"/>
  <c r="K427" i="15"/>
  <c r="L427" i="15" s="1"/>
  <c r="J427" i="15"/>
  <c r="E428" i="15"/>
  <c r="G428" i="15"/>
  <c r="F428" i="15"/>
  <c r="I428" i="15" l="1"/>
  <c r="G429" i="15"/>
  <c r="F429" i="15"/>
  <c r="E429" i="15"/>
  <c r="K428" i="15" l="1"/>
  <c r="L428" i="15" s="1"/>
  <c r="J428" i="15"/>
  <c r="I429" i="15"/>
  <c r="E431" i="15"/>
  <c r="F431" i="15"/>
  <c r="G431" i="15"/>
  <c r="E430" i="15" l="1"/>
  <c r="G430" i="15"/>
  <c r="F430" i="15"/>
  <c r="K429" i="15"/>
  <c r="L429" i="15" s="1"/>
  <c r="J429" i="15"/>
  <c r="I431" i="15"/>
  <c r="G432" i="15"/>
  <c r="F432" i="15"/>
  <c r="E432" i="15"/>
  <c r="I430" i="15" l="1"/>
  <c r="I432" i="15"/>
  <c r="F433" i="15"/>
  <c r="E433" i="15"/>
  <c r="G433" i="15"/>
  <c r="L430" i="15"/>
  <c r="J430" i="15"/>
  <c r="K431" i="15"/>
  <c r="L431" i="15" s="1"/>
  <c r="J431" i="15"/>
  <c r="I433" i="15" l="1"/>
  <c r="K432" i="15"/>
  <c r="L432" i="15" s="1"/>
  <c r="J432" i="15"/>
  <c r="G434" i="15"/>
  <c r="F434" i="15"/>
  <c r="E434" i="15"/>
  <c r="I434" i="15" l="1"/>
  <c r="K434" i="15" s="1"/>
  <c r="L434" i="15" s="1"/>
  <c r="E435" i="15"/>
  <c r="F435" i="15"/>
  <c r="G435" i="15"/>
  <c r="J433" i="15"/>
  <c r="K433" i="15"/>
  <c r="L433" i="15" s="1"/>
  <c r="J434" i="15" l="1"/>
  <c r="E436" i="15"/>
  <c r="F436" i="15"/>
  <c r="G436" i="15"/>
  <c r="I435" i="15"/>
  <c r="J435" i="15" l="1"/>
  <c r="K435" i="15"/>
  <c r="L435" i="15" s="1"/>
  <c r="I436" i="15"/>
  <c r="E438" i="15"/>
  <c r="G438" i="15"/>
  <c r="F438" i="15"/>
  <c r="F437" i="15"/>
  <c r="G437" i="15"/>
  <c r="E437" i="15"/>
  <c r="K436" i="15" l="1"/>
  <c r="L436" i="15" s="1"/>
  <c r="J436" i="15"/>
  <c r="I437" i="15"/>
  <c r="I438" i="15"/>
  <c r="E439" i="15"/>
  <c r="G439" i="15"/>
  <c r="F439" i="15"/>
  <c r="I439" i="15" l="1"/>
  <c r="K438" i="15"/>
  <c r="L438" i="15" s="1"/>
  <c r="J438" i="15"/>
  <c r="L437" i="15"/>
  <c r="J437" i="15"/>
  <c r="E440" i="15"/>
  <c r="F440" i="15"/>
  <c r="G440" i="15"/>
  <c r="J439" i="15"/>
  <c r="K439" i="15"/>
  <c r="L439" i="15" s="1"/>
  <c r="I440" i="15" l="1"/>
  <c r="G441" i="15"/>
  <c r="F441" i="15"/>
  <c r="E441" i="15"/>
  <c r="I441" i="15" l="1"/>
  <c r="F442" i="15"/>
  <c r="E442" i="15"/>
  <c r="G442" i="15"/>
  <c r="K440" i="15"/>
  <c r="L440" i="15" s="1"/>
  <c r="J440" i="15"/>
  <c r="I442" i="15" l="1"/>
  <c r="G443" i="15"/>
  <c r="F443" i="15"/>
  <c r="E443" i="15"/>
  <c r="K441" i="15"/>
  <c r="L441" i="15" s="1"/>
  <c r="J441" i="15"/>
  <c r="I443" i="15" l="1"/>
  <c r="E445" i="15"/>
  <c r="F445" i="15"/>
  <c r="G445" i="15"/>
  <c r="K442" i="15"/>
  <c r="L442" i="15" s="1"/>
  <c r="J442" i="15"/>
  <c r="G444" i="15" l="1"/>
  <c r="F444" i="15"/>
  <c r="E444" i="15"/>
  <c r="I445" i="15"/>
  <c r="G446" i="15"/>
  <c r="E446" i="15"/>
  <c r="F446" i="15"/>
  <c r="K443" i="15"/>
  <c r="L443" i="15" s="1"/>
  <c r="J443" i="15"/>
  <c r="I444" i="15" l="1"/>
  <c r="J445" i="15"/>
  <c r="K445" i="15"/>
  <c r="L445" i="15" s="1"/>
  <c r="L444" i="15"/>
  <c r="J444" i="15"/>
  <c r="E447" i="15"/>
  <c r="F447" i="15"/>
  <c r="G447" i="15"/>
  <c r="I446" i="15"/>
  <c r="K446" i="15" l="1"/>
  <c r="L446" i="15" s="1"/>
  <c r="J446" i="15"/>
  <c r="E448" i="15"/>
  <c r="G448" i="15"/>
  <c r="F448" i="15"/>
  <c r="I447" i="15"/>
  <c r="I448" i="15" l="1"/>
  <c r="K448" i="15"/>
  <c r="L448" i="15" s="1"/>
  <c r="J448" i="15"/>
  <c r="K447" i="15"/>
  <c r="L447" i="15" s="1"/>
  <c r="J447" i="15"/>
  <c r="G449" i="15"/>
  <c r="E449" i="15"/>
  <c r="F449" i="15"/>
  <c r="I449" i="15" l="1"/>
  <c r="K449" i="15" s="1"/>
  <c r="L449" i="15" s="1"/>
  <c r="E450" i="15"/>
  <c r="F450" i="15"/>
  <c r="G450" i="15"/>
  <c r="J449" i="15" l="1"/>
  <c r="G452" i="15"/>
  <c r="E452" i="15"/>
  <c r="F452" i="15"/>
  <c r="I450" i="15"/>
  <c r="G451" i="15"/>
  <c r="E451" i="15"/>
  <c r="F451" i="15"/>
  <c r="I452" i="15" l="1"/>
  <c r="J452" i="15" s="1"/>
  <c r="K452" i="15"/>
  <c r="L452" i="15" s="1"/>
  <c r="G453" i="15"/>
  <c r="F453" i="15"/>
  <c r="E453" i="15"/>
  <c r="J450" i="15"/>
  <c r="K450" i="15"/>
  <c r="L450" i="15" s="1"/>
  <c r="I451" i="15"/>
  <c r="I453" i="15" l="1"/>
  <c r="K453" i="15"/>
  <c r="L453" i="15" s="1"/>
  <c r="J453" i="15"/>
  <c r="J451" i="15"/>
  <c r="L451" i="15"/>
  <c r="G454" i="15"/>
  <c r="F454" i="15"/>
  <c r="E454" i="15"/>
  <c r="I454" i="15" l="1"/>
  <c r="E455" i="15"/>
  <c r="F455" i="15"/>
  <c r="G455" i="15"/>
  <c r="I455" i="15" l="1"/>
  <c r="J454" i="15"/>
  <c r="K454" i="15"/>
  <c r="L454" i="15" s="1"/>
  <c r="G456" i="15"/>
  <c r="F456" i="15"/>
  <c r="E456" i="15"/>
  <c r="I456" i="15" l="1"/>
  <c r="G457" i="15"/>
  <c r="F457" i="15"/>
  <c r="E457" i="15"/>
  <c r="K455" i="15"/>
  <c r="L455" i="15" s="1"/>
  <c r="J455" i="15"/>
  <c r="F459" i="15" l="1"/>
  <c r="G459" i="15"/>
  <c r="E459" i="15"/>
  <c r="I457" i="15"/>
  <c r="J456" i="15"/>
  <c r="K456" i="15"/>
  <c r="L456" i="15" s="1"/>
  <c r="F460" i="15" l="1"/>
  <c r="G460" i="15"/>
  <c r="E460" i="15"/>
  <c r="K457" i="15"/>
  <c r="L457" i="15" s="1"/>
  <c r="J457" i="15"/>
  <c r="F458" i="15"/>
  <c r="G458" i="15"/>
  <c r="E458" i="15"/>
  <c r="I459" i="15"/>
  <c r="G461" i="15" l="1"/>
  <c r="E461" i="15"/>
  <c r="F461" i="15"/>
  <c r="K459" i="15"/>
  <c r="L459" i="15" s="1"/>
  <c r="J459" i="15"/>
  <c r="I458" i="15"/>
  <c r="I460" i="15"/>
  <c r="I461" i="15" l="1"/>
  <c r="E462" i="15"/>
  <c r="F462" i="15"/>
  <c r="G462" i="15"/>
  <c r="J461" i="15"/>
  <c r="K461" i="15"/>
  <c r="L461" i="15" s="1"/>
  <c r="J460" i="15"/>
  <c r="K460" i="15"/>
  <c r="L460" i="15" s="1"/>
  <c r="J458" i="15"/>
  <c r="L458" i="15"/>
  <c r="I462" i="15" l="1"/>
  <c r="F463" i="15"/>
  <c r="E463" i="15"/>
  <c r="G463" i="15"/>
  <c r="E466" i="15" l="1"/>
  <c r="G466" i="15"/>
  <c r="F466" i="15"/>
  <c r="I463" i="15"/>
  <c r="E464" i="15"/>
  <c r="F464" i="15"/>
  <c r="G464" i="15"/>
  <c r="K462" i="15"/>
  <c r="L462" i="15" s="1"/>
  <c r="J462" i="15"/>
  <c r="I466" i="15" l="1"/>
  <c r="E465" i="15"/>
  <c r="G465" i="15"/>
  <c r="F465" i="15"/>
  <c r="F467" i="15" s="1"/>
  <c r="M468" i="15" s="1"/>
  <c r="I464" i="15"/>
  <c r="K463" i="15"/>
  <c r="L463" i="15" s="1"/>
  <c r="J463" i="15"/>
  <c r="J464" i="15" l="1"/>
  <c r="K464" i="15"/>
  <c r="L464" i="15" s="1"/>
  <c r="I465" i="15"/>
  <c r="K466" i="15"/>
  <c r="M470" i="15" s="1"/>
  <c r="J466" i="15"/>
  <c r="L465" i="15" l="1"/>
  <c r="J465" i="15"/>
  <c r="M469" i="15"/>
  <c r="M472" i="15" s="1"/>
  <c r="L466" i="15"/>
  <c r="B2" i="11" l="1"/>
  <c r="E5" i="3"/>
  <c r="E5" i="8"/>
  <c r="E172" i="8" l="1"/>
  <c r="I172" i="8" s="1"/>
  <c r="E173" i="8"/>
  <c r="I173" i="8" s="1"/>
  <c r="E174" i="8"/>
  <c r="I174" i="8" s="1"/>
  <c r="E175" i="8"/>
  <c r="I175" i="8" s="1"/>
  <c r="E176" i="8"/>
  <c r="I176" i="8" s="1"/>
  <c r="E177" i="8"/>
  <c r="I177" i="8" s="1"/>
  <c r="E178" i="8"/>
  <c r="I178" i="8" s="1"/>
  <c r="E179" i="8"/>
  <c r="I179" i="8" s="1"/>
  <c r="E180" i="8"/>
  <c r="I180" i="8" s="1"/>
  <c r="E181" i="8"/>
  <c r="I181" i="8" s="1"/>
  <c r="E182" i="8"/>
  <c r="I182" i="8" s="1"/>
  <c r="E172" i="3"/>
  <c r="E173" i="3"/>
  <c r="E181" i="3"/>
  <c r="E180" i="3"/>
  <c r="E174" i="3"/>
  <c r="E182" i="3"/>
  <c r="J182" i="3" s="1"/>
  <c r="E183" i="3"/>
  <c r="J183" i="3" s="1"/>
  <c r="E185" i="3"/>
  <c r="J185" i="3" s="1"/>
  <c r="E175" i="3"/>
  <c r="E184" i="3"/>
  <c r="J184" i="3" s="1"/>
  <c r="E186" i="3"/>
  <c r="J186" i="3" s="1"/>
  <c r="E176" i="3"/>
  <c r="E177" i="3"/>
  <c r="E178" i="3"/>
  <c r="E179" i="3"/>
  <c r="E187" i="3"/>
  <c r="J187" i="3" s="1"/>
  <c r="E190" i="3"/>
  <c r="J190" i="3" s="1"/>
  <c r="E194" i="8"/>
  <c r="I194" i="8" s="1"/>
  <c r="E192" i="8"/>
  <c r="I192" i="8" s="1"/>
  <c r="E195" i="8"/>
  <c r="I195" i="8" s="1"/>
  <c r="E196" i="8"/>
  <c r="I196" i="8" s="1"/>
  <c r="E193" i="8"/>
  <c r="I193" i="8" s="1"/>
  <c r="E197" i="8"/>
  <c r="I197" i="8" s="1"/>
  <c r="E187" i="8"/>
  <c r="I187" i="8" s="1"/>
  <c r="E188" i="8"/>
  <c r="I188" i="8" s="1"/>
  <c r="E191" i="8"/>
  <c r="I191" i="8" s="1"/>
  <c r="E189" i="8"/>
  <c r="I189" i="8" s="1"/>
  <c r="E190" i="8"/>
  <c r="I190" i="8" s="1"/>
  <c r="E192" i="3"/>
  <c r="J192" i="3" s="1"/>
  <c r="E191" i="3"/>
  <c r="J191" i="3" s="1"/>
  <c r="E209" i="3"/>
  <c r="J209" i="3" s="1"/>
  <c r="E208" i="3"/>
  <c r="J208" i="3" s="1"/>
  <c r="E199" i="3"/>
  <c r="J199" i="3" s="1"/>
  <c r="E213" i="3"/>
  <c r="J213" i="3" s="1"/>
  <c r="E211" i="3"/>
  <c r="J211" i="3" s="1"/>
  <c r="E210" i="3"/>
  <c r="J210" i="3" s="1"/>
  <c r="E201" i="3"/>
  <c r="J201" i="3" s="1"/>
  <c r="E200" i="3"/>
  <c r="J200" i="3" s="1"/>
  <c r="E206" i="3"/>
  <c r="J206" i="3" s="1"/>
  <c r="E205" i="3"/>
  <c r="J205" i="3" s="1"/>
  <c r="E193" i="3"/>
  <c r="J193" i="3" s="1"/>
  <c r="E203" i="3"/>
  <c r="J203" i="3" s="1"/>
  <c r="E202" i="3"/>
  <c r="J202" i="3" s="1"/>
  <c r="E189" i="3"/>
  <c r="J189" i="3" s="1"/>
  <c r="E196" i="3"/>
  <c r="J196" i="3" s="1"/>
  <c r="E198" i="3"/>
  <c r="J198" i="3" s="1"/>
  <c r="E197" i="3"/>
  <c r="J197" i="3" s="1"/>
  <c r="E188" i="3"/>
  <c r="J188" i="3" s="1"/>
  <c r="E195" i="3"/>
  <c r="J195" i="3" s="1"/>
  <c r="E212" i="3"/>
  <c r="J212" i="3" s="1"/>
  <c r="E204" i="3"/>
  <c r="J204" i="3" s="1"/>
  <c r="E207" i="3"/>
  <c r="J207" i="3" s="1"/>
  <c r="E194" i="3"/>
  <c r="J194" i="3" s="1"/>
  <c r="D2" i="11"/>
  <c r="J227" i="3" l="1"/>
  <c r="B4" i="11" s="1"/>
  <c r="D4" i="11" s="1"/>
  <c r="I217" i="8"/>
  <c r="B3" i="11" s="1"/>
  <c r="D3" i="11" l="1"/>
  <c r="D11" i="10"/>
  <c r="F11" i="10"/>
  <c r="G11" i="10" s="1"/>
  <c r="B12" i="10"/>
  <c r="B13" i="10"/>
  <c r="C10" i="10"/>
  <c r="D10" i="10" s="1"/>
  <c r="F10" i="10"/>
  <c r="G10" i="10" l="1"/>
  <c r="F13" i="10"/>
  <c r="G13" i="10" s="1"/>
  <c r="D12" i="10"/>
  <c r="E12" i="5"/>
  <c r="E12" i="7"/>
  <c r="F12" i="10"/>
  <c r="G12" i="10" s="1"/>
  <c r="E14" i="7" l="1"/>
  <c r="E14" i="5"/>
  <c r="D13" i="10"/>
  <c r="B14" i="10"/>
  <c r="E11" i="5"/>
  <c r="E11" i="7"/>
  <c r="E13" i="7"/>
  <c r="E13" i="5"/>
  <c r="B15" i="10" l="1"/>
  <c r="F14" i="10"/>
  <c r="D14" i="10"/>
  <c r="G14" i="10" l="1"/>
  <c r="B16" i="10"/>
  <c r="D15" i="10"/>
  <c r="F15" i="10"/>
  <c r="G15" i="10" s="1"/>
  <c r="E16" i="5" l="1"/>
  <c r="E16" i="7"/>
  <c r="C17" i="10"/>
  <c r="B18" i="10"/>
  <c r="D16" i="10"/>
  <c r="F16" i="10"/>
  <c r="G16" i="10" s="1"/>
  <c r="B17" i="10"/>
  <c r="E15" i="5"/>
  <c r="E15" i="7"/>
  <c r="E17" i="7" l="1"/>
  <c r="E17" i="5"/>
  <c r="B19" i="10"/>
  <c r="F18" i="10"/>
  <c r="G18" i="10" s="1"/>
  <c r="D18" i="10"/>
  <c r="D17" i="10"/>
  <c r="F17" i="10"/>
  <c r="G17" i="10" s="1"/>
  <c r="B20" i="10" l="1"/>
  <c r="F19" i="10"/>
  <c r="G19" i="10" s="1"/>
  <c r="D19" i="10"/>
  <c r="E19" i="5"/>
  <c r="E19" i="7"/>
  <c r="E18" i="5"/>
  <c r="E18" i="7"/>
  <c r="E20" i="5" l="1"/>
  <c r="E20" i="7"/>
  <c r="D20" i="10"/>
  <c r="F20" i="10"/>
  <c r="G20" i="10" s="1"/>
  <c r="B21" i="10"/>
  <c r="B22" i="10" l="1"/>
  <c r="E21" i="7"/>
  <c r="E21" i="5"/>
  <c r="D21" i="10"/>
  <c r="F21" i="10"/>
  <c r="G21" i="10" s="1"/>
  <c r="E22" i="5" l="1"/>
  <c r="E22" i="7"/>
  <c r="B23" i="10"/>
  <c r="F22" i="10"/>
  <c r="G22" i="10" s="1"/>
  <c r="D22" i="10"/>
  <c r="E23" i="7" l="1"/>
  <c r="E23" i="5"/>
  <c r="B25" i="10"/>
  <c r="F23" i="10"/>
  <c r="G23" i="10" s="1"/>
  <c r="D23" i="10"/>
  <c r="E24" i="5" l="1"/>
  <c r="E24" i="7"/>
  <c r="C24" i="10"/>
  <c r="B26" i="10"/>
  <c r="D25" i="10"/>
  <c r="F25" i="10"/>
  <c r="G25" i="10" s="1"/>
  <c r="B24" i="10"/>
  <c r="E26" i="5" l="1"/>
  <c r="E26" i="7"/>
  <c r="B27" i="10"/>
  <c r="F24" i="10"/>
  <c r="G24" i="10" s="1"/>
  <c r="D24" i="10"/>
  <c r="F26" i="10"/>
  <c r="G26" i="10" s="1"/>
  <c r="D26" i="10"/>
  <c r="E27" i="5" l="1"/>
  <c r="E27" i="7"/>
  <c r="E25" i="5"/>
  <c r="E25" i="7"/>
  <c r="B28" i="10"/>
  <c r="F27" i="10"/>
  <c r="G27" i="10" s="1"/>
  <c r="D27" i="10"/>
  <c r="E28" i="5" l="1"/>
  <c r="E28" i="7"/>
  <c r="B29" i="10"/>
  <c r="D28" i="10"/>
  <c r="F28" i="10"/>
  <c r="G28" i="10" s="1"/>
  <c r="E29" i="5" l="1"/>
  <c r="E29" i="7"/>
  <c r="B30" i="10"/>
  <c r="F29" i="10"/>
  <c r="G29" i="10" s="1"/>
  <c r="D29" i="10"/>
  <c r="E30" i="5" l="1"/>
  <c r="E30" i="7"/>
  <c r="B32" i="10"/>
  <c r="C31" i="10"/>
  <c r="D30" i="10"/>
  <c r="B31" i="10"/>
  <c r="F30" i="10"/>
  <c r="G30" i="10" s="1"/>
  <c r="E31" i="7" l="1"/>
  <c r="E31" i="5"/>
  <c r="D31" i="10"/>
  <c r="F31" i="10"/>
  <c r="G31" i="10" s="1"/>
  <c r="B33" i="10"/>
  <c r="D32" i="10"/>
  <c r="F32" i="10"/>
  <c r="G32" i="10" s="1"/>
  <c r="E33" i="7" l="1"/>
  <c r="E33" i="5"/>
  <c r="B34" i="10"/>
  <c r="E32" i="7"/>
  <c r="E32" i="5"/>
  <c r="F33" i="10"/>
  <c r="G33" i="10" s="1"/>
  <c r="D33" i="10"/>
  <c r="E34" i="5" l="1"/>
  <c r="E34" i="7"/>
  <c r="B35" i="10"/>
  <c r="F34" i="10"/>
  <c r="G34" i="10" s="1"/>
  <c r="D34" i="10"/>
  <c r="E35" i="5" l="1"/>
  <c r="E35" i="7"/>
  <c r="B36" i="10"/>
  <c r="D35" i="10"/>
  <c r="F35" i="10"/>
  <c r="G35" i="10" s="1"/>
  <c r="B37" i="10" l="1"/>
  <c r="E36" i="7"/>
  <c r="E36" i="5"/>
  <c r="D36" i="10"/>
  <c r="F36" i="10"/>
  <c r="G36" i="10" s="1"/>
  <c r="B39" i="10" l="1"/>
  <c r="E37" i="7"/>
  <c r="E37" i="5"/>
  <c r="F37" i="10"/>
  <c r="G37" i="10" s="1"/>
  <c r="D37" i="10"/>
  <c r="E38" i="5" l="1"/>
  <c r="E38" i="7"/>
  <c r="B40" i="10"/>
  <c r="D39" i="10"/>
  <c r="B38" i="10"/>
  <c r="F39" i="10"/>
  <c r="G39" i="10" s="1"/>
  <c r="E39" i="5" l="1"/>
  <c r="E39" i="7"/>
  <c r="F38" i="10"/>
  <c r="G38" i="10" s="1"/>
  <c r="D38" i="10"/>
  <c r="B41" i="10"/>
  <c r="F40" i="10"/>
  <c r="G40" i="10" s="1"/>
  <c r="D40" i="10"/>
  <c r="E41" i="5" l="1"/>
  <c r="E41" i="7"/>
  <c r="F41" i="10"/>
  <c r="G41" i="10" s="1"/>
  <c r="D41" i="10"/>
  <c r="B42" i="10"/>
  <c r="E40" i="5"/>
  <c r="E40" i="7"/>
  <c r="D42" i="10" l="1"/>
  <c r="F42" i="10"/>
  <c r="G42" i="10" s="1"/>
  <c r="B43" i="10"/>
  <c r="E42" i="7"/>
  <c r="E42" i="5"/>
  <c r="B44" i="10" l="1"/>
  <c r="F43" i="10"/>
  <c r="G43" i="10" s="1"/>
  <c r="D43" i="10"/>
  <c r="E43" i="7"/>
  <c r="E43" i="5"/>
  <c r="E44" i="5" l="1"/>
  <c r="E44" i="7"/>
  <c r="B46" i="10"/>
  <c r="F44" i="10"/>
  <c r="G44" i="10" s="1"/>
  <c r="B45" i="10"/>
  <c r="D44" i="10"/>
  <c r="D45" i="10" l="1"/>
  <c r="F45" i="10"/>
  <c r="G45" i="10" s="1"/>
  <c r="E45" i="5"/>
  <c r="E45" i="7"/>
  <c r="B47" i="10"/>
  <c r="F46" i="10"/>
  <c r="G46" i="10" s="1"/>
  <c r="D46" i="10"/>
  <c r="E47" i="5" l="1"/>
  <c r="E47" i="7"/>
  <c r="B48" i="10"/>
  <c r="D47" i="10"/>
  <c r="F47" i="10"/>
  <c r="G47" i="10" s="1"/>
  <c r="E46" i="7"/>
  <c r="E46" i="5"/>
  <c r="B49" i="10" l="1"/>
  <c r="E48" i="5"/>
  <c r="E48" i="7"/>
  <c r="D48" i="10"/>
  <c r="F48" i="10"/>
  <c r="G48" i="10" s="1"/>
  <c r="B50" i="10" l="1"/>
  <c r="E49" i="7"/>
  <c r="E49" i="5"/>
  <c r="D49" i="10"/>
  <c r="F49" i="10"/>
  <c r="G49" i="10" s="1"/>
  <c r="B51" i="10" l="1"/>
  <c r="E50" i="5"/>
  <c r="E50" i="7"/>
  <c r="F50" i="10"/>
  <c r="G50" i="10" s="1"/>
  <c r="D50" i="10"/>
  <c r="E51" i="5" l="1"/>
  <c r="E51" i="7"/>
  <c r="B53" i="10"/>
  <c r="F51" i="10"/>
  <c r="G51" i="10" s="1"/>
  <c r="D51" i="10"/>
  <c r="E52" i="5" l="1"/>
  <c r="E52" i="7"/>
  <c r="B54" i="10"/>
  <c r="D53" i="10"/>
  <c r="B52" i="10"/>
  <c r="F53" i="10"/>
  <c r="G53" i="10" s="1"/>
  <c r="E54" i="5" l="1"/>
  <c r="E54" i="7"/>
  <c r="F52" i="10"/>
  <c r="G52" i="10" s="1"/>
  <c r="D52" i="10"/>
  <c r="B55" i="10"/>
  <c r="D54" i="10"/>
  <c r="F54" i="10"/>
  <c r="G54" i="10" s="1"/>
  <c r="E55" i="7" l="1"/>
  <c r="E55" i="5"/>
  <c r="F55" i="10"/>
  <c r="G55" i="10" s="1"/>
  <c r="D55" i="10"/>
  <c r="B56" i="10"/>
  <c r="E53" i="7"/>
  <c r="E53" i="5"/>
  <c r="F56" i="10" l="1"/>
  <c r="G56" i="10" s="1"/>
  <c r="D56" i="10"/>
  <c r="B57" i="10"/>
  <c r="E56" i="5"/>
  <c r="E56" i="7"/>
  <c r="F57" i="10" l="1"/>
  <c r="G57" i="10" s="1"/>
  <c r="D57" i="10"/>
  <c r="B58" i="10"/>
  <c r="E57" i="5"/>
  <c r="E57" i="7"/>
  <c r="D58" i="10" l="1"/>
  <c r="F58" i="10"/>
  <c r="G58" i="10" s="1"/>
  <c r="B59" i="10"/>
  <c r="B60" i="10"/>
  <c r="E58" i="5"/>
  <c r="E58" i="7"/>
  <c r="B61" i="10" l="1"/>
  <c r="E59" i="7"/>
  <c r="E59" i="5"/>
  <c r="D60" i="10"/>
  <c r="F60" i="10"/>
  <c r="G60" i="10" s="1"/>
  <c r="D59" i="10"/>
  <c r="F59" i="10"/>
  <c r="G59" i="10" s="1"/>
  <c r="E60" i="5" l="1"/>
  <c r="E60" i="7"/>
  <c r="B62" i="10"/>
  <c r="E61" i="5"/>
  <c r="E61" i="7"/>
  <c r="F61" i="10"/>
  <c r="G61" i="10" s="1"/>
  <c r="D61" i="10"/>
  <c r="E62" i="5" l="1"/>
  <c r="E62" i="7"/>
  <c r="B63" i="10"/>
  <c r="F62" i="10"/>
  <c r="G62" i="10" s="1"/>
  <c r="D62" i="10"/>
  <c r="E63" i="7" l="1"/>
  <c r="E63" i="5"/>
  <c r="B64" i="10"/>
  <c r="D63" i="10"/>
  <c r="F63" i="10"/>
  <c r="G63" i="10" s="1"/>
  <c r="E64" i="5" l="1"/>
  <c r="E64" i="7"/>
  <c r="B65" i="10"/>
  <c r="F64" i="10"/>
  <c r="G64" i="10" s="1"/>
  <c r="D64" i="10"/>
  <c r="E65" i="5" l="1"/>
  <c r="E65" i="7"/>
  <c r="B67" i="10"/>
  <c r="D65" i="10"/>
  <c r="F65" i="10"/>
  <c r="G65" i="10" s="1"/>
  <c r="E66" i="5" l="1"/>
  <c r="E66" i="7"/>
  <c r="B68" i="10"/>
  <c r="F67" i="10"/>
  <c r="G67" i="10" s="1"/>
  <c r="D67" i="10"/>
  <c r="B66" i="10"/>
  <c r="D66" i="10" l="1"/>
  <c r="F66" i="10"/>
  <c r="G66" i="10" s="1"/>
  <c r="E68" i="5"/>
  <c r="E68" i="7"/>
  <c r="B69" i="10"/>
  <c r="F68" i="10"/>
  <c r="G68" i="10" s="1"/>
  <c r="D68" i="10"/>
  <c r="B70" i="10" l="1"/>
  <c r="D69" i="10"/>
  <c r="F69" i="10"/>
  <c r="G69" i="10" s="1"/>
  <c r="E69" i="7"/>
  <c r="E69" i="5"/>
  <c r="E67" i="7"/>
  <c r="E67" i="5"/>
  <c r="E70" i="5" l="1"/>
  <c r="E70" i="7"/>
  <c r="B71" i="10"/>
  <c r="F70" i="10"/>
  <c r="G70" i="10" s="1"/>
  <c r="D70" i="10"/>
  <c r="E71" i="5" l="1"/>
  <c r="E71" i="7"/>
  <c r="B72" i="10"/>
  <c r="F71" i="10"/>
  <c r="G71" i="10" s="1"/>
  <c r="D71" i="10"/>
  <c r="E72" i="5" l="1"/>
  <c r="E72" i="7"/>
  <c r="B74" i="10"/>
  <c r="D72" i="10"/>
  <c r="B73" i="10"/>
  <c r="F72" i="10"/>
  <c r="G72" i="10" s="1"/>
  <c r="E73" i="7" l="1"/>
  <c r="E73" i="5"/>
  <c r="D73" i="10"/>
  <c r="F73" i="10"/>
  <c r="G73" i="10" s="1"/>
  <c r="B75" i="10"/>
  <c r="F74" i="10"/>
  <c r="G74" i="10" s="1"/>
  <c r="D74" i="10"/>
  <c r="E75" i="5" l="1"/>
  <c r="E75" i="7"/>
  <c r="B76" i="10"/>
  <c r="E74" i="7"/>
  <c r="E74" i="5"/>
  <c r="D75" i="10"/>
  <c r="F75" i="10"/>
  <c r="G75" i="10" s="1"/>
  <c r="E76" i="7" l="1"/>
  <c r="E76" i="5"/>
  <c r="B77" i="10"/>
  <c r="D76" i="10"/>
  <c r="F76" i="10"/>
  <c r="G76" i="10" s="1"/>
  <c r="E77" i="5" l="1"/>
  <c r="E77" i="7"/>
  <c r="D77" i="10"/>
  <c r="F77" i="10"/>
  <c r="G77" i="10" s="1"/>
  <c r="B78" i="10"/>
  <c r="B79" i="10" l="1"/>
  <c r="E78" i="5"/>
  <c r="E78" i="7"/>
  <c r="F78" i="10"/>
  <c r="G78" i="10" s="1"/>
  <c r="D78" i="10"/>
  <c r="E79" i="5" l="1"/>
  <c r="E79" i="7"/>
  <c r="B81" i="10"/>
  <c r="D79" i="10"/>
  <c r="F79" i="10"/>
  <c r="G79" i="10" s="1"/>
  <c r="B82" i="10" l="1"/>
  <c r="E80" i="5"/>
  <c r="E80" i="7"/>
  <c r="F81" i="10"/>
  <c r="G81" i="10" s="1"/>
  <c r="D81" i="10"/>
  <c r="B80" i="10"/>
  <c r="F80" i="10" l="1"/>
  <c r="G80" i="10" s="1"/>
  <c r="D80" i="10"/>
  <c r="E82" i="5"/>
  <c r="E82" i="7"/>
  <c r="B83" i="10"/>
  <c r="F82" i="10"/>
  <c r="G82" i="10" s="1"/>
  <c r="D82" i="10"/>
  <c r="D83" i="10" l="1"/>
  <c r="F83" i="10"/>
  <c r="G83" i="10" s="1"/>
  <c r="B84" i="10"/>
  <c r="E83" i="5"/>
  <c r="E83" i="7"/>
  <c r="E81" i="5"/>
  <c r="E81" i="7"/>
  <c r="B85" i="10" l="1"/>
  <c r="D84" i="10"/>
  <c r="F84" i="10"/>
  <c r="G84" i="10" s="1"/>
  <c r="E84" i="5"/>
  <c r="E84" i="7"/>
  <c r="E85" i="7" l="1"/>
  <c r="E85" i="5"/>
  <c r="B86" i="10"/>
  <c r="F85" i="10"/>
  <c r="G85" i="10" s="1"/>
  <c r="D85" i="10"/>
  <c r="E86" i="5" l="1"/>
  <c r="E86" i="7"/>
  <c r="B88" i="10"/>
  <c r="F86" i="10"/>
  <c r="G86" i="10" s="1"/>
  <c r="D86" i="10"/>
  <c r="B87" i="10"/>
  <c r="D87" i="10" l="1"/>
  <c r="F87" i="10"/>
  <c r="G87" i="10" s="1"/>
  <c r="E87" i="5"/>
  <c r="E87" i="7"/>
  <c r="B89" i="10"/>
  <c r="D88" i="10"/>
  <c r="F88" i="10"/>
  <c r="G88" i="10" s="1"/>
  <c r="B90" i="10" l="1"/>
  <c r="D89" i="10"/>
  <c r="F89" i="10"/>
  <c r="G89" i="10" s="1"/>
  <c r="E89" i="5"/>
  <c r="E89" i="7"/>
  <c r="E88" i="5"/>
  <c r="E88" i="7"/>
  <c r="B91" i="10" l="1"/>
  <c r="E90" i="7"/>
  <c r="E90" i="5"/>
  <c r="D90" i="10"/>
  <c r="F90" i="10"/>
  <c r="G90" i="10" s="1"/>
  <c r="B92" i="10" l="1"/>
  <c r="E91" i="5"/>
  <c r="E91" i="7"/>
  <c r="F91" i="10"/>
  <c r="G91" i="10" s="1"/>
  <c r="D91" i="10"/>
  <c r="E92" i="7" l="1"/>
  <c r="E92" i="5"/>
  <c r="B93" i="10"/>
  <c r="D92" i="10"/>
  <c r="F92" i="10"/>
  <c r="G92" i="10" s="1"/>
  <c r="E93" i="5" l="1"/>
  <c r="E93" i="7"/>
  <c r="B95" i="10"/>
  <c r="F93" i="10"/>
  <c r="G93" i="10" s="1"/>
  <c r="D93" i="10"/>
  <c r="E94" i="7" l="1"/>
  <c r="E94" i="5"/>
  <c r="B96" i="10"/>
  <c r="D95" i="10"/>
  <c r="B94" i="10"/>
  <c r="F95" i="10"/>
  <c r="G95" i="10" s="1"/>
  <c r="D94" i="10" l="1"/>
  <c r="F94" i="10"/>
  <c r="G94" i="10" s="1"/>
  <c r="E96" i="7"/>
  <c r="E96" i="5"/>
  <c r="B97" i="10"/>
  <c r="D96" i="10"/>
  <c r="F96" i="10"/>
  <c r="G96" i="10" s="1"/>
  <c r="B98" i="10" l="1"/>
  <c r="D97" i="10"/>
  <c r="F97" i="10"/>
  <c r="G97" i="10" s="1"/>
  <c r="E97" i="5"/>
  <c r="E97" i="7"/>
  <c r="E95" i="7"/>
  <c r="E95" i="5"/>
  <c r="B99" i="10" l="1"/>
  <c r="E98" i="7"/>
  <c r="E98" i="5"/>
  <c r="F98" i="10"/>
  <c r="G98" i="10" s="1"/>
  <c r="D98" i="10"/>
  <c r="E99" i="5" l="1"/>
  <c r="E99" i="7"/>
  <c r="B100" i="10"/>
  <c r="D99" i="10"/>
  <c r="F99" i="10"/>
  <c r="G99" i="10" s="1"/>
  <c r="B102" i="10" l="1"/>
  <c r="E100" i="5"/>
  <c r="E100" i="7"/>
  <c r="B101" i="10"/>
  <c r="F100" i="10"/>
  <c r="G100" i="10" s="1"/>
  <c r="D100" i="10"/>
  <c r="B103" i="10" l="1"/>
  <c r="E101" i="7"/>
  <c r="E101" i="5"/>
  <c r="D101" i="10"/>
  <c r="F101" i="10"/>
  <c r="G101" i="10" s="1"/>
  <c r="D102" i="10"/>
  <c r="F102" i="10"/>
  <c r="G102" i="10" s="1"/>
  <c r="E103" i="7" l="1"/>
  <c r="E103" i="5"/>
  <c r="B104" i="10"/>
  <c r="E102" i="7"/>
  <c r="E102" i="5"/>
  <c r="D103" i="10"/>
  <c r="F103" i="10"/>
  <c r="G103" i="10" s="1"/>
  <c r="E104" i="5" l="1"/>
  <c r="E104" i="7"/>
  <c r="B105" i="10"/>
  <c r="F104" i="10"/>
  <c r="G104" i="10" s="1"/>
  <c r="D104" i="10"/>
  <c r="E105" i="7" l="1"/>
  <c r="E105" i="5"/>
  <c r="B106" i="10"/>
  <c r="D105" i="10"/>
  <c r="F105" i="10"/>
  <c r="G105" i="10" s="1"/>
  <c r="E106" i="5" l="1"/>
  <c r="E106" i="7"/>
  <c r="B107" i="10"/>
  <c r="D106" i="10"/>
  <c r="F106" i="10"/>
  <c r="G106" i="10" s="1"/>
  <c r="E107" i="7" l="1"/>
  <c r="E107" i="5"/>
  <c r="B109" i="10"/>
  <c r="D107" i="10"/>
  <c r="F107" i="10"/>
  <c r="G107" i="10" s="1"/>
  <c r="E108" i="5" l="1"/>
  <c r="E108" i="7"/>
  <c r="B110" i="10"/>
  <c r="F109" i="10"/>
  <c r="G109" i="10" s="1"/>
  <c r="B108" i="10"/>
  <c r="D109" i="10"/>
  <c r="F108" i="10" l="1"/>
  <c r="G108" i="10" s="1"/>
  <c r="D108" i="10"/>
  <c r="E110" i="5"/>
  <c r="E110" i="7"/>
  <c r="B111" i="10"/>
  <c r="D110" i="10"/>
  <c r="F110" i="10"/>
  <c r="G110" i="10" s="1"/>
  <c r="E111" i="7" l="1"/>
  <c r="E111" i="5"/>
  <c r="B112" i="10"/>
  <c r="D111" i="10"/>
  <c r="F111" i="10"/>
  <c r="G111" i="10" s="1"/>
  <c r="E109" i="7"/>
  <c r="E109" i="5"/>
  <c r="E112" i="7" l="1"/>
  <c r="E112" i="5"/>
  <c r="B113" i="10"/>
  <c r="D112" i="10"/>
  <c r="F112" i="10"/>
  <c r="G112" i="10" s="1"/>
  <c r="B114" i="10" l="1"/>
  <c r="E113" i="5"/>
  <c r="E113" i="7"/>
  <c r="D113" i="10"/>
  <c r="F113" i="10"/>
  <c r="G113" i="10" s="1"/>
  <c r="B116" i="10" l="1"/>
  <c r="E114" i="7"/>
  <c r="E114" i="5"/>
  <c r="B115" i="10"/>
  <c r="D114" i="10"/>
  <c r="F114" i="10"/>
  <c r="G114" i="10" s="1"/>
  <c r="E115" i="7" l="1"/>
  <c r="E115" i="5"/>
  <c r="D115" i="10"/>
  <c r="F115" i="10"/>
  <c r="G115" i="10" s="1"/>
  <c r="B117" i="10"/>
  <c r="F116" i="10"/>
  <c r="G116" i="10" s="1"/>
  <c r="D116" i="10"/>
  <c r="E117" i="5" l="1"/>
  <c r="E117" i="7"/>
  <c r="B118" i="10"/>
  <c r="E116" i="5"/>
  <c r="E116" i="7"/>
  <c r="F117" i="10"/>
  <c r="G117" i="10" s="1"/>
  <c r="D117" i="10"/>
  <c r="E118" i="5" l="1"/>
  <c r="E118" i="7"/>
  <c r="B119" i="10"/>
  <c r="D118" i="10"/>
  <c r="F118" i="10"/>
  <c r="G118" i="10" s="1"/>
  <c r="E119" i="5" l="1"/>
  <c r="E119" i="7"/>
  <c r="B120" i="10"/>
  <c r="D119" i="10"/>
  <c r="F119" i="10"/>
  <c r="G119" i="10" s="1"/>
  <c r="E120" i="7" l="1"/>
  <c r="E120" i="5"/>
  <c r="B121" i="10"/>
  <c r="D120" i="10"/>
  <c r="F120" i="10"/>
  <c r="G120" i="10" s="1"/>
  <c r="E121" i="5" l="1"/>
  <c r="E121" i="7"/>
  <c r="B123" i="10"/>
  <c r="D121" i="10"/>
  <c r="F121" i="10"/>
  <c r="G121" i="10" s="1"/>
  <c r="E122" i="5" l="1"/>
  <c r="E122" i="7"/>
  <c r="F123" i="10"/>
  <c r="G123" i="10" s="1"/>
  <c r="D123" i="10"/>
  <c r="B122" i="10"/>
  <c r="B124" i="10"/>
  <c r="B125" i="10" l="1"/>
  <c r="F122" i="10"/>
  <c r="G122" i="10" s="1"/>
  <c r="D122" i="10"/>
  <c r="F124" i="10"/>
  <c r="G124" i="10" s="1"/>
  <c r="D124" i="10"/>
  <c r="E124" i="5"/>
  <c r="E124" i="7"/>
  <c r="E123" i="7" l="1"/>
  <c r="E123" i="5"/>
  <c r="B126" i="10"/>
  <c r="E125" i="5"/>
  <c r="E125" i="7"/>
  <c r="D125" i="10"/>
  <c r="F125" i="10"/>
  <c r="G125" i="10" s="1"/>
  <c r="E126" i="7" l="1"/>
  <c r="E126" i="5"/>
  <c r="B127" i="10"/>
  <c r="D126" i="10"/>
  <c r="F126" i="10"/>
  <c r="G126" i="10" s="1"/>
  <c r="E127" i="5" l="1"/>
  <c r="E127" i="7"/>
  <c r="B128" i="10"/>
  <c r="D127" i="10"/>
  <c r="F127" i="10"/>
  <c r="G127" i="10" s="1"/>
  <c r="E128" i="5" l="1"/>
  <c r="E128" i="7"/>
  <c r="B130" i="10"/>
  <c r="F128" i="10"/>
  <c r="G128" i="10" s="1"/>
  <c r="B129" i="10"/>
  <c r="D128" i="10"/>
  <c r="F129" i="10" l="1"/>
  <c r="G129" i="10" s="1"/>
  <c r="D129" i="10"/>
  <c r="E129" i="7"/>
  <c r="E129" i="5"/>
  <c r="B131" i="10"/>
  <c r="D130" i="10"/>
  <c r="F130" i="10"/>
  <c r="G130" i="10" s="1"/>
  <c r="E131" i="5" l="1"/>
  <c r="E131" i="7"/>
  <c r="B132" i="10"/>
  <c r="D131" i="10"/>
  <c r="F131" i="10"/>
  <c r="G131" i="10" s="1"/>
  <c r="E130" i="5"/>
  <c r="E130" i="7"/>
  <c r="E132" i="5" l="1"/>
  <c r="E132" i="7"/>
  <c r="B133" i="10"/>
  <c r="F132" i="10"/>
  <c r="G132" i="10" s="1"/>
  <c r="D132" i="10"/>
  <c r="E133" i="5" l="1"/>
  <c r="E133" i="7"/>
  <c r="D133" i="10"/>
  <c r="F133" i="10"/>
  <c r="G133" i="10" s="1"/>
  <c r="B134" i="10"/>
  <c r="B135" i="10" l="1"/>
  <c r="E134" i="5"/>
  <c r="E134" i="7"/>
  <c r="D134" i="10"/>
  <c r="F134" i="10"/>
  <c r="G134" i="10" s="1"/>
  <c r="B137" i="10" l="1"/>
  <c r="E135" i="7"/>
  <c r="E135" i="5"/>
  <c r="D135" i="10"/>
  <c r="F135" i="10"/>
  <c r="G135" i="10" s="1"/>
  <c r="B138" i="10" l="1"/>
  <c r="E136" i="7"/>
  <c r="E136" i="5"/>
  <c r="D137" i="10"/>
  <c r="F137" i="10"/>
  <c r="G137" i="10" s="1"/>
  <c r="B136" i="10"/>
  <c r="D136" i="10" l="1"/>
  <c r="F136" i="10"/>
  <c r="G136" i="10" s="1"/>
  <c r="B139" i="10"/>
  <c r="E138" i="5"/>
  <c r="E138" i="7"/>
  <c r="D138" i="10"/>
  <c r="F138" i="10"/>
  <c r="G138" i="10" s="1"/>
  <c r="E139" i="7" l="1"/>
  <c r="E139" i="5"/>
  <c r="B140" i="10"/>
  <c r="D139" i="10"/>
  <c r="F139" i="10"/>
  <c r="G139" i="10" s="1"/>
  <c r="E137" i="5"/>
  <c r="E137" i="7"/>
  <c r="E140" i="7" l="1"/>
  <c r="E140" i="5"/>
  <c r="B141" i="10"/>
  <c r="D140" i="10"/>
  <c r="F140" i="10"/>
  <c r="G140" i="10" s="1"/>
  <c r="B142" i="10" l="1"/>
  <c r="E141" i="5"/>
  <c r="E141" i="7"/>
  <c r="F141" i="10"/>
  <c r="G141" i="10" s="1"/>
  <c r="D141" i="10"/>
  <c r="B144" i="10" l="1"/>
  <c r="E142" i="7"/>
  <c r="E142" i="5"/>
  <c r="B143" i="10"/>
  <c r="D142" i="10"/>
  <c r="F142" i="10"/>
  <c r="G142" i="10" s="1"/>
  <c r="D143" i="10" l="1"/>
  <c r="F143" i="10"/>
  <c r="G143" i="10" s="1"/>
  <c r="B145" i="10"/>
  <c r="E143" i="7"/>
  <c r="E143" i="5"/>
  <c r="D144" i="10"/>
  <c r="F144" i="10"/>
  <c r="G144" i="10" s="1"/>
  <c r="E145" i="7" l="1"/>
  <c r="E145" i="5"/>
  <c r="B146" i="10"/>
  <c r="D145" i="10"/>
  <c r="F145" i="10"/>
  <c r="G145" i="10" s="1"/>
  <c r="E144" i="5"/>
  <c r="E144" i="7"/>
  <c r="E146" i="7" l="1"/>
  <c r="E146" i="5"/>
  <c r="B147" i="10"/>
  <c r="F146" i="10"/>
  <c r="G146" i="10" s="1"/>
  <c r="D146" i="10"/>
  <c r="E147" i="5" l="1"/>
  <c r="E147" i="7"/>
  <c r="B148" i="10"/>
  <c r="D147" i="10"/>
  <c r="F147" i="10"/>
  <c r="G147" i="10" s="1"/>
  <c r="E148" i="5" l="1"/>
  <c r="E148" i="7"/>
  <c r="B149" i="10"/>
  <c r="D148" i="10"/>
  <c r="F148" i="10"/>
  <c r="G148" i="10" s="1"/>
  <c r="B151" i="10" l="1"/>
  <c r="E149" i="5"/>
  <c r="E149" i="7"/>
  <c r="D149" i="10"/>
  <c r="F149" i="10"/>
  <c r="G149" i="10" s="1"/>
  <c r="E150" i="5" l="1"/>
  <c r="E150" i="7"/>
  <c r="B152" i="10"/>
  <c r="D151" i="10"/>
  <c r="B150" i="10"/>
  <c r="F151" i="10"/>
  <c r="G151" i="10" s="1"/>
  <c r="E152" i="7" l="1"/>
  <c r="E152" i="5"/>
  <c r="F150" i="10"/>
  <c r="G150" i="10" s="1"/>
  <c r="D150" i="10"/>
  <c r="B153" i="10"/>
  <c r="F152" i="10"/>
  <c r="G152" i="10" s="1"/>
  <c r="D152" i="10"/>
  <c r="D153" i="10" l="1"/>
  <c r="F153" i="10"/>
  <c r="G153" i="10" s="1"/>
  <c r="B154" i="10"/>
  <c r="E153" i="7"/>
  <c r="E153" i="5"/>
  <c r="E151" i="5"/>
  <c r="E151" i="7"/>
  <c r="B155" i="10" l="1"/>
  <c r="F154" i="10"/>
  <c r="G154" i="10" s="1"/>
  <c r="D154" i="10"/>
  <c r="E154" i="5"/>
  <c r="E154" i="7"/>
  <c r="E155" i="5" l="1"/>
  <c r="E155" i="7"/>
  <c r="B156" i="10"/>
  <c r="F155" i="10"/>
  <c r="G155" i="10" s="1"/>
  <c r="D155" i="10"/>
  <c r="E156" i="7" l="1"/>
  <c r="E156" i="5"/>
  <c r="B158" i="10"/>
  <c r="D156" i="10"/>
  <c r="F156" i="10"/>
  <c r="G156" i="10" s="1"/>
  <c r="B157" i="10"/>
  <c r="E157" i="7" l="1"/>
  <c r="E157" i="5"/>
  <c r="B159" i="10"/>
  <c r="F157" i="10"/>
  <c r="G157" i="10" s="1"/>
  <c r="D157" i="10"/>
  <c r="D158" i="10"/>
  <c r="F158" i="10"/>
  <c r="G158" i="10" s="1"/>
  <c r="E159" i="5" l="1"/>
  <c r="E159" i="7"/>
  <c r="B160" i="10"/>
  <c r="E158" i="5"/>
  <c r="E158" i="7"/>
  <c r="D159" i="10"/>
  <c r="F159" i="10"/>
  <c r="G159" i="10" s="1"/>
  <c r="B161" i="10" l="1"/>
  <c r="E160" i="5"/>
  <c r="E160" i="7"/>
  <c r="D160" i="10"/>
  <c r="F160" i="10"/>
  <c r="G160" i="10" s="1"/>
  <c r="B162" i="10" l="1"/>
  <c r="E161" i="7"/>
  <c r="E161" i="5"/>
  <c r="D161" i="10"/>
  <c r="F161" i="10"/>
  <c r="G161" i="10" s="1"/>
  <c r="B163" i="10" l="1"/>
  <c r="E162" i="7"/>
  <c r="E162" i="5"/>
  <c r="F162" i="10"/>
  <c r="G162" i="10" s="1"/>
  <c r="D162" i="10"/>
  <c r="B165" i="10" l="1"/>
  <c r="E163" i="5"/>
  <c r="E163" i="7"/>
  <c r="F163" i="10"/>
  <c r="G163" i="10" s="1"/>
  <c r="D163" i="10"/>
  <c r="B166" i="10" l="1"/>
  <c r="E164" i="5"/>
  <c r="E164" i="7"/>
  <c r="D165" i="10"/>
  <c r="B164" i="10"/>
  <c r="F165" i="10"/>
  <c r="G165" i="10" s="1"/>
  <c r="B167" i="10" l="1"/>
  <c r="E166" i="7"/>
  <c r="E166" i="5"/>
  <c r="D164" i="10"/>
  <c r="F164" i="10"/>
  <c r="G164" i="10" s="1"/>
  <c r="F166" i="10"/>
  <c r="G166" i="10" s="1"/>
  <c r="D166" i="10"/>
  <c r="E167" i="7" l="1"/>
  <c r="E167" i="5"/>
  <c r="B168" i="10"/>
  <c r="E165" i="5"/>
  <c r="E165" i="7"/>
  <c r="D167" i="10"/>
  <c r="F167" i="10"/>
  <c r="G167" i="10" s="1"/>
  <c r="E168" i="5" l="1"/>
  <c r="E168" i="7"/>
  <c r="B169" i="10"/>
  <c r="D168" i="10"/>
  <c r="F168" i="10"/>
  <c r="G168" i="10" s="1"/>
  <c r="E169" i="7" l="1"/>
  <c r="E169" i="5"/>
  <c r="B170" i="10"/>
  <c r="D169" i="10"/>
  <c r="F169" i="10"/>
  <c r="G169" i="10" s="1"/>
  <c r="E170" i="5" l="1"/>
  <c r="E170" i="7"/>
  <c r="B172" i="10"/>
  <c r="D170" i="10"/>
  <c r="F170" i="10"/>
  <c r="G170" i="10" s="1"/>
  <c r="B171" i="10"/>
  <c r="E171" i="7" l="1"/>
  <c r="E171" i="5"/>
  <c r="B173" i="10"/>
  <c r="F171" i="10"/>
  <c r="G171" i="10" s="1"/>
  <c r="D171" i="10"/>
  <c r="F172" i="10"/>
  <c r="G172" i="10" s="1"/>
  <c r="D172" i="10"/>
  <c r="E172" i="5" l="1"/>
  <c r="E172" i="7"/>
  <c r="B174" i="10"/>
  <c r="D173" i="10"/>
  <c r="F173" i="10"/>
  <c r="G173" i="10" s="1"/>
  <c r="E173" i="5"/>
  <c r="E173" i="7"/>
  <c r="E174" i="7" l="1"/>
  <c r="E174" i="5"/>
  <c r="B175" i="10"/>
  <c r="D174" i="10"/>
  <c r="F174" i="10"/>
  <c r="G174" i="10" s="1"/>
  <c r="E175" i="7" l="1"/>
  <c r="E175" i="5"/>
  <c r="B176" i="10"/>
  <c r="D175" i="10"/>
  <c r="F175" i="10"/>
  <c r="G175" i="10" s="1"/>
  <c r="E176" i="5" l="1"/>
  <c r="E176" i="7"/>
  <c r="B177" i="10"/>
  <c r="F176" i="10"/>
  <c r="G176" i="10" s="1"/>
  <c r="D176" i="10"/>
  <c r="E177" i="7" l="1"/>
  <c r="E177" i="5"/>
  <c r="B179" i="10"/>
  <c r="D177" i="10"/>
  <c r="F177" i="10"/>
  <c r="G177" i="10" s="1"/>
  <c r="E178" i="7" l="1"/>
  <c r="E178" i="5"/>
  <c r="B180" i="10"/>
  <c r="B178" i="10"/>
  <c r="D179" i="10"/>
  <c r="F179" i="10"/>
  <c r="G179" i="10" s="1"/>
  <c r="E180" i="5" l="1"/>
  <c r="E180" i="7"/>
  <c r="F178" i="10"/>
  <c r="G178" i="10" s="1"/>
  <c r="D178" i="10"/>
  <c r="B181" i="10"/>
  <c r="F180" i="10"/>
  <c r="G180" i="10" s="1"/>
  <c r="D180" i="10"/>
  <c r="E181" i="5" l="1"/>
  <c r="E181" i="7"/>
  <c r="F181" i="10"/>
  <c r="G181" i="10" s="1"/>
  <c r="D181" i="10"/>
  <c r="B182" i="10"/>
  <c r="E179" i="5"/>
  <c r="E179" i="7"/>
  <c r="B183" i="10" l="1"/>
  <c r="D182" i="10"/>
  <c r="F182" i="10"/>
  <c r="G182" i="10" s="1"/>
  <c r="E182" i="7"/>
  <c r="E182" i="5"/>
  <c r="B184" i="10" l="1"/>
  <c r="E183" i="7"/>
  <c r="E183" i="5"/>
  <c r="D183" i="10"/>
  <c r="F183" i="10"/>
  <c r="G183" i="10" s="1"/>
  <c r="B186" i="10" l="1"/>
  <c r="E184" i="5"/>
  <c r="E184" i="7"/>
  <c r="B185" i="10"/>
  <c r="F184" i="10"/>
  <c r="G184" i="10" s="1"/>
  <c r="D184" i="10"/>
  <c r="E185" i="7" l="1"/>
  <c r="E185" i="5"/>
  <c r="F185" i="10"/>
  <c r="G185" i="10" s="1"/>
  <c r="D185" i="10"/>
  <c r="B187" i="10"/>
  <c r="D186" i="10"/>
  <c r="F186" i="10"/>
  <c r="G186" i="10" s="1"/>
  <c r="D187" i="10" l="1"/>
  <c r="F187" i="10"/>
  <c r="G187" i="10" s="1"/>
  <c r="B188" i="10"/>
  <c r="E187" i="7"/>
  <c r="E187" i="5"/>
  <c r="E186" i="5"/>
  <c r="E186" i="7"/>
  <c r="B189" i="10" l="1"/>
  <c r="D188" i="10"/>
  <c r="F188" i="10"/>
  <c r="G188" i="10" s="1"/>
  <c r="E188" i="5"/>
  <c r="E188" i="7"/>
  <c r="E189" i="7" l="1"/>
  <c r="E189" i="5"/>
  <c r="D189" i="10"/>
  <c r="F189" i="10"/>
  <c r="G189" i="10" s="1"/>
  <c r="B190" i="10"/>
  <c r="B191" i="10" l="1"/>
  <c r="E190" i="5"/>
  <c r="E190" i="7"/>
  <c r="F190" i="10"/>
  <c r="G190" i="10" s="1"/>
  <c r="D190" i="10"/>
  <c r="E191" i="7" l="1"/>
  <c r="E191" i="5"/>
  <c r="B193" i="10"/>
  <c r="D191" i="10"/>
  <c r="F191" i="10"/>
  <c r="G191" i="10" s="1"/>
  <c r="E192" i="5" l="1"/>
  <c r="E192" i="7"/>
  <c r="B194" i="10"/>
  <c r="D193" i="10"/>
  <c r="F193" i="10"/>
  <c r="G193" i="10" s="1"/>
  <c r="B192" i="10"/>
  <c r="F192" i="10" l="1"/>
  <c r="G192" i="10" s="1"/>
  <c r="D192" i="10"/>
  <c r="E194" i="7"/>
  <c r="E194" i="5"/>
  <c r="B195" i="10"/>
  <c r="D194" i="10"/>
  <c r="F194" i="10"/>
  <c r="G194" i="10" s="1"/>
  <c r="D195" i="10" l="1"/>
  <c r="F195" i="10"/>
  <c r="G195" i="10" s="1"/>
  <c r="B196" i="10"/>
  <c r="E195" i="7"/>
  <c r="E195" i="5"/>
  <c r="E193" i="5"/>
  <c r="E193" i="7"/>
  <c r="B197" i="10" l="1"/>
  <c r="D196" i="10"/>
  <c r="F196" i="10"/>
  <c r="G196" i="10" s="1"/>
  <c r="E196" i="5"/>
  <c r="E196" i="7"/>
  <c r="B198" i="10" l="1"/>
  <c r="E197" i="7"/>
  <c r="E197" i="5"/>
  <c r="D197" i="10"/>
  <c r="F197" i="10"/>
  <c r="G197" i="10" s="1"/>
  <c r="B200" i="10" l="1"/>
  <c r="E198" i="7"/>
  <c r="E198" i="5"/>
  <c r="D198" i="10"/>
  <c r="B199" i="10"/>
  <c r="F198" i="10"/>
  <c r="G198" i="10" s="1"/>
  <c r="B201" i="10" l="1"/>
  <c r="E199" i="5"/>
  <c r="E199" i="7"/>
  <c r="D199" i="10"/>
  <c r="F199" i="10" s="1"/>
  <c r="G199" i="10" s="1"/>
  <c r="F200" i="10"/>
  <c r="G200" i="10" s="1"/>
  <c r="D200" i="10"/>
  <c r="E201" i="7" l="1"/>
  <c r="E201" i="5"/>
  <c r="E200" i="7"/>
  <c r="E200" i="5"/>
  <c r="B202" i="10"/>
  <c r="D201" i="10"/>
  <c r="F201" i="10" s="1"/>
  <c r="G201" i="10" s="1"/>
  <c r="E202" i="5" l="1"/>
  <c r="E202" i="7"/>
  <c r="B203" i="10"/>
  <c r="D202" i="10"/>
  <c r="F202" i="10"/>
  <c r="G202" i="10" s="1"/>
  <c r="E203" i="7" l="1"/>
  <c r="E203" i="5"/>
  <c r="B204" i="10"/>
  <c r="D203" i="10"/>
  <c r="F203" i="10" s="1"/>
  <c r="G203" i="10" s="1"/>
  <c r="E204" i="7" l="1"/>
  <c r="E204" i="5"/>
  <c r="B205" i="10"/>
  <c r="D204" i="10"/>
  <c r="F204" i="10" s="1"/>
  <c r="G204" i="10" s="1"/>
  <c r="E205" i="5" l="1"/>
  <c r="E205" i="7"/>
  <c r="B207" i="10"/>
  <c r="D205" i="10"/>
  <c r="F205" i="10" s="1"/>
  <c r="G205" i="10" s="1"/>
  <c r="E206" i="5" l="1"/>
  <c r="E206" i="7"/>
  <c r="B208" i="10"/>
  <c r="D207" i="10"/>
  <c r="F207" i="10"/>
  <c r="G207" i="10" s="1"/>
  <c r="B206" i="10"/>
  <c r="E208" i="7" l="1"/>
  <c r="E208" i="5"/>
  <c r="B209" i="10"/>
  <c r="D206" i="10"/>
  <c r="F206" i="10"/>
  <c r="G206" i="10" s="1"/>
  <c r="D208" i="10"/>
  <c r="F208" i="10"/>
  <c r="G208" i="10" s="1"/>
  <c r="E207" i="5" l="1"/>
  <c r="E207" i="7"/>
  <c r="B210" i="10"/>
  <c r="E209" i="7"/>
  <c r="E209" i="5"/>
  <c r="D209" i="10"/>
  <c r="F209" i="10"/>
  <c r="G209" i="10" s="1"/>
  <c r="B211" i="10" l="1"/>
  <c r="E210" i="7"/>
  <c r="E210" i="5"/>
  <c r="F210" i="10"/>
  <c r="G210" i="10" s="1"/>
  <c r="D210" i="10"/>
  <c r="B212" i="10" l="1"/>
  <c r="E211" i="7"/>
  <c r="E211" i="5"/>
  <c r="F211" i="10"/>
  <c r="G211" i="10" s="1"/>
  <c r="D211" i="10"/>
  <c r="B214" i="10" l="1"/>
  <c r="E212" i="7"/>
  <c r="E212" i="5"/>
  <c r="D212" i="10"/>
  <c r="F212" i="10" s="1"/>
  <c r="G212" i="10" s="1"/>
  <c r="B213" i="10"/>
  <c r="D213" i="10" l="1"/>
  <c r="F213" i="10" s="1"/>
  <c r="G213" i="10" s="1"/>
  <c r="B215" i="10"/>
  <c r="E213" i="7"/>
  <c r="E213" i="5"/>
  <c r="D214" i="10"/>
  <c r="F214" i="10"/>
  <c r="G214" i="10" s="1"/>
  <c r="E215" i="5" l="1"/>
  <c r="E215" i="7"/>
  <c r="D215" i="10"/>
  <c r="F215" i="10"/>
  <c r="G215" i="10" s="1"/>
  <c r="B216" i="10"/>
  <c r="E214" i="5"/>
  <c r="E214" i="7"/>
  <c r="B217" i="10" l="1"/>
  <c r="E216" i="7"/>
  <c r="E216" i="5"/>
  <c r="D216" i="10"/>
  <c r="F216" i="10" s="1"/>
  <c r="G216" i="10" s="1"/>
  <c r="B218" i="10" l="1"/>
  <c r="E217" i="5"/>
  <c r="E217" i="7"/>
  <c r="D217" i="10"/>
  <c r="F217" i="10"/>
  <c r="G217" i="10" s="1"/>
  <c r="E218" i="7" l="1"/>
  <c r="E218" i="5"/>
  <c r="B219" i="10"/>
  <c r="D218" i="10"/>
  <c r="F218" i="10"/>
  <c r="G218" i="10" s="1"/>
  <c r="E219" i="5" l="1"/>
  <c r="E219" i="7"/>
  <c r="D219" i="10"/>
  <c r="F219" i="10" s="1"/>
  <c r="G219" i="10" s="1"/>
  <c r="B221" i="10"/>
  <c r="D221" i="10" l="1"/>
  <c r="F221" i="10" s="1"/>
  <c r="G221" i="10" s="1"/>
  <c r="B220" i="10"/>
  <c r="E220" i="5"/>
  <c r="E220" i="7"/>
  <c r="B222" i="10"/>
  <c r="B223" i="10" l="1"/>
  <c r="D222" i="10"/>
  <c r="F222" i="10" s="1"/>
  <c r="G222" i="10" s="1"/>
  <c r="D220" i="10"/>
  <c r="F220" i="10"/>
  <c r="G220" i="10" s="1"/>
  <c r="E222" i="7"/>
  <c r="E222" i="5"/>
  <c r="E223" i="7" l="1"/>
  <c r="E223" i="5"/>
  <c r="B224" i="10"/>
  <c r="E221" i="7"/>
  <c r="E221" i="5"/>
  <c r="D223" i="10"/>
  <c r="F223" i="10"/>
  <c r="G223" i="10" s="1"/>
  <c r="B225" i="10" l="1"/>
  <c r="D224" i="10"/>
  <c r="F224" i="10"/>
  <c r="G224" i="10" s="1"/>
  <c r="E224" i="5"/>
  <c r="E224" i="7"/>
  <c r="E225" i="5" l="1"/>
  <c r="E225" i="7"/>
  <c r="B226" i="10"/>
  <c r="D225" i="10"/>
  <c r="F225" i="10"/>
  <c r="G225" i="10" s="1"/>
  <c r="E226" i="7" l="1"/>
  <c r="E226" i="5"/>
  <c r="D226" i="10"/>
  <c r="F226" i="10" s="1"/>
  <c r="G226" i="10" s="1"/>
  <c r="B227" i="10"/>
  <c r="B228" i="10"/>
  <c r="E227" i="7" l="1"/>
  <c r="E227" i="5"/>
  <c r="B229" i="10"/>
  <c r="D227" i="10"/>
  <c r="F227" i="10"/>
  <c r="G227" i="10" s="1"/>
  <c r="F228" i="10"/>
  <c r="G228" i="10" s="1"/>
  <c r="D228" i="10"/>
  <c r="E228" i="7" l="1"/>
  <c r="E228" i="5"/>
  <c r="E229" i="5"/>
  <c r="E229" i="7"/>
  <c r="B230" i="10"/>
  <c r="D229" i="10"/>
  <c r="F229" i="10" s="1"/>
  <c r="G229" i="10" s="1"/>
  <c r="E230" i="5" l="1"/>
  <c r="E230" i="7"/>
  <c r="B231" i="10"/>
  <c r="D230" i="10"/>
  <c r="F230" i="10"/>
  <c r="G230" i="10" s="1"/>
  <c r="E231" i="5" l="1"/>
  <c r="E231" i="7"/>
  <c r="D231" i="10"/>
  <c r="F231" i="10" s="1"/>
  <c r="G231" i="10" s="1"/>
  <c r="B232" i="10"/>
  <c r="D232" i="10" l="1"/>
  <c r="F232" i="10"/>
  <c r="G232" i="10" s="1"/>
  <c r="E232" i="7"/>
  <c r="E232" i="5"/>
  <c r="B233" i="10"/>
  <c r="B235" i="10" l="1"/>
  <c r="D233" i="10"/>
  <c r="F233" i="10"/>
  <c r="G233" i="10" s="1"/>
  <c r="E233" i="7"/>
  <c r="E233" i="5"/>
  <c r="E234" i="5" l="1"/>
  <c r="E234" i="7"/>
  <c r="B236" i="10"/>
  <c r="B234" i="10"/>
  <c r="D235" i="10"/>
  <c r="F235" i="10" s="1"/>
  <c r="G235" i="10" s="1"/>
  <c r="B237" i="10" l="1"/>
  <c r="E236" i="7"/>
  <c r="E236" i="5"/>
  <c r="D234" i="10"/>
  <c r="F234" i="10"/>
  <c r="G234" i="10" s="1"/>
  <c r="D236" i="10"/>
  <c r="F236" i="10" s="1"/>
  <c r="G236" i="10" s="1"/>
  <c r="E237" i="5" l="1"/>
  <c r="E237" i="7"/>
  <c r="D237" i="10"/>
  <c r="F237" i="10"/>
  <c r="G237" i="10" s="1"/>
  <c r="E235" i="7"/>
  <c r="E235" i="5"/>
  <c r="B238" i="10"/>
  <c r="B239" i="10" l="1"/>
  <c r="E238" i="5"/>
  <c r="E238" i="7"/>
  <c r="D238" i="10"/>
  <c r="F238" i="10" s="1"/>
  <c r="G238" i="10" s="1"/>
  <c r="E239" i="7" l="1"/>
  <c r="E239" i="5"/>
  <c r="D239" i="10"/>
  <c r="F239" i="10"/>
  <c r="G239" i="10" s="1"/>
  <c r="B240" i="10"/>
  <c r="E240" i="7" l="1"/>
  <c r="E240" i="5"/>
  <c r="B242" i="10"/>
  <c r="D242" i="10" s="1"/>
  <c r="D240" i="10"/>
  <c r="F240" i="10"/>
  <c r="G240" i="10" s="1"/>
  <c r="B241" i="10"/>
  <c r="E241" i="5" l="1"/>
  <c r="E241" i="7"/>
  <c r="D241" i="10"/>
  <c r="F241" i="10"/>
  <c r="G241" i="10" s="1"/>
  <c r="B243" i="10"/>
  <c r="F242" i="10"/>
  <c r="G242" i="10" s="1"/>
  <c r="E243" i="7" l="1"/>
  <c r="E243" i="5"/>
  <c r="E242" i="7"/>
  <c r="E242" i="5"/>
  <c r="D243" i="10"/>
  <c r="F243" i="10"/>
  <c r="G243" i="10" s="1"/>
  <c r="B244" i="10"/>
  <c r="B245" i="10" l="1"/>
  <c r="E244" i="5"/>
  <c r="E244" i="7"/>
  <c r="D244" i="10"/>
  <c r="F244" i="10" s="1"/>
  <c r="G244" i="10" s="1"/>
  <c r="D245" i="10" l="1"/>
  <c r="F245" i="10" s="1"/>
  <c r="G245" i="10" s="1"/>
  <c r="E245" i="5"/>
  <c r="E245" i="7"/>
  <c r="B246" i="10"/>
  <c r="B247" i="10" l="1"/>
  <c r="F246" i="10"/>
  <c r="G246" i="10" s="1"/>
  <c r="D246" i="10"/>
  <c r="E246" i="5"/>
  <c r="E246" i="7"/>
  <c r="F247" i="10" l="1"/>
  <c r="G247" i="10" s="1"/>
  <c r="D247" i="10"/>
  <c r="E247" i="7"/>
  <c r="E247" i="5"/>
  <c r="B249" i="10"/>
  <c r="B250" i="10" l="1"/>
  <c r="F249" i="10"/>
  <c r="G249" i="10" s="1"/>
  <c r="E250" i="5" s="1"/>
  <c r="B248" i="10"/>
  <c r="D249" i="10"/>
  <c r="E248" i="5"/>
  <c r="E248" i="7"/>
  <c r="K301" i="5" l="1"/>
  <c r="B7" i="11" s="1"/>
  <c r="D7" i="11" s="1"/>
  <c r="F248" i="10"/>
  <c r="G248" i="10" s="1"/>
  <c r="E249" i="5" s="1"/>
  <c r="D248" i="10"/>
  <c r="D250" i="10"/>
  <c r="F250" i="10"/>
  <c r="G250" i="10" s="1"/>
  <c r="E251" i="5" s="1"/>
  <c r="B251" i="10"/>
  <c r="B252" i="10" l="1"/>
  <c r="F251" i="10"/>
  <c r="G251" i="10" s="1"/>
  <c r="E252" i="5" s="1"/>
  <c r="D251" i="10"/>
  <c r="B253" i="10" l="1"/>
  <c r="D252" i="10"/>
  <c r="F252" i="10"/>
  <c r="G252" i="10" s="1"/>
  <c r="E253" i="5" s="1"/>
  <c r="B254" i="10" l="1"/>
  <c r="F253" i="10"/>
  <c r="G253" i="10" s="1"/>
  <c r="E254" i="5" s="1"/>
  <c r="D253" i="10"/>
  <c r="B256" i="10" l="1"/>
  <c r="D254" i="10"/>
  <c r="F254" i="10"/>
  <c r="G254" i="10" s="1"/>
  <c r="E255" i="5" s="1"/>
  <c r="B255" i="10"/>
  <c r="F255" i="10" l="1"/>
  <c r="G255" i="10" s="1"/>
  <c r="E256" i="5" s="1"/>
  <c r="D255" i="10"/>
  <c r="B257" i="10"/>
  <c r="D256" i="10"/>
  <c r="F256" i="10"/>
  <c r="G256" i="10" s="1"/>
  <c r="E257" i="5" s="1"/>
  <c r="B258" i="10" l="1"/>
  <c r="F257" i="10"/>
  <c r="G257" i="10" s="1"/>
  <c r="E258" i="5" s="1"/>
  <c r="D257" i="10"/>
  <c r="F258" i="10" l="1"/>
  <c r="G258" i="10" s="1"/>
  <c r="E259" i="5" s="1"/>
  <c r="D258" i="10"/>
  <c r="B259" i="10"/>
  <c r="B260" i="10" l="1"/>
  <c r="F259" i="10"/>
  <c r="G259" i="10" s="1"/>
  <c r="E260" i="5" s="1"/>
  <c r="D259" i="10"/>
  <c r="B261" i="10" l="1"/>
  <c r="D260" i="10"/>
  <c r="F260" i="10"/>
  <c r="G260" i="10" s="1"/>
  <c r="F261" i="10" l="1"/>
  <c r="G261" i="10" s="1"/>
  <c r="D261" i="10"/>
  <c r="B263" i="10"/>
  <c r="B264" i="10" l="1"/>
  <c r="F263" i="10"/>
  <c r="G263" i="10" s="1"/>
  <c r="D263" i="10"/>
  <c r="B262" i="10"/>
  <c r="B265" i="10" l="1"/>
  <c r="F262" i="10"/>
  <c r="G262" i="10" s="1"/>
  <c r="D262" i="10"/>
  <c r="D264" i="10"/>
  <c r="F264" i="10"/>
  <c r="G264" i="10" s="1"/>
  <c r="B266" i="10" l="1"/>
  <c r="D265" i="10"/>
  <c r="F265" i="10"/>
  <c r="G265" i="10" s="1"/>
  <c r="D266" i="10" l="1"/>
  <c r="F266" i="10"/>
  <c r="G266" i="10" s="1"/>
  <c r="B267" i="10"/>
  <c r="B268" i="10" l="1"/>
  <c r="D267" i="10"/>
  <c r="F267" i="10"/>
  <c r="G267" i="10" s="1"/>
  <c r="B270" i="10" l="1"/>
  <c r="B269" i="10"/>
  <c r="F268" i="10"/>
  <c r="G268" i="10" s="1"/>
  <c r="D268" i="10"/>
  <c r="D269" i="10" l="1"/>
  <c r="F269" i="10"/>
  <c r="G269" i="10" s="1"/>
  <c r="F270" i="10"/>
  <c r="D270" i="10"/>
  <c r="G270" i="10" l="1"/>
  <c r="G273" i="10" s="1"/>
  <c r="B5" i="11" s="1"/>
  <c r="G272" i="10"/>
  <c r="D5" i="11" l="1"/>
  <c r="J250" i="7"/>
  <c r="B6" i="11" s="1"/>
  <c r="B9" i="11" l="1"/>
  <c r="D6" i="11"/>
  <c r="D9"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Rodrigo Andres Bolivar Arias</author>
    <author>f4f</author>
  </authors>
  <commentList>
    <comment ref="B1" authorId="0" shapeId="0" xr:uid="{00000000-0006-0000-0100-000001000000}">
      <text>
        <r>
          <rPr>
            <b/>
            <sz val="9"/>
            <color indexed="81"/>
            <rFont val="Tahoma"/>
            <family val="2"/>
          </rPr>
          <t>Rodrigo Andres Bolivar Arias:</t>
        </r>
        <r>
          <rPr>
            <sz val="9"/>
            <color indexed="81"/>
            <rFont val="Tahoma"/>
            <family val="2"/>
          </rPr>
          <t xml:space="preserve">
varicion anual IPC ultimo mes del año anterior
</t>
        </r>
      </text>
    </comment>
    <comment ref="B2" authorId="1" shapeId="0" xr:uid="{00000000-0006-0000-0100-000002000000}">
      <text>
        <r>
          <rPr>
            <b/>
            <sz val="9"/>
            <color indexed="81"/>
            <rFont val="Tahoma"/>
            <family val="2"/>
          </rPr>
          <t>f4f:</t>
        </r>
        <r>
          <rPr>
            <sz val="9"/>
            <color indexed="81"/>
            <rFont val="Tahoma"/>
            <family val="2"/>
          </rPr>
          <t xml:space="preserve">
1989 a 1993 se rige por salario mínimo. </t>
        </r>
      </text>
    </comment>
  </commentList>
</comments>
</file>

<file path=xl/sharedStrings.xml><?xml version="1.0" encoding="utf-8"?>
<sst xmlns="http://schemas.openxmlformats.org/spreadsheetml/2006/main" count="1911" uniqueCount="197">
  <si>
    <t>NÚM. PROCESO:</t>
  </si>
  <si>
    <t>MAGISTRADO:</t>
  </si>
  <si>
    <t>Nombre</t>
  </si>
  <si>
    <t>Responsable de liquidación en Despacho</t>
  </si>
  <si>
    <t>Celular</t>
  </si>
  <si>
    <t>Correo Electrónico</t>
  </si>
  <si>
    <t>DEMANDANTE:</t>
  </si>
  <si>
    <t>DEMANDADA:</t>
  </si>
  <si>
    <t>ART. 177 C.C.A</t>
  </si>
  <si>
    <t>ART. 195 C.P.A.C.A.</t>
  </si>
  <si>
    <t>LIQUIDAR DE ACUERDO CON</t>
  </si>
  <si>
    <t xml:space="preserve">INTERESES  </t>
  </si>
  <si>
    <t xml:space="preserve">CAPITAL ANTERIOR   </t>
  </si>
  <si>
    <t>OBJETO DE LA LIQUIDACIÓN</t>
  </si>
  <si>
    <t>INDEXACIÓN</t>
  </si>
  <si>
    <t xml:space="preserve">CAPITAL POSTERIOR  </t>
  </si>
  <si>
    <t>TITULO EJECUTIVO</t>
  </si>
  <si>
    <t>Fecha 1ra Instancia</t>
  </si>
  <si>
    <t>Fecha 2da Instancia</t>
  </si>
  <si>
    <t>Link documento y folio</t>
  </si>
  <si>
    <t>FECHA EJECUTORIA</t>
  </si>
  <si>
    <t>Fecha solicitud de cumplimiento</t>
  </si>
  <si>
    <t>Fecha de presentación demanda ejecutiva</t>
  </si>
  <si>
    <t>Fecha hasta la que se liquida</t>
  </si>
  <si>
    <t>Fecha de pago</t>
  </si>
  <si>
    <t>A. Datos generales</t>
  </si>
  <si>
    <t>Monto del pago</t>
  </si>
  <si>
    <t>B. Suma determinada</t>
  </si>
  <si>
    <t>Fecha en que se causa</t>
  </si>
  <si>
    <t>Fecha a partir de la cual se generan efectos fiscales</t>
  </si>
  <si>
    <t>Desde</t>
  </si>
  <si>
    <t>Hasta</t>
  </si>
  <si>
    <t>Período a liquidar capital anterior</t>
  </si>
  <si>
    <t>Suspensión intereses</t>
  </si>
  <si>
    <t>C. Diferencias Pensionales</t>
  </si>
  <si>
    <t>Período a liquidar INTERESES cap. Anterior</t>
  </si>
  <si>
    <t>Período a liquidar capital posterior</t>
  </si>
  <si>
    <t>Período a liquidar INTERESES cap. posterior</t>
  </si>
  <si>
    <t>D. Determinar monto primera mesada</t>
  </si>
  <si>
    <t>Fecha Ingreso a nómina</t>
  </si>
  <si>
    <t xml:space="preserve">Fecha status </t>
  </si>
  <si>
    <t>Régimen a liquidar</t>
  </si>
  <si>
    <t xml:space="preserve">Ley 33 de 1985 </t>
  </si>
  <si>
    <t xml:space="preserve">Ley 100 de 1993 </t>
  </si>
  <si>
    <t xml:space="preserve">Ley 71 de 1988   </t>
  </si>
  <si>
    <t xml:space="preserve">Decreto 758 de 1990  </t>
  </si>
  <si>
    <t>Otro ________________</t>
  </si>
  <si>
    <t>E. Liquidación prestaciones sociales (contrato realidad)</t>
  </si>
  <si>
    <t xml:space="preserve">Certificación Salarios </t>
  </si>
  <si>
    <t>Factores Reconocidos</t>
  </si>
  <si>
    <t>Factores a incluir</t>
  </si>
  <si>
    <t xml:space="preserve">Indexación IBL </t>
  </si>
  <si>
    <t xml:space="preserve">Desde (fecha de retiro) </t>
  </si>
  <si>
    <t>Hasta (fecha status)</t>
  </si>
  <si>
    <t>Extremos laborales</t>
  </si>
  <si>
    <t>Certificación Salarios</t>
  </si>
  <si>
    <t>F. Recargos (BOMBEROS)</t>
  </si>
  <si>
    <t>Prestaciones a liquidar</t>
  </si>
  <si>
    <t xml:space="preserve">Recargos Dominicales y festivos            Recargos nocturnos                                            </t>
  </si>
  <si>
    <t xml:space="preserve">|Horas extras diurnas                  Horas extras nocturnas </t>
  </si>
  <si>
    <t xml:space="preserve">Compensatorios por exceso H. extras              Compensatorios por trabajo dominical y festivo  </t>
  </si>
  <si>
    <t>G. OTROS</t>
  </si>
  <si>
    <t>Tema</t>
  </si>
  <si>
    <t>Observaciones</t>
  </si>
  <si>
    <t>Aspectos a considerar</t>
  </si>
  <si>
    <t>Es indispensable revisar que en el expediente obren las pruebas necesarias para realizar la liquidación, indicar el folio en que éstas se encuentran y dar los parámetros precisos a tener en cuenta.</t>
  </si>
  <si>
    <t>AÑO</t>
  </si>
  <si>
    <t>VARIACION ANUAL IPC</t>
  </si>
  <si>
    <t>NUEVA MESADA</t>
  </si>
  <si>
    <t>MESADA ANTERIOR</t>
  </si>
  <si>
    <t>DIFERENCIA MENSUAL</t>
  </si>
  <si>
    <t>Ley 71 1988 % S.M.ML.V decreto 2108 de 1982 Ley 6 de 1992</t>
  </si>
  <si>
    <t>MENOR</t>
  </si>
  <si>
    <t>MAYOR</t>
  </si>
  <si>
    <t>%</t>
  </si>
  <si>
    <t>VALOR MENOR</t>
  </si>
  <si>
    <t>VALOR MAYOR</t>
  </si>
  <si>
    <t>PORCENTAJE</t>
  </si>
  <si>
    <t>Si se tiene la infomación, diligenciarlo a mano. Si solo se tiene la primera mesada anterior, se introduce y se deja que la tabla actualice</t>
  </si>
  <si>
    <t>AÑO DE INICIO</t>
  </si>
  <si>
    <t>MES DE INICIO</t>
  </si>
  <si>
    <t xml:space="preserve">DIA DE INICIO </t>
  </si>
  <si>
    <t>MESADA INICIAL</t>
  </si>
  <si>
    <t>Inicio</t>
  </si>
  <si>
    <t>Final</t>
  </si>
  <si>
    <t>DESDE</t>
  </si>
  <si>
    <t>HASTA</t>
  </si>
  <si>
    <t>MES</t>
  </si>
  <si>
    <t>DÍAS</t>
  </si>
  <si>
    <t>CAPITAL</t>
  </si>
  <si>
    <t>IPC INICIAL</t>
  </si>
  <si>
    <t>IPC FINAL</t>
  </si>
  <si>
    <t>CAPITAL INDEXADO</t>
  </si>
  <si>
    <t>INDEXACION</t>
  </si>
  <si>
    <t>DESCUENTO  SALUD</t>
  </si>
  <si>
    <t>CAPITAL INDEXADO MENOS DESCUENTO</t>
  </si>
  <si>
    <t>enero</t>
  </si>
  <si>
    <t>febrero</t>
  </si>
  <si>
    <t>marzo</t>
  </si>
  <si>
    <t>abril</t>
  </si>
  <si>
    <t>mayo</t>
  </si>
  <si>
    <t>adicional</t>
  </si>
  <si>
    <t>junio</t>
  </si>
  <si>
    <t>julio</t>
  </si>
  <si>
    <t>agosto</t>
  </si>
  <si>
    <t>septiembre</t>
  </si>
  <si>
    <t>octubre</t>
  </si>
  <si>
    <t>noviembre</t>
  </si>
  <si>
    <t>diciembre</t>
  </si>
  <si>
    <t>VALOR MESADAS</t>
  </si>
  <si>
    <t>DESCUENTOS DE SALUD</t>
  </si>
  <si>
    <t xml:space="preserve">OTROS DESCUENTOS (aportes pensión) </t>
  </si>
  <si>
    <t>CAPITAL ANTERIOR</t>
  </si>
  <si>
    <t xml:space="preserve">CORTE: Desde la prescripción o el reconocimiento cuando no hay prescripción hasta la fecha de ejecutoria de la sentencia. </t>
  </si>
  <si>
    <t xml:space="preserve">OJO: El IPC final es el vigente a la ejecutoria de la sentencia. Ejemplo: En diciembre está vigente el de noviembre. </t>
  </si>
  <si>
    <t>El IPC inicial corresponde al del mes, porque el pago de la mesada es vencida. Ejemplo. La mesada de abril se paga en mayo. El IPC vigente en mayo es el de abril.</t>
  </si>
  <si>
    <t>Día siguiente a la ejecutoria</t>
  </si>
  <si>
    <t>Día en que se cumplen 10 meses</t>
  </si>
  <si>
    <t>Como son 10 meses desde la ejecutoria se vencen un dia antes de la fecha de arriba</t>
  </si>
  <si>
    <t>Día de la suspensión de intereses</t>
  </si>
  <si>
    <t>CAPITAL:</t>
  </si>
  <si>
    <t>INTERES DTF</t>
  </si>
  <si>
    <t>TASA DIARIA</t>
  </si>
  <si>
    <t>DIAS</t>
  </si>
  <si>
    <t>TOTAL INTERESES MORA</t>
  </si>
  <si>
    <t>ENERO</t>
  </si>
  <si>
    <t>FEBRERO</t>
  </si>
  <si>
    <t>MARZO</t>
  </si>
  <si>
    <t>ABRIL</t>
  </si>
  <si>
    <t>MAYO</t>
  </si>
  <si>
    <t>JUNIO</t>
  </si>
  <si>
    <t>JULIO</t>
  </si>
  <si>
    <t>AGOSTO</t>
  </si>
  <si>
    <t>SEPTIEMBRE</t>
  </si>
  <si>
    <t>OCTUBRE</t>
  </si>
  <si>
    <t>NOVIEMBRE</t>
  </si>
  <si>
    <t>DICIEMBRE</t>
  </si>
  <si>
    <t>INTERES MORATORIO CAPITAL ANTERIOR DTF</t>
  </si>
  <si>
    <t>Dia siguiente</t>
  </si>
  <si>
    <t>CPACA</t>
  </si>
  <si>
    <t>Día siguiente a los 10 meses</t>
  </si>
  <si>
    <t>Día anterior  de pago o hasta que se liquida</t>
  </si>
  <si>
    <t>Fecha que se liquida</t>
  </si>
  <si>
    <t>Reanudación de intereses</t>
  </si>
  <si>
    <t>INT MORA</t>
  </si>
  <si>
    <t>INTERESES MORATORIOS CAPITAL ANTERIOR (1,5 IBC)</t>
  </si>
  <si>
    <t>fecha de inicio</t>
  </si>
  <si>
    <t>Día de pago o hasta que se liquida</t>
  </si>
  <si>
    <t>fecha final</t>
  </si>
  <si>
    <t>Dia que se liquida</t>
  </si>
  <si>
    <t>DIAS CAP</t>
  </si>
  <si>
    <t>CON DESCUENTO</t>
  </si>
  <si>
    <t>A partir de 2024 varía descuento para empleados con salario inferior a 3 salarios mínimos disminuye al 10%</t>
  </si>
  <si>
    <t>CAPITAL POSTERIOR</t>
  </si>
  <si>
    <t>MESADA (CON DESCTO)</t>
  </si>
  <si>
    <t>DIAS INT</t>
  </si>
  <si>
    <t>INTERES MORATORIO CAPITAL POSTERIOR DTF</t>
  </si>
  <si>
    <t>OJO: Cuando se haga el corte, en la celda amarilla debe ponerse que es = E2</t>
  </si>
  <si>
    <t>OJO: SOLO LOS PRIMEROS DIEZ (10) MESES</t>
  </si>
  <si>
    <t>CON CPACA</t>
  </si>
  <si>
    <t>Día anterior de pago o hasta que se liquida</t>
  </si>
  <si>
    <t>Fecha en la que se liquida</t>
  </si>
  <si>
    <t>INTERES CORRIENTES</t>
  </si>
  <si>
    <t>INTERESES MORATORIOS</t>
  </si>
  <si>
    <t>INTERES MORATORIO CAPITAL POSTERIOR (1,5 IBC)</t>
  </si>
  <si>
    <t>VALOR</t>
  </si>
  <si>
    <t>PAGOS</t>
  </si>
  <si>
    <t>SALDO</t>
  </si>
  <si>
    <t>INTERES MORA CAP ANT DTF</t>
  </si>
  <si>
    <t>INTERES MORA CAP ANT (1,5 IBC)</t>
  </si>
  <si>
    <t>INTERES MORA CAP POST DTF</t>
  </si>
  <si>
    <t>INTERES MORA CAP POST (1,5 IBC)</t>
  </si>
  <si>
    <t>DESCUENTO APORTES NO COTIZ</t>
  </si>
  <si>
    <t>TOTAL</t>
  </si>
  <si>
    <t>Inflación total al consumidor 1/</t>
  </si>
  <si>
    <t>1.2.5. Serie histórica_periodicidad mensual</t>
  </si>
  <si>
    <t>Información disponible desde julio de 1954.</t>
  </si>
  <si>
    <t xml:space="preserve"> </t>
  </si>
  <si>
    <t/>
  </si>
  <si>
    <r>
      <rPr>
        <b/>
        <sz val="11"/>
        <color theme="1"/>
        <rFont val="Arial"/>
        <family val="2"/>
      </rPr>
      <t>Nota:</t>
    </r>
    <r>
      <rPr>
        <sz val="11"/>
        <color theme="1"/>
        <rFont val="Arial"/>
        <family val="2"/>
      </rPr>
      <t xml:space="preserve"> De acuerdo con el literal j) del artículo 2 del Decreto 3167 de 1968 le corresponde al DANE “Establecer índices de precios a nivel del productor, del distribuidor y del consumidor (….)”, y el literal i) del numeral 1 del artículo 2 del Decreto 262 de 2004 según el cual el DANE debe “certificar la información estadística, siempre que se refiera a resultados generados, validados y aprobados por el Departamento”. </t>
    </r>
  </si>
  <si>
    <r>
      <t xml:space="preserve"> </t>
    </r>
    <r>
      <rPr>
        <u/>
        <sz val="11"/>
        <color rgb="FF0000FF"/>
        <rFont val="Arial"/>
        <family val="2"/>
      </rPr>
      <t xml:space="preserve">Consulte la plataforma que ha dispuesto el </t>
    </r>
    <r>
      <rPr>
        <b/>
        <u/>
        <sz val="11"/>
        <color rgb="FF0000FF"/>
        <rFont val="Arial"/>
        <family val="2"/>
      </rPr>
      <t>DANE</t>
    </r>
    <r>
      <rPr>
        <u/>
        <sz val="11"/>
        <color rgb="FF0000FF"/>
        <rFont val="Arial"/>
        <family val="2"/>
      </rPr>
      <t xml:space="preserve"> por medio de la cual expide y certifica los Índices de Precios al Consumidor. </t>
    </r>
  </si>
  <si>
    <t>Año(aaaa)-Mes(mm)</t>
  </si>
  <si>
    <t>Índice</t>
  </si>
  <si>
    <t>Inflación anual %</t>
  </si>
  <si>
    <t>Inflación mensual %</t>
  </si>
  <si>
    <t>Inflación año corrido %</t>
  </si>
  <si>
    <t xml:space="preserve">1 / La inflación se define como la variación porcentual del IPC entre dos periodos. En particular la inflación anual se mide tomando el IPC de un mes y calculando su variación frente al dato del mismo mes del año anterior. </t>
  </si>
  <si>
    <r>
      <t xml:space="preserve"> </t>
    </r>
    <r>
      <rPr>
        <b/>
        <sz val="11"/>
        <color theme="1"/>
        <rFont val="Arial"/>
        <family val="2"/>
      </rPr>
      <t>Fuente</t>
    </r>
    <r>
      <rPr>
        <sz val="11"/>
        <color theme="1"/>
        <rFont val="Arial"/>
        <family val="2"/>
      </rPr>
      <t>: Departamento Administrativo Nacional de Estadística - DANE (</t>
    </r>
    <r>
      <rPr>
        <u/>
        <sz val="11"/>
        <color rgb="FF0000FF"/>
        <rFont val="Arial"/>
        <family val="2"/>
      </rPr>
      <t>www.dane.gov.co</t>
    </r>
    <r>
      <rPr>
        <sz val="11"/>
        <color theme="1"/>
        <rFont val="Arial"/>
        <family val="2"/>
      </rPr>
      <t xml:space="preserve">). </t>
    </r>
  </si>
  <si>
    <t xml:space="preserve">Ley 100 artículo 204  parágrafo 5 </t>
  </si>
  <si>
    <t>Año 2020 y 2021</t>
  </si>
  <si>
    <t>Mesada pensional en salarios mínimos legales mensuales vigentes (SMLMV)</t>
  </si>
  <si>
    <t>Cotización mensual en salud</t>
  </si>
  <si>
    <t>1 SMLMV</t>
  </si>
  <si>
    <t>&gt;1 SMLMV y hasta 2 SMLMV</t>
  </si>
  <si>
    <t>A partir del año 2022</t>
  </si>
  <si>
    <r>
      <t xml:space="preserve">Según Resolución No </t>
    </r>
    <r>
      <rPr>
        <i/>
        <u/>
        <sz val="8"/>
        <color theme="1"/>
        <rFont val="Arial"/>
        <family val="2"/>
      </rPr>
      <t xml:space="preserve"> </t>
    </r>
  </si>
  <si>
    <t>Interes Bancario Corriente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</si>
</sst>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quot;$&quot;* #,##0.00_-;_-&quot;$&quot;* &quot;-&quot;??_-;_-@_-"/>
    <numFmt numFmtId="43" formatCode="_-* #,##0.00_-;\-* #,##0.00_-;_-* &quot;-&quot;??_-;_-@_-"/>
    <numFmt numFmtId="164" formatCode="_-&quot;$&quot;\ * #,##0_-;\-&quot;$&quot;\ * #,##0_-;_-&quot;$&quot;\ * &quot;-&quot;_-;_-@_-"/>
    <numFmt numFmtId="165" formatCode="_-&quot;$&quot;\ * #,##0.00_-;\-&quot;$&quot;\ * #,##0.00_-;_-&quot;$&quot;\ * &quot;-&quot;??_-;_-@_-"/>
    <numFmt numFmtId="166" formatCode="&quot;$&quot;\ #,##0"/>
    <numFmt numFmtId="167" formatCode="&quot;$&quot;\ #,##0.00"/>
    <numFmt numFmtId="168" formatCode="&quot;$&quot;#,##0.00"/>
    <numFmt numFmtId="169" formatCode="dd/mm/yy;@"/>
    <numFmt numFmtId="170" formatCode="0.000000%"/>
    <numFmt numFmtId="171" formatCode="_-* #,##0_-;\-* #,##0_-;_-* &quot;-&quot;??_-;_-@_-"/>
    <numFmt numFmtId="172" formatCode="0.0000%"/>
    <numFmt numFmtId="173" formatCode="0.00000%"/>
    <numFmt numFmtId="174" formatCode="_-&quot;$&quot;* #,##0_-;\-&quot;$&quot;* #,##0_-;_-&quot;$&quot;* &quot;-&quot;??_-;_-@_-"/>
    <numFmt numFmtId="175" formatCode="####\-##"/>
    <numFmt numFmtId="176" formatCode="0.000"/>
    <numFmt numFmtId="177" formatCode="0.0%"/>
  </numFmts>
  <fonts count="2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9"/>
      <color indexed="81"/>
      <name val="Tahoma"/>
      <family val="2"/>
    </font>
    <font>
      <b/>
      <sz val="9"/>
      <color indexed="81"/>
      <name val="Tahoma"/>
      <family val="2"/>
    </font>
    <font>
      <sz val="11"/>
      <color theme="1"/>
      <name val="Calibri"/>
      <family val="2"/>
    </font>
    <font>
      <b/>
      <i/>
      <sz val="12"/>
      <color theme="1"/>
      <name val="Arial"/>
      <family val="2"/>
    </font>
    <font>
      <i/>
      <sz val="12"/>
      <color theme="1"/>
      <name val="Arial"/>
      <family val="2"/>
    </font>
    <font>
      <sz val="11"/>
      <color theme="1"/>
      <name val="Arial"/>
      <family val="2"/>
    </font>
    <font>
      <b/>
      <sz val="11"/>
      <color theme="1"/>
      <name val="Arial"/>
      <family val="2"/>
    </font>
    <font>
      <b/>
      <sz val="11"/>
      <color rgb="FF004677"/>
      <name val="Arial"/>
      <family val="2"/>
    </font>
    <font>
      <u/>
      <sz val="11"/>
      <color rgb="FF0000FF"/>
      <name val="Arial"/>
      <family val="2"/>
    </font>
    <font>
      <b/>
      <u/>
      <sz val="11"/>
      <color rgb="FF0000FF"/>
      <name val="Arial"/>
      <family val="2"/>
    </font>
    <font>
      <sz val="11"/>
      <name val="Calibri"/>
      <family val="2"/>
      <scheme val="minor"/>
    </font>
    <font>
      <sz val="8"/>
      <name val="Calibri"/>
      <family val="2"/>
      <scheme val="minor"/>
    </font>
    <font>
      <i/>
      <sz val="8"/>
      <color theme="1"/>
      <name val="Arial"/>
      <family val="2"/>
    </font>
    <font>
      <sz val="8"/>
      <color theme="1"/>
      <name val="Arial"/>
      <family val="2"/>
    </font>
    <font>
      <b/>
      <i/>
      <sz val="8"/>
      <color theme="1"/>
      <name val="Arial"/>
      <family val="2"/>
    </font>
    <font>
      <b/>
      <sz val="8"/>
      <color theme="1"/>
      <name val="Arial"/>
      <family val="2"/>
    </font>
    <font>
      <i/>
      <u/>
      <sz val="8"/>
      <color theme="1"/>
      <name val="Arial"/>
      <family val="2"/>
    </font>
    <font>
      <i/>
      <sz val="8"/>
      <color rgb="FF000000"/>
      <name val="Arial"/>
      <family val="2"/>
    </font>
    <font>
      <b/>
      <i/>
      <sz val="8"/>
      <name val="Arial"/>
      <family val="2"/>
    </font>
    <font>
      <i/>
      <sz val="8"/>
      <name val="Arial"/>
      <family val="2"/>
    </font>
    <font>
      <sz val="8"/>
      <color rgb="FF333333"/>
      <name val="Arial"/>
      <family val="2"/>
    </font>
    <font>
      <sz val="8"/>
      <color rgb="FF000000"/>
      <name val="Arial"/>
      <family val="2"/>
    </font>
    <font>
      <i/>
      <sz val="8"/>
      <color rgb="FFFF0000"/>
      <name val="Arial"/>
      <family val="2"/>
    </font>
    <font>
      <u/>
      <sz val="8"/>
      <color theme="1"/>
      <name val="Arial"/>
      <family val="2"/>
    </font>
  </fonts>
  <fills count="15">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rgb="FFFFFFFF"/>
      </patternFill>
    </fill>
    <fill>
      <patternFill patternType="solid">
        <fgColor rgb="FFF0F4FA"/>
      </patternFill>
    </fill>
    <fill>
      <patternFill patternType="solid">
        <fgColor rgb="FFD6EAF8"/>
      </patternFill>
    </fill>
    <fill>
      <patternFill patternType="solid">
        <fgColor rgb="FF92D05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s>
  <borders count="9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rgb="FF979991"/>
      </left>
      <right/>
      <top style="thin">
        <color rgb="FF979991"/>
      </top>
      <bottom style="thin">
        <color rgb="FF979991"/>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rgb="FF979991"/>
      </left>
      <right/>
      <top style="thin">
        <color rgb="FF979991"/>
      </top>
      <bottom/>
      <diagonal/>
    </border>
    <border>
      <left style="thin">
        <color rgb="FF979991"/>
      </left>
      <right style="thin">
        <color rgb="FF979991"/>
      </right>
      <top style="thin">
        <color rgb="FF979991"/>
      </top>
      <bottom style="thin">
        <color rgb="FF979991"/>
      </bottom>
      <diagonal/>
    </border>
    <border>
      <left/>
      <right style="thin">
        <color indexed="64"/>
      </right>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right style="thick">
        <color rgb="FF000000"/>
      </right>
      <top/>
      <bottom style="medium">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thick">
        <color rgb="FF000000"/>
      </right>
      <top style="medium">
        <color rgb="FF000000"/>
      </top>
      <bottom/>
      <diagonal/>
    </border>
    <border>
      <left style="medium">
        <color rgb="FF000000"/>
      </left>
      <right style="thick">
        <color rgb="FF000000"/>
      </right>
      <top/>
      <bottom style="medium">
        <color rgb="FF000000"/>
      </bottom>
      <diagonal/>
    </border>
    <border>
      <left style="medium">
        <color rgb="FF000000"/>
      </left>
      <right/>
      <top style="medium">
        <color rgb="FF000000"/>
      </top>
      <bottom style="thick">
        <color rgb="FF000000"/>
      </bottom>
      <diagonal/>
    </border>
    <border>
      <left/>
      <right style="medium">
        <color rgb="FF000000"/>
      </right>
      <top style="medium">
        <color rgb="FF000000"/>
      </top>
      <bottom style="thick">
        <color rgb="FF000000"/>
      </bottom>
      <diagonal/>
    </border>
    <border>
      <left/>
      <right style="medium">
        <color rgb="FF000000"/>
      </right>
      <top style="thick">
        <color rgb="FF000000"/>
      </top>
      <bottom/>
      <diagonal/>
    </border>
    <border>
      <left style="medium">
        <color rgb="FF000000"/>
      </left>
      <right style="thick">
        <color rgb="FF000000"/>
      </right>
      <top style="thick">
        <color rgb="FF000000"/>
      </top>
      <bottom/>
      <diagonal/>
    </border>
    <border>
      <left style="medium">
        <color rgb="FF000000"/>
      </left>
      <right style="thick">
        <color rgb="FF000000"/>
      </right>
      <top/>
      <bottom/>
      <diagonal/>
    </border>
    <border>
      <left style="medium">
        <color rgb="FF000000"/>
      </left>
      <right style="medium">
        <color rgb="FF000000"/>
      </right>
      <top style="thick">
        <color rgb="FF000000"/>
      </top>
      <bottom/>
      <diagonal/>
    </border>
    <border>
      <left/>
      <right/>
      <top style="medium">
        <color rgb="FF000000"/>
      </top>
      <bottom/>
      <diagonal/>
    </border>
    <border>
      <left/>
      <right style="thick">
        <color rgb="FF000000"/>
      </right>
      <top/>
      <bottom/>
      <diagonal/>
    </border>
    <border>
      <left/>
      <right/>
      <top/>
      <bottom style="thin">
        <color indexed="64"/>
      </bottom>
      <diagonal/>
    </border>
    <border>
      <left/>
      <right style="thick">
        <color rgb="FF000000"/>
      </right>
      <top style="medium">
        <color rgb="FF000000"/>
      </top>
      <bottom style="medium">
        <color rgb="FF000000"/>
      </bottom>
      <diagonal/>
    </border>
    <border>
      <left style="medium">
        <color indexed="64"/>
      </left>
      <right style="medium">
        <color rgb="FF000000"/>
      </right>
      <top/>
      <bottom/>
      <diagonal/>
    </border>
    <border>
      <left style="medium">
        <color rgb="FF000000"/>
      </left>
      <right style="medium">
        <color indexed="64"/>
      </right>
      <top/>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rgb="FF000000"/>
      </bottom>
      <diagonal/>
    </border>
    <border>
      <left style="medium">
        <color indexed="64"/>
      </left>
      <right/>
      <top style="medium">
        <color rgb="FF000000"/>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rgb="FFDEE2E6"/>
      </right>
      <top style="medium">
        <color rgb="FFDEE2E6"/>
      </top>
      <bottom style="medium">
        <color rgb="FFDEE2E6"/>
      </bottom>
      <diagonal/>
    </border>
    <border>
      <left style="medium">
        <color rgb="FFDEE2E6"/>
      </left>
      <right style="medium">
        <color indexed="64"/>
      </right>
      <top style="medium">
        <color rgb="FFDEE2E6"/>
      </top>
      <bottom style="medium">
        <color rgb="FFDEE2E6"/>
      </bottom>
      <diagonal/>
    </border>
    <border>
      <left style="medium">
        <color indexed="64"/>
      </left>
      <right style="medium">
        <color rgb="FFDEE2E6"/>
      </right>
      <top style="medium">
        <color rgb="FFDEE2E6"/>
      </top>
      <bottom style="medium">
        <color indexed="64"/>
      </bottom>
      <diagonal/>
    </border>
    <border>
      <left style="medium">
        <color rgb="FFDEE2E6"/>
      </left>
      <right style="medium">
        <color indexed="64"/>
      </right>
      <top style="medium">
        <color rgb="FFDEE2E6"/>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right style="thin">
        <color indexed="64"/>
      </right>
      <top style="medium">
        <color indexed="64"/>
      </top>
      <bottom/>
      <diagonal/>
    </border>
  </borders>
  <cellStyleXfs count="8">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6" fillId="0" borderId="0"/>
    <xf numFmtId="9" fontId="3" fillId="0" borderId="0" applyFont="0" applyFill="0" applyBorder="0" applyAlignment="0" applyProtection="0"/>
    <xf numFmtId="9" fontId="3" fillId="0" borderId="0" applyFont="0" applyFill="0" applyBorder="0" applyAlignment="0" applyProtection="0"/>
  </cellStyleXfs>
  <cellXfs count="529">
    <xf numFmtId="0" fontId="0" fillId="0" borderId="0" xfId="0"/>
    <xf numFmtId="0" fontId="0" fillId="0" borderId="0" xfId="0" applyAlignment="1">
      <alignment horizontal="center"/>
    </xf>
    <xf numFmtId="0" fontId="2" fillId="0" borderId="0" xfId="0" applyFont="1"/>
    <xf numFmtId="0" fontId="0" fillId="0" borderId="0" xfId="0" applyAlignment="1">
      <alignment wrapText="1"/>
    </xf>
    <xf numFmtId="0" fontId="2" fillId="0" borderId="0" xfId="0" applyFont="1" applyAlignment="1">
      <alignment wrapText="1"/>
    </xf>
    <xf numFmtId="166" fontId="0" fillId="0" borderId="0" xfId="0" applyNumberFormat="1"/>
    <xf numFmtId="168" fontId="0" fillId="0" borderId="0" xfId="0" applyNumberFormat="1"/>
    <xf numFmtId="0" fontId="2" fillId="0" borderId="0" xfId="0" applyFont="1" applyAlignment="1">
      <alignment horizontal="center"/>
    </xf>
    <xf numFmtId="14" fontId="0" fillId="0" borderId="0" xfId="0" applyNumberFormat="1"/>
    <xf numFmtId="10" fontId="0" fillId="0" borderId="0" xfId="6" applyNumberFormat="1" applyFont="1" applyBorder="1" applyProtection="1">
      <protection locked="0"/>
    </xf>
    <xf numFmtId="0" fontId="9" fillId="0" borderId="0" xfId="0" applyFont="1" applyAlignment="1">
      <alignment wrapText="1"/>
    </xf>
    <xf numFmtId="0" fontId="8" fillId="0" borderId="27" xfId="0" applyFont="1" applyBorder="1" applyAlignment="1">
      <alignment horizontal="center" vertical="center"/>
    </xf>
    <xf numFmtId="0" fontId="8" fillId="0" borderId="0" xfId="0" applyFont="1" applyAlignment="1">
      <alignment horizontal="center" vertical="center"/>
    </xf>
    <xf numFmtId="0" fontId="10" fillId="9" borderId="34" xfId="0" applyFont="1" applyFill="1" applyBorder="1" applyAlignment="1">
      <alignment horizontal="left" vertical="center" wrapText="1"/>
    </xf>
    <xf numFmtId="0" fontId="10" fillId="9" borderId="28" xfId="0" applyFont="1" applyFill="1" applyBorder="1" applyAlignment="1">
      <alignment horizontal="left" vertical="center" wrapText="1"/>
    </xf>
    <xf numFmtId="0" fontId="10" fillId="9" borderId="35" xfId="0" applyFont="1" applyFill="1" applyBorder="1" applyAlignment="1">
      <alignment horizontal="left" vertical="center" wrapText="1"/>
    </xf>
    <xf numFmtId="0" fontId="9" fillId="0" borderId="0" xfId="0" applyFont="1" applyAlignment="1">
      <alignment horizontal="left" vertical="top" wrapText="1"/>
    </xf>
    <xf numFmtId="0" fontId="9" fillId="8" borderId="28" xfId="0" applyFont="1" applyFill="1" applyBorder="1" applyAlignment="1">
      <alignment horizontal="right" vertical="top" wrapText="1"/>
    </xf>
    <xf numFmtId="0" fontId="9" fillId="8" borderId="35" xfId="0" applyFont="1" applyFill="1" applyBorder="1" applyAlignment="1">
      <alignment horizontal="right" vertical="top" wrapText="1"/>
    </xf>
    <xf numFmtId="0" fontId="9" fillId="10" borderId="28" xfId="0" applyFont="1" applyFill="1" applyBorder="1" applyAlignment="1">
      <alignment horizontal="right" vertical="top" wrapText="1"/>
    </xf>
    <xf numFmtId="0" fontId="11" fillId="0" borderId="0" xfId="0" applyFont="1" applyAlignment="1">
      <alignment horizontal="left" vertical="top" wrapText="1"/>
    </xf>
    <xf numFmtId="175" fontId="9" fillId="9" borderId="28" xfId="0" applyNumberFormat="1" applyFont="1" applyFill="1" applyBorder="1" applyAlignment="1">
      <alignment horizontal="left" vertical="top" wrapText="1"/>
    </xf>
    <xf numFmtId="4" fontId="9" fillId="8" borderId="28" xfId="0" applyNumberFormat="1" applyFont="1" applyFill="1" applyBorder="1" applyAlignment="1">
      <alignment horizontal="right" vertical="top" wrapText="1"/>
    </xf>
    <xf numFmtId="175" fontId="9" fillId="10" borderId="28" xfId="0" applyNumberFormat="1" applyFont="1" applyFill="1" applyBorder="1" applyAlignment="1">
      <alignment horizontal="left" vertical="top" wrapText="1"/>
    </xf>
    <xf numFmtId="4" fontId="9" fillId="10" borderId="28" xfId="0" applyNumberFormat="1" applyFont="1" applyFill="1" applyBorder="1" applyAlignment="1">
      <alignment horizontal="right" vertical="top" wrapText="1"/>
    </xf>
    <xf numFmtId="4" fontId="9" fillId="10" borderId="35" xfId="0" applyNumberFormat="1" applyFont="1" applyFill="1" applyBorder="1" applyAlignment="1">
      <alignment horizontal="right" vertical="top" wrapText="1"/>
    </xf>
    <xf numFmtId="4" fontId="9" fillId="8" borderId="35" xfId="0" applyNumberFormat="1" applyFont="1" applyFill="1" applyBorder="1" applyAlignment="1">
      <alignment horizontal="right" vertical="top" wrapText="1"/>
    </xf>
    <xf numFmtId="175" fontId="9" fillId="9" borderId="0" xfId="0" applyNumberFormat="1" applyFont="1" applyFill="1" applyAlignment="1">
      <alignment horizontal="left" vertical="top" wrapText="1"/>
    </xf>
    <xf numFmtId="4" fontId="9" fillId="8" borderId="0" xfId="0" applyNumberFormat="1" applyFont="1" applyFill="1" applyAlignment="1">
      <alignment horizontal="right" vertical="top" wrapText="1"/>
    </xf>
    <xf numFmtId="168" fontId="14" fillId="0" borderId="0" xfId="0" applyNumberFormat="1" applyFont="1"/>
    <xf numFmtId="0" fontId="14" fillId="0" borderId="0" xfId="0" applyFont="1"/>
    <xf numFmtId="0" fontId="18" fillId="0" borderId="39" xfId="0" applyFont="1" applyBorder="1" applyAlignment="1">
      <alignment vertical="center" wrapText="1"/>
    </xf>
    <xf numFmtId="0" fontId="19" fillId="0" borderId="30" xfId="0" applyFont="1" applyBorder="1" applyAlignment="1">
      <alignment vertical="center" wrapText="1"/>
    </xf>
    <xf numFmtId="0" fontId="16" fillId="0" borderId="39" xfId="0" applyFont="1" applyBorder="1" applyAlignment="1">
      <alignment vertical="center" wrapText="1"/>
    </xf>
    <xf numFmtId="0" fontId="16" fillId="0" borderId="46" xfId="0" applyFont="1" applyBorder="1" applyAlignment="1">
      <alignment vertical="center" wrapText="1"/>
    </xf>
    <xf numFmtId="0" fontId="19" fillId="0" borderId="31" xfId="0" applyFont="1" applyBorder="1" applyAlignment="1">
      <alignment vertical="center" wrapText="1"/>
    </xf>
    <xf numFmtId="0" fontId="17" fillId="0" borderId="39" xfId="0" applyFont="1" applyBorder="1" applyAlignment="1">
      <alignment vertical="center" wrapText="1"/>
    </xf>
    <xf numFmtId="0" fontId="17" fillId="0" borderId="46" xfId="0" applyFont="1" applyBorder="1" applyAlignment="1">
      <alignment vertical="center" wrapText="1"/>
    </xf>
    <xf numFmtId="0" fontId="16" fillId="12" borderId="39" xfId="0" applyFont="1" applyFill="1" applyBorder="1" applyAlignment="1">
      <alignment vertical="center" wrapText="1"/>
    </xf>
    <xf numFmtId="0" fontId="16" fillId="6" borderId="39" xfId="0" applyFont="1" applyFill="1" applyBorder="1" applyAlignment="1">
      <alignment vertical="center" wrapText="1"/>
    </xf>
    <xf numFmtId="0" fontId="18" fillId="0" borderId="31" xfId="0" applyFont="1" applyBorder="1" applyAlignment="1">
      <alignment vertical="center" wrapText="1"/>
    </xf>
    <xf numFmtId="0" fontId="16" fillId="0" borderId="45" xfId="0" applyFont="1" applyBorder="1" applyAlignment="1">
      <alignment vertical="center" wrapText="1"/>
    </xf>
    <xf numFmtId="0" fontId="17" fillId="0" borderId="61" xfId="0" applyFont="1" applyBorder="1" applyAlignment="1">
      <alignment vertical="center" wrapText="1"/>
    </xf>
    <xf numFmtId="0" fontId="18" fillId="0" borderId="26" xfId="0" applyFont="1" applyBorder="1" applyAlignment="1">
      <alignment vertical="center" wrapText="1"/>
    </xf>
    <xf numFmtId="0" fontId="16" fillId="0" borderId="69" xfId="0" applyFont="1" applyBorder="1" applyAlignment="1">
      <alignment vertical="center" wrapText="1"/>
    </xf>
    <xf numFmtId="0" fontId="17" fillId="0" borderId="69" xfId="0" applyFont="1" applyBorder="1" applyAlignment="1">
      <alignment vertical="center" wrapText="1"/>
    </xf>
    <xf numFmtId="0" fontId="16" fillId="12" borderId="80" xfId="0" applyFont="1" applyFill="1" applyBorder="1" applyAlignment="1">
      <alignment vertical="center" wrapText="1"/>
    </xf>
    <xf numFmtId="0" fontId="16" fillId="12" borderId="81" xfId="0" applyFont="1" applyFill="1" applyBorder="1" applyAlignment="1">
      <alignment vertical="center" wrapText="1"/>
    </xf>
    <xf numFmtId="0" fontId="16" fillId="0" borderId="81" xfId="0" applyFont="1" applyBorder="1" applyAlignment="1">
      <alignment vertical="center" wrapText="1"/>
    </xf>
    <xf numFmtId="0" fontId="16" fillId="0" borderId="18" xfId="0" applyFont="1" applyBorder="1" applyAlignment="1">
      <alignment vertical="center" wrapText="1"/>
    </xf>
    <xf numFmtId="0" fontId="16" fillId="0" borderId="1" xfId="0" applyFont="1" applyBorder="1" applyAlignment="1">
      <alignment vertical="center" wrapText="1"/>
    </xf>
    <xf numFmtId="0" fontId="17" fillId="0" borderId="12" xfId="0" applyFont="1" applyBorder="1" applyAlignment="1">
      <alignment vertical="center" wrapText="1"/>
    </xf>
    <xf numFmtId="14" fontId="16" fillId="0" borderId="18" xfId="0" applyNumberFormat="1" applyFont="1" applyBorder="1" applyAlignment="1">
      <alignment horizontal="center" vertical="center" wrapText="1"/>
    </xf>
    <xf numFmtId="14" fontId="16" fillId="0" borderId="1" xfId="0" applyNumberFormat="1" applyFont="1" applyBorder="1" applyAlignment="1">
      <alignment vertical="center" wrapText="1"/>
    </xf>
    <xf numFmtId="14" fontId="16" fillId="12" borderId="18" xfId="0" applyNumberFormat="1" applyFont="1" applyFill="1" applyBorder="1" applyAlignment="1">
      <alignment horizontal="center" vertical="center" wrapText="1"/>
    </xf>
    <xf numFmtId="14" fontId="16" fillId="12" borderId="1" xfId="0" applyNumberFormat="1" applyFont="1" applyFill="1" applyBorder="1" applyAlignment="1">
      <alignment vertical="center" wrapText="1"/>
    </xf>
    <xf numFmtId="0" fontId="17" fillId="0" borderId="31" xfId="0" applyFont="1" applyBorder="1" applyAlignment="1">
      <alignment vertical="top" wrapText="1"/>
    </xf>
    <xf numFmtId="0" fontId="17" fillId="0" borderId="32" xfId="0" applyFont="1" applyBorder="1" applyAlignment="1">
      <alignment vertical="top" wrapText="1"/>
    </xf>
    <xf numFmtId="0" fontId="16" fillId="12" borderId="82" xfId="0" applyFont="1" applyFill="1" applyBorder="1" applyAlignment="1">
      <alignment vertical="center" wrapText="1"/>
    </xf>
    <xf numFmtId="14" fontId="16" fillId="12" borderId="19" xfId="0" applyNumberFormat="1" applyFont="1" applyFill="1" applyBorder="1" applyAlignment="1">
      <alignment vertical="center" wrapText="1"/>
    </xf>
    <xf numFmtId="14" fontId="16" fillId="12" borderId="13" xfId="0" applyNumberFormat="1" applyFont="1" applyFill="1" applyBorder="1" applyAlignment="1">
      <alignment vertical="center" wrapText="1"/>
    </xf>
    <xf numFmtId="0" fontId="17" fillId="0" borderId="14" xfId="0" applyFont="1" applyBorder="1" applyAlignment="1">
      <alignment vertical="center" wrapText="1"/>
    </xf>
    <xf numFmtId="14" fontId="16" fillId="12" borderId="15" xfId="0" applyNumberFormat="1" applyFont="1" applyFill="1" applyBorder="1" applyAlignment="1">
      <alignment vertical="center" wrapText="1"/>
    </xf>
    <xf numFmtId="14" fontId="16" fillId="12" borderId="16" xfId="0" applyNumberFormat="1" applyFont="1" applyFill="1" applyBorder="1" applyAlignment="1">
      <alignment vertical="center" wrapText="1"/>
    </xf>
    <xf numFmtId="0" fontId="17" fillId="0" borderId="17" xfId="0" applyFont="1" applyBorder="1" applyAlignment="1">
      <alignment vertical="center" wrapText="1"/>
    </xf>
    <xf numFmtId="0" fontId="17" fillId="0" borderId="31" xfId="0" applyFont="1" applyBorder="1" applyAlignment="1">
      <alignment vertical="center" wrapText="1"/>
    </xf>
    <xf numFmtId="0" fontId="18" fillId="0" borderId="31" xfId="0" applyFont="1" applyBorder="1" applyAlignment="1">
      <alignment horizontal="center" vertical="center" wrapText="1"/>
    </xf>
    <xf numFmtId="0" fontId="16" fillId="0" borderId="64" xfId="0" applyFont="1" applyBorder="1" applyAlignment="1">
      <alignment vertical="center" wrapText="1"/>
    </xf>
    <xf numFmtId="0" fontId="16" fillId="0" borderId="66" xfId="0" applyFont="1" applyBorder="1" applyAlignment="1">
      <alignment vertical="center" wrapText="1"/>
    </xf>
    <xf numFmtId="0" fontId="16" fillId="0" borderId="67" xfId="0" applyFont="1" applyBorder="1" applyAlignment="1">
      <alignment vertical="center" wrapText="1"/>
    </xf>
    <xf numFmtId="0" fontId="16" fillId="0" borderId="47" xfId="0" applyFont="1" applyBorder="1" applyAlignment="1">
      <alignment vertical="center" wrapText="1"/>
    </xf>
    <xf numFmtId="0" fontId="17" fillId="0" borderId="48" xfId="0" applyFont="1" applyBorder="1" applyAlignment="1">
      <alignment vertical="center" wrapText="1"/>
    </xf>
    <xf numFmtId="0" fontId="18" fillId="0" borderId="32" xfId="0" applyFont="1" applyBorder="1" applyAlignment="1">
      <alignment vertical="center" wrapText="1"/>
    </xf>
    <xf numFmtId="0" fontId="18" fillId="0" borderId="32" xfId="0" applyFont="1" applyBorder="1" applyAlignment="1">
      <alignment horizontal="left" vertical="center" wrapText="1" indent="1"/>
    </xf>
    <xf numFmtId="0" fontId="17" fillId="0" borderId="0" xfId="0" applyFont="1"/>
    <xf numFmtId="0" fontId="17" fillId="0" borderId="75" xfId="0" applyFont="1" applyBorder="1" applyAlignment="1">
      <alignment vertical="center" wrapText="1"/>
    </xf>
    <xf numFmtId="0" fontId="16" fillId="0" borderId="76" xfId="0" applyFont="1" applyBorder="1" applyAlignment="1">
      <alignment vertical="center" wrapText="1"/>
    </xf>
    <xf numFmtId="0" fontId="16" fillId="0" borderId="0" xfId="0" applyFont="1"/>
    <xf numFmtId="44" fontId="16" fillId="7" borderId="1" xfId="4" applyNumberFormat="1" applyFont="1" applyFill="1" applyBorder="1"/>
    <xf numFmtId="44" fontId="16" fillId="7" borderId="1" xfId="1" applyFont="1" applyFill="1" applyBorder="1"/>
    <xf numFmtId="165" fontId="16" fillId="0" borderId="0" xfId="0" applyNumberFormat="1" applyFont="1"/>
    <xf numFmtId="0" fontId="16" fillId="0" borderId="1" xfId="0" applyFont="1" applyBorder="1"/>
    <xf numFmtId="44" fontId="16" fillId="0" borderId="1" xfId="4" applyNumberFormat="1" applyFont="1" applyBorder="1"/>
    <xf numFmtId="44" fontId="16" fillId="3" borderId="1" xfId="1" applyFont="1" applyFill="1" applyBorder="1"/>
    <xf numFmtId="44" fontId="18" fillId="0" borderId="15" xfId="1" applyFont="1" applyBorder="1"/>
    <xf numFmtId="44" fontId="18" fillId="0" borderId="17" xfId="1" applyFont="1" applyBorder="1"/>
    <xf numFmtId="44" fontId="18" fillId="0" borderId="18" xfId="1" applyFont="1" applyBorder="1"/>
    <xf numFmtId="44" fontId="18" fillId="0" borderId="12" xfId="1" applyFont="1" applyBorder="1"/>
    <xf numFmtId="0" fontId="18" fillId="0" borderId="19" xfId="0" applyFont="1" applyBorder="1"/>
    <xf numFmtId="10" fontId="18" fillId="0" borderId="14" xfId="2" applyNumberFormat="1" applyFont="1" applyBorder="1"/>
    <xf numFmtId="10" fontId="16" fillId="0" borderId="0" xfId="2" applyNumberFormat="1" applyFont="1" applyAlignment="1">
      <alignment horizontal="center"/>
    </xf>
    <xf numFmtId="3" fontId="21" fillId="0" borderId="0" xfId="0" applyNumberFormat="1" applyFont="1"/>
    <xf numFmtId="14" fontId="16" fillId="0" borderId="0" xfId="0" applyNumberFormat="1" applyFont="1"/>
    <xf numFmtId="0" fontId="16" fillId="0" borderId="0" xfId="0" applyFont="1" applyAlignment="1">
      <alignment horizontal="center"/>
    </xf>
    <xf numFmtId="0" fontId="17" fillId="0" borderId="0" xfId="0" applyFont="1" applyAlignment="1">
      <alignment wrapText="1"/>
    </xf>
    <xf numFmtId="0" fontId="16" fillId="7" borderId="18" xfId="0" applyFont="1" applyFill="1" applyBorder="1"/>
    <xf numFmtId="10" fontId="16" fillId="0" borderId="12" xfId="2" applyNumberFormat="1" applyFont="1" applyBorder="1"/>
    <xf numFmtId="0" fontId="16" fillId="0" borderId="19" xfId="0" applyFont="1" applyBorder="1"/>
    <xf numFmtId="0" fontId="16" fillId="7" borderId="13" xfId="0" applyFont="1" applyFill="1" applyBorder="1"/>
    <xf numFmtId="10" fontId="16" fillId="0" borderId="14" xfId="2" applyNumberFormat="1" applyFont="1" applyBorder="1"/>
    <xf numFmtId="44" fontId="16" fillId="0" borderId="92" xfId="0" applyNumberFormat="1" applyFont="1" applyBorder="1"/>
    <xf numFmtId="44" fontId="16" fillId="0" borderId="4" xfId="0" applyNumberFormat="1" applyFont="1" applyBorder="1"/>
    <xf numFmtId="173" fontId="16" fillId="7" borderId="93" xfId="2" applyNumberFormat="1" applyFont="1" applyFill="1" applyBorder="1"/>
    <xf numFmtId="0" fontId="16" fillId="0" borderId="20" xfId="0" applyFont="1" applyBorder="1" applyAlignment="1">
      <alignment horizontal="center"/>
    </xf>
    <xf numFmtId="0" fontId="16" fillId="0" borderId="21" xfId="0" applyFont="1" applyBorder="1" applyAlignment="1">
      <alignment horizontal="center"/>
    </xf>
    <xf numFmtId="0" fontId="16" fillId="0" borderId="9" xfId="0" applyFont="1" applyBorder="1" applyAlignment="1">
      <alignment horizontal="center"/>
    </xf>
    <xf numFmtId="0" fontId="16" fillId="0" borderId="0" xfId="0" applyFont="1" applyAlignment="1">
      <alignment wrapText="1"/>
    </xf>
    <xf numFmtId="0" fontId="17" fillId="0" borderId="0" xfId="0" applyFont="1" applyAlignment="1">
      <alignment horizontal="center"/>
    </xf>
    <xf numFmtId="44" fontId="18" fillId="0" borderId="92" xfId="1" applyFont="1" applyBorder="1" applyAlignment="1">
      <alignment horizontal="center" vertical="center" wrapText="1"/>
    </xf>
    <xf numFmtId="1" fontId="18" fillId="0" borderId="93" xfId="1" applyNumberFormat="1" applyFont="1" applyBorder="1" applyAlignment="1">
      <alignment horizontal="center" vertical="center" wrapText="1"/>
    </xf>
    <xf numFmtId="44" fontId="18" fillId="0" borderId="23" xfId="1" applyFont="1" applyBorder="1" applyAlignment="1">
      <alignment horizontal="center" vertical="center" wrapText="1"/>
    </xf>
    <xf numFmtId="0" fontId="18" fillId="0" borderId="26" xfId="0" applyFont="1" applyBorder="1" applyAlignment="1">
      <alignment horizontal="center" vertical="center" wrapText="1"/>
    </xf>
    <xf numFmtId="44" fontId="18" fillId="0" borderId="15" xfId="1" applyFont="1" applyBorder="1" applyAlignment="1">
      <alignment horizontal="center" vertical="center" wrapText="1"/>
    </xf>
    <xf numFmtId="44" fontId="18" fillId="0" borderId="17" xfId="1" applyFont="1" applyBorder="1" applyAlignment="1">
      <alignment horizontal="center" vertical="center" wrapText="1"/>
    </xf>
    <xf numFmtId="0" fontId="7" fillId="0" borderId="10" xfId="0" applyFont="1" applyBorder="1" applyAlignment="1">
      <alignment horizontal="center" vertical="center" wrapText="1"/>
    </xf>
    <xf numFmtId="44" fontId="16" fillId="7" borderId="4" xfId="4" applyNumberFormat="1" applyFont="1" applyFill="1" applyBorder="1"/>
    <xf numFmtId="44" fontId="16" fillId="7" borderId="4" xfId="1" applyFont="1" applyFill="1" applyBorder="1"/>
    <xf numFmtId="0" fontId="18" fillId="0" borderId="20" xfId="0" applyFont="1" applyBorder="1" applyAlignment="1">
      <alignment horizontal="center" wrapText="1"/>
    </xf>
    <xf numFmtId="0" fontId="18" fillId="0" borderId="21" xfId="0" applyFont="1" applyBorder="1" applyAlignment="1">
      <alignment horizontal="center" wrapText="1"/>
    </xf>
    <xf numFmtId="0" fontId="18" fillId="0" borderId="9" xfId="0" applyFont="1" applyBorder="1" applyAlignment="1">
      <alignment horizontal="center" wrapText="1"/>
    </xf>
    <xf numFmtId="0" fontId="8" fillId="7" borderId="10" xfId="0" applyFont="1" applyFill="1" applyBorder="1" applyAlignment="1">
      <alignment horizontal="center" vertical="center" wrapText="1"/>
    </xf>
    <xf numFmtId="0" fontId="8" fillId="7" borderId="10" xfId="0" applyFont="1" applyFill="1" applyBorder="1" applyAlignment="1">
      <alignment horizontal="center" vertical="center"/>
    </xf>
    <xf numFmtId="0" fontId="8" fillId="0" borderId="10" xfId="0" applyFont="1" applyBorder="1" applyAlignment="1">
      <alignment horizontal="center" vertical="center"/>
    </xf>
    <xf numFmtId="0" fontId="8" fillId="0" borderId="10" xfId="0" applyFont="1" applyBorder="1" applyAlignment="1">
      <alignment horizontal="center" vertical="center" wrapText="1"/>
    </xf>
    <xf numFmtId="10" fontId="16" fillId="7" borderId="95" xfId="0" applyNumberFormat="1" applyFont="1" applyFill="1" applyBorder="1" applyAlignment="1">
      <alignment horizontal="center" vertical="center" wrapText="1"/>
    </xf>
    <xf numFmtId="44" fontId="16" fillId="7" borderId="93" xfId="0" applyNumberFormat="1" applyFont="1" applyFill="1" applyBorder="1"/>
    <xf numFmtId="10" fontId="16" fillId="7" borderId="29" xfId="0" applyNumberFormat="1" applyFont="1" applyFill="1" applyBorder="1" applyAlignment="1">
      <alignment horizontal="center" vertical="center" wrapText="1"/>
    </xf>
    <xf numFmtId="44" fontId="16" fillId="7" borderId="12" xfId="0" applyNumberFormat="1" applyFont="1" applyFill="1" applyBorder="1"/>
    <xf numFmtId="10" fontId="16" fillId="7" borderId="29" xfId="2" applyNumberFormat="1" applyFont="1" applyFill="1" applyBorder="1" applyAlignment="1">
      <alignment horizontal="center" vertical="center" wrapText="1"/>
    </xf>
    <xf numFmtId="10" fontId="16" fillId="0" borderId="29" xfId="2" applyNumberFormat="1" applyFont="1" applyFill="1" applyBorder="1" applyAlignment="1">
      <alignment horizontal="center" vertical="center" wrapText="1"/>
    </xf>
    <xf numFmtId="44" fontId="16" fillId="0" borderId="12" xfId="0" applyNumberFormat="1" applyFont="1" applyBorder="1"/>
    <xf numFmtId="10" fontId="16" fillId="0" borderId="22" xfId="2" applyNumberFormat="1" applyFont="1" applyBorder="1" applyAlignment="1">
      <alignment horizontal="center"/>
    </xf>
    <xf numFmtId="10" fontId="16" fillId="0" borderId="29" xfId="2" applyNumberFormat="1" applyFont="1" applyFill="1" applyBorder="1" applyAlignment="1">
      <alignment horizontal="center" vertical="center"/>
    </xf>
    <xf numFmtId="9" fontId="16" fillId="0" borderId="22" xfId="2" applyFont="1" applyBorder="1" applyAlignment="1">
      <alignment horizontal="center" vertical="center"/>
    </xf>
    <xf numFmtId="44" fontId="16" fillId="0" borderId="96" xfId="0" applyNumberFormat="1" applyFont="1" applyBorder="1"/>
    <xf numFmtId="10" fontId="16" fillId="0" borderId="29" xfId="0" applyNumberFormat="1" applyFont="1" applyBorder="1" applyAlignment="1">
      <alignment horizontal="center"/>
    </xf>
    <xf numFmtId="10" fontId="16" fillId="0" borderId="18" xfId="0" applyNumberFormat="1" applyFont="1" applyBorder="1" applyAlignment="1">
      <alignment horizontal="center" vertical="center" wrapText="1"/>
    </xf>
    <xf numFmtId="10" fontId="16" fillId="0" borderId="19" xfId="0" applyNumberFormat="1" applyFont="1" applyBorder="1" applyAlignment="1">
      <alignment horizontal="center" vertical="center" wrapText="1"/>
    </xf>
    <xf numFmtId="44" fontId="16" fillId="0" borderId="13" xfId="4" applyNumberFormat="1" applyFont="1" applyBorder="1"/>
    <xf numFmtId="44" fontId="16" fillId="3" borderId="13" xfId="1" applyFont="1" applyFill="1" applyBorder="1"/>
    <xf numFmtId="44" fontId="16" fillId="0" borderId="14" xfId="0" applyNumberFormat="1" applyFont="1" applyBorder="1"/>
    <xf numFmtId="1" fontId="18" fillId="0" borderId="26" xfId="1" applyNumberFormat="1" applyFont="1" applyBorder="1" applyAlignment="1">
      <alignment horizontal="center" vertical="center" wrapText="1"/>
    </xf>
    <xf numFmtId="0" fontId="16" fillId="0" borderId="0" xfId="0" applyFont="1" applyAlignment="1">
      <alignment horizontal="center" vertical="center" wrapText="1"/>
    </xf>
    <xf numFmtId="2" fontId="16" fillId="0" borderId="0" xfId="0" applyNumberFormat="1" applyFont="1" applyAlignment="1">
      <alignment horizontal="center" vertical="center" wrapText="1"/>
    </xf>
    <xf numFmtId="166" fontId="16" fillId="0" borderId="0" xfId="0" applyNumberFormat="1" applyFont="1" applyAlignment="1">
      <alignment horizontal="center" vertical="center" wrapText="1"/>
    </xf>
    <xf numFmtId="0" fontId="18" fillId="0" borderId="1" xfId="0" applyFont="1" applyBorder="1" applyAlignment="1">
      <alignment horizontal="center" vertical="center" wrapText="1"/>
    </xf>
    <xf numFmtId="0" fontId="22" fillId="0" borderId="1" xfId="0" applyFont="1" applyBorder="1" applyAlignment="1">
      <alignment horizontal="center" vertical="center" wrapText="1"/>
    </xf>
    <xf numFmtId="166" fontId="22" fillId="0" borderId="1" xfId="0" applyNumberFormat="1" applyFont="1" applyBorder="1" applyAlignment="1">
      <alignment horizontal="center" vertical="center" wrapText="1"/>
    </xf>
    <xf numFmtId="2" fontId="22"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2" fontId="22" fillId="3" borderId="1" xfId="0" applyNumberFormat="1" applyFont="1" applyFill="1" applyBorder="1" applyAlignment="1">
      <alignment horizontal="center" vertical="center" wrapText="1"/>
    </xf>
    <xf numFmtId="2" fontId="23" fillId="0" borderId="1" xfId="0" applyNumberFormat="1" applyFont="1" applyBorder="1" applyAlignment="1">
      <alignment horizontal="center" vertical="center" wrapText="1"/>
    </xf>
    <xf numFmtId="169"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vertical="center" wrapText="1"/>
    </xf>
    <xf numFmtId="2" fontId="16" fillId="0" borderId="1" xfId="0" applyNumberFormat="1" applyFont="1" applyBorder="1" applyAlignment="1">
      <alignment horizontal="center" vertical="center" wrapText="1"/>
    </xf>
    <xf numFmtId="168" fontId="16" fillId="0" borderId="1" xfId="0" applyNumberFormat="1" applyFont="1" applyBorder="1" applyAlignment="1">
      <alignment horizontal="center" vertical="center" wrapText="1"/>
    </xf>
    <xf numFmtId="169" fontId="16" fillId="11" borderId="1" xfId="0" applyNumberFormat="1" applyFont="1" applyFill="1" applyBorder="1" applyAlignment="1">
      <alignment horizontal="center" vertical="center" wrapText="1"/>
    </xf>
    <xf numFmtId="0" fontId="16" fillId="11" borderId="1" xfId="0" applyFont="1" applyFill="1" applyBorder="1" applyAlignment="1">
      <alignment horizontal="center" vertical="center" wrapText="1"/>
    </xf>
    <xf numFmtId="2" fontId="16" fillId="11" borderId="1" xfId="0" applyNumberFormat="1" applyFont="1" applyFill="1" applyBorder="1" applyAlignment="1">
      <alignment horizontal="center" vertical="center" wrapText="1"/>
    </xf>
    <xf numFmtId="2" fontId="23" fillId="11" borderId="1" xfId="0" applyNumberFormat="1" applyFont="1" applyFill="1" applyBorder="1" applyAlignment="1">
      <alignment horizontal="center" vertical="center" wrapText="1"/>
    </xf>
    <xf numFmtId="167" fontId="23" fillId="11" borderId="1" xfId="0" applyNumberFormat="1" applyFont="1" applyFill="1" applyBorder="1" applyAlignment="1">
      <alignment horizontal="center" vertical="center" wrapText="1"/>
    </xf>
    <xf numFmtId="167" fontId="16" fillId="11" borderId="1" xfId="0" applyNumberFormat="1" applyFont="1" applyFill="1" applyBorder="1" applyAlignment="1">
      <alignment horizontal="center" vertical="center" wrapText="1"/>
    </xf>
    <xf numFmtId="168" fontId="16" fillId="11" borderId="1" xfId="0" applyNumberFormat="1" applyFont="1" applyFill="1" applyBorder="1" applyAlignment="1">
      <alignment horizontal="center" vertical="center" wrapText="1"/>
    </xf>
    <xf numFmtId="168" fontId="16" fillId="7" borderId="1" xfId="0" applyNumberFormat="1" applyFont="1" applyFill="1" applyBorder="1" applyAlignment="1">
      <alignment horizontal="center" vertical="center" wrapText="1"/>
    </xf>
    <xf numFmtId="2" fontId="16" fillId="6" borderId="1" xfId="0" applyNumberFormat="1" applyFont="1" applyFill="1" applyBorder="1" applyAlignment="1">
      <alignment horizontal="center" vertical="center" wrapText="1"/>
    </xf>
    <xf numFmtId="0" fontId="16" fillId="5" borderId="0" xfId="0" applyFont="1" applyFill="1" applyAlignment="1">
      <alignment horizontal="center" vertical="center" wrapText="1"/>
    </xf>
    <xf numFmtId="166" fontId="16" fillId="5" borderId="0" xfId="0" applyNumberFormat="1" applyFont="1" applyFill="1" applyAlignment="1">
      <alignment horizontal="center" vertical="center" wrapText="1"/>
    </xf>
    <xf numFmtId="2" fontId="16" fillId="5" borderId="0" xfId="0" applyNumberFormat="1" applyFont="1" applyFill="1" applyAlignment="1">
      <alignment horizontal="center" vertical="center" wrapText="1"/>
    </xf>
    <xf numFmtId="0" fontId="18" fillId="0" borderId="0" xfId="0" applyFont="1" applyAlignment="1">
      <alignment horizontal="center" vertical="center" wrapText="1"/>
    </xf>
    <xf numFmtId="2" fontId="18" fillId="0" borderId="0" xfId="0" applyNumberFormat="1" applyFont="1" applyAlignment="1">
      <alignment horizontal="center" vertical="center" wrapText="1"/>
    </xf>
    <xf numFmtId="14" fontId="16" fillId="0" borderId="26" xfId="0" applyNumberFormat="1" applyFont="1" applyBorder="1" applyAlignment="1">
      <alignment horizontal="center" vertical="center" wrapText="1"/>
    </xf>
    <xf numFmtId="166" fontId="22" fillId="0" borderId="4" xfId="0" applyNumberFormat="1" applyFont="1" applyBorder="1" applyAlignment="1">
      <alignment horizontal="center" vertical="center" wrapText="1"/>
    </xf>
    <xf numFmtId="168" fontId="17" fillId="0" borderId="85" xfId="0" applyNumberFormat="1" applyFont="1" applyBorder="1"/>
    <xf numFmtId="0" fontId="17" fillId="0" borderId="86" xfId="0" applyFont="1" applyBorder="1"/>
    <xf numFmtId="0" fontId="17" fillId="7" borderId="22" xfId="0" applyFont="1" applyFill="1" applyBorder="1"/>
    <xf numFmtId="0" fontId="17" fillId="7" borderId="83" xfId="0" applyFont="1" applyFill="1" applyBorder="1"/>
    <xf numFmtId="0" fontId="19" fillId="7" borderId="87" xfId="0" applyFont="1" applyFill="1" applyBorder="1" applyAlignment="1">
      <alignment vertical="center" wrapText="1"/>
    </xf>
    <xf numFmtId="0" fontId="19" fillId="7" borderId="88" xfId="0" applyFont="1" applyFill="1" applyBorder="1" applyAlignment="1">
      <alignment vertical="center" wrapText="1"/>
    </xf>
    <xf numFmtId="0" fontId="17" fillId="7" borderId="87" xfId="0" applyFont="1" applyFill="1" applyBorder="1" applyAlignment="1">
      <alignment vertical="center" wrapText="1"/>
    </xf>
    <xf numFmtId="9" fontId="17" fillId="7" borderId="88" xfId="0" applyNumberFormat="1" applyFont="1" applyFill="1" applyBorder="1" applyAlignment="1">
      <alignment vertical="center" wrapText="1"/>
    </xf>
    <xf numFmtId="0" fontId="24" fillId="7" borderId="22" xfId="0" applyFont="1" applyFill="1" applyBorder="1"/>
    <xf numFmtId="0" fontId="19" fillId="7" borderId="87" xfId="0" applyFont="1" applyFill="1" applyBorder="1" applyAlignment="1">
      <alignment horizontal="left" vertical="center" wrapText="1"/>
    </xf>
    <xf numFmtId="0" fontId="17" fillId="7" borderId="89" xfId="0" applyFont="1" applyFill="1" applyBorder="1" applyAlignment="1">
      <alignment vertical="center" wrapText="1"/>
    </xf>
    <xf numFmtId="9" fontId="17" fillId="7" borderId="90" xfId="0" applyNumberFormat="1" applyFont="1" applyFill="1" applyBorder="1" applyAlignment="1">
      <alignment vertical="center" wrapText="1"/>
    </xf>
    <xf numFmtId="168" fontId="16" fillId="0" borderId="0" xfId="0" applyNumberFormat="1" applyFont="1"/>
    <xf numFmtId="2" fontId="16" fillId="0" borderId="0" xfId="0" applyNumberFormat="1" applyFont="1"/>
    <xf numFmtId="176" fontId="16" fillId="0" borderId="0" xfId="0" applyNumberFormat="1" applyFont="1"/>
    <xf numFmtId="168" fontId="23" fillId="0" borderId="0" xfId="0" applyNumberFormat="1" applyFont="1"/>
    <xf numFmtId="168" fontId="18" fillId="0" borderId="0" xfId="0" applyNumberFormat="1" applyFont="1"/>
    <xf numFmtId="168" fontId="18" fillId="0" borderId="97" xfId="0" applyNumberFormat="1" applyFont="1" applyBorder="1"/>
    <xf numFmtId="168" fontId="18" fillId="0" borderId="81" xfId="0" applyNumberFormat="1" applyFont="1" applyBorder="1"/>
    <xf numFmtId="168" fontId="18" fillId="0" borderId="69" xfId="0" applyNumberFormat="1" applyFont="1" applyBorder="1"/>
    <xf numFmtId="168" fontId="18" fillId="3" borderId="9" xfId="0" applyNumberFormat="1" applyFont="1" applyFill="1" applyBorder="1"/>
    <xf numFmtId="0" fontId="18" fillId="0" borderId="4" xfId="0" applyFont="1" applyBorder="1" applyAlignment="1">
      <alignment horizontal="center" vertical="center" wrapText="1"/>
    </xf>
    <xf numFmtId="0" fontId="19" fillId="0" borderId="0" xfId="0" applyFont="1"/>
    <xf numFmtId="169" fontId="16" fillId="0" borderId="1" xfId="0" applyNumberFormat="1" applyFont="1" applyBorder="1" applyProtection="1">
      <protection locked="0"/>
    </xf>
    <xf numFmtId="168" fontId="16" fillId="0" borderId="1" xfId="0" applyNumberFormat="1" applyFont="1" applyBorder="1" applyAlignment="1">
      <alignment vertical="center" wrapText="1"/>
    </xf>
    <xf numFmtId="10" fontId="16" fillId="0" borderId="1" xfId="0" applyNumberFormat="1" applyFont="1" applyBorder="1" applyProtection="1">
      <protection locked="0"/>
    </xf>
    <xf numFmtId="172" fontId="16" fillId="0" borderId="1" xfId="0" applyNumberFormat="1" applyFont="1" applyBorder="1"/>
    <xf numFmtId="171" fontId="16" fillId="0" borderId="1" xfId="3" applyNumberFormat="1" applyFont="1" applyBorder="1"/>
    <xf numFmtId="168" fontId="16" fillId="0" borderId="1" xfId="0" applyNumberFormat="1" applyFont="1" applyBorder="1"/>
    <xf numFmtId="10" fontId="16" fillId="0" borderId="1" xfId="0" applyNumberFormat="1" applyFont="1" applyBorder="1"/>
    <xf numFmtId="169" fontId="16" fillId="5" borderId="0" xfId="0" applyNumberFormat="1" applyFont="1" applyFill="1" applyProtection="1">
      <protection locked="0"/>
    </xf>
    <xf numFmtId="1" fontId="16" fillId="5" borderId="0" xfId="0" applyNumberFormat="1" applyFont="1" applyFill="1" applyAlignment="1" applyProtection="1">
      <alignment horizontal="center" vertical="center"/>
      <protection locked="0"/>
    </xf>
    <xf numFmtId="168" fontId="16" fillId="5" borderId="0" xfId="0" applyNumberFormat="1" applyFont="1" applyFill="1"/>
    <xf numFmtId="10" fontId="16" fillId="5" borderId="0" xfId="0" applyNumberFormat="1" applyFont="1" applyFill="1" applyProtection="1">
      <protection locked="0"/>
    </xf>
    <xf numFmtId="170" fontId="16" fillId="5" borderId="0" xfId="0" applyNumberFormat="1" applyFont="1" applyFill="1"/>
    <xf numFmtId="43" fontId="16" fillId="5" borderId="0" xfId="3" applyFont="1" applyFill="1" applyBorder="1"/>
    <xf numFmtId="168" fontId="18" fillId="4" borderId="1" xfId="0" applyNumberFormat="1" applyFont="1" applyFill="1" applyBorder="1"/>
    <xf numFmtId="14" fontId="16" fillId="0" borderId="26" xfId="0" applyNumberFormat="1" applyFont="1" applyBorder="1"/>
    <xf numFmtId="0" fontId="16" fillId="0" borderId="0" xfId="0" applyFont="1" applyAlignment="1">
      <alignment horizontal="center" vertical="center"/>
    </xf>
    <xf numFmtId="0" fontId="18" fillId="0" borderId="0" xfId="0" applyFont="1" applyAlignment="1">
      <alignment horizontal="center" vertical="center"/>
    </xf>
    <xf numFmtId="14" fontId="16" fillId="0" borderId="0" xfId="0" applyNumberFormat="1" applyFont="1" applyAlignment="1">
      <alignment horizontal="center" vertical="center"/>
    </xf>
    <xf numFmtId="168" fontId="18" fillId="3" borderId="0" xfId="0" applyNumberFormat="1" applyFont="1" applyFill="1" applyAlignment="1">
      <alignment horizontal="center" vertical="center"/>
    </xf>
    <xf numFmtId="169" fontId="16" fillId="0" borderId="1" xfId="0" applyNumberFormat="1" applyFont="1" applyBorder="1" applyAlignment="1" applyProtection="1">
      <alignment horizontal="center" vertical="center"/>
      <protection locked="0"/>
    </xf>
    <xf numFmtId="10" fontId="16" fillId="0" borderId="1" xfId="2" applyNumberFormat="1" applyFont="1" applyBorder="1" applyAlignment="1">
      <alignment horizontal="center" vertical="center" wrapText="1"/>
    </xf>
    <xf numFmtId="10" fontId="16" fillId="0" borderId="1" xfId="0" applyNumberFormat="1" applyFont="1" applyBorder="1" applyAlignment="1" applyProtection="1">
      <alignment horizontal="center" vertical="center"/>
      <protection locked="0"/>
    </xf>
    <xf numFmtId="170" fontId="16" fillId="0" borderId="1" xfId="0" applyNumberFormat="1" applyFont="1" applyBorder="1" applyAlignment="1">
      <alignment horizontal="center" vertical="center"/>
    </xf>
    <xf numFmtId="171" fontId="16" fillId="0" borderId="1" xfId="3" applyNumberFormat="1" applyFont="1" applyBorder="1" applyAlignment="1">
      <alignment horizontal="center" vertical="center"/>
    </xf>
    <xf numFmtId="168" fontId="16" fillId="0" borderId="1" xfId="0" applyNumberFormat="1" applyFont="1" applyBorder="1" applyAlignment="1">
      <alignment horizontal="center" vertical="center"/>
    </xf>
    <xf numFmtId="10" fontId="16" fillId="0" borderId="1" xfId="2" applyNumberFormat="1" applyFont="1" applyBorder="1" applyAlignment="1" applyProtection="1">
      <alignment horizontal="center" vertical="center"/>
      <protection locked="0"/>
    </xf>
    <xf numFmtId="169" fontId="16" fillId="0" borderId="5" xfId="0" applyNumberFormat="1" applyFont="1" applyBorder="1" applyAlignment="1" applyProtection="1">
      <alignment horizontal="center" vertical="center"/>
      <protection locked="0"/>
    </xf>
    <xf numFmtId="0" fontId="16" fillId="0" borderId="1" xfId="0" applyFont="1" applyBorder="1" applyAlignment="1">
      <alignment horizontal="center" vertical="center"/>
    </xf>
    <xf numFmtId="10" fontId="16" fillId="0" borderId="1" xfId="2" applyNumberFormat="1" applyFont="1" applyBorder="1" applyAlignment="1">
      <alignment horizontal="center" vertical="center"/>
    </xf>
    <xf numFmtId="169" fontId="16" fillId="0" borderId="1" xfId="0" applyNumberFormat="1" applyFont="1" applyBorder="1" applyAlignment="1" applyProtection="1">
      <alignment horizontal="center" vertical="center" wrapText="1"/>
      <protection locked="0"/>
    </xf>
    <xf numFmtId="10" fontId="16" fillId="0" borderId="1" xfId="0" applyNumberFormat="1" applyFont="1" applyBorder="1" applyAlignment="1" applyProtection="1">
      <alignment horizontal="center" vertical="center" wrapText="1"/>
      <protection locked="0"/>
    </xf>
    <xf numFmtId="170" fontId="16" fillId="0" borderId="1" xfId="0" applyNumberFormat="1" applyFont="1" applyBorder="1" applyAlignment="1">
      <alignment horizontal="center" vertical="center" wrapText="1"/>
    </xf>
    <xf numFmtId="171" fontId="16" fillId="0" borderId="1" xfId="3" applyNumberFormat="1" applyFont="1" applyBorder="1" applyAlignment="1">
      <alignment horizontal="center" vertical="center" wrapText="1"/>
    </xf>
    <xf numFmtId="168" fontId="16" fillId="0" borderId="0" xfId="0" applyNumberFormat="1" applyFont="1" applyAlignment="1">
      <alignment horizontal="center" vertical="center" wrapText="1"/>
    </xf>
    <xf numFmtId="10" fontId="16" fillId="0" borderId="0" xfId="2" applyNumberFormat="1" applyFont="1" applyBorder="1" applyAlignment="1">
      <alignment horizontal="center" vertical="center" wrapText="1"/>
    </xf>
    <xf numFmtId="168" fontId="18" fillId="4" borderId="9" xfId="0" applyNumberFormat="1" applyFont="1" applyFill="1" applyBorder="1" applyAlignment="1">
      <alignment horizontal="center" vertical="center" wrapText="1"/>
    </xf>
    <xf numFmtId="169" fontId="17" fillId="0" borderId="0" xfId="0" applyNumberFormat="1" applyFont="1" applyProtection="1">
      <protection locked="0"/>
    </xf>
    <xf numFmtId="169" fontId="16" fillId="0" borderId="0" xfId="0" applyNumberFormat="1" applyFont="1" applyAlignment="1" applyProtection="1">
      <alignment horizontal="center" vertical="center"/>
      <protection locked="0"/>
    </xf>
    <xf numFmtId="1" fontId="16" fillId="0" borderId="0" xfId="0" applyNumberFormat="1" applyFont="1" applyAlignment="1" applyProtection="1">
      <alignment horizontal="center" vertical="center"/>
      <protection locked="0"/>
    </xf>
    <xf numFmtId="10" fontId="16" fillId="0" borderId="0" xfId="2" applyNumberFormat="1" applyFont="1" applyBorder="1" applyAlignment="1">
      <alignment horizontal="center" vertical="center"/>
    </xf>
    <xf numFmtId="10" fontId="16" fillId="0" borderId="0" xfId="0" applyNumberFormat="1" applyFont="1" applyAlignment="1" applyProtection="1">
      <alignment horizontal="center" vertical="center"/>
      <protection locked="0"/>
    </xf>
    <xf numFmtId="170" fontId="16" fillId="0" borderId="0" xfId="0" applyNumberFormat="1" applyFont="1" applyAlignment="1">
      <alignment horizontal="center" vertical="center"/>
    </xf>
    <xf numFmtId="171" fontId="16" fillId="0" borderId="0" xfId="3" applyNumberFormat="1" applyFont="1" applyBorder="1" applyAlignment="1">
      <alignment horizontal="center" vertical="center"/>
    </xf>
    <xf numFmtId="168" fontId="16" fillId="0" borderId="0" xfId="0" applyNumberFormat="1" applyFont="1" applyAlignment="1">
      <alignment horizontal="center" vertical="center"/>
    </xf>
    <xf numFmtId="14" fontId="16" fillId="13" borderId="26" xfId="0" applyNumberFormat="1" applyFont="1" applyFill="1" applyBorder="1"/>
    <xf numFmtId="0" fontId="16" fillId="0" borderId="0" xfId="0" applyFont="1" applyFill="1" applyAlignment="1">
      <alignment horizontal="center" vertical="center"/>
    </xf>
    <xf numFmtId="0" fontId="16" fillId="0" borderId="0" xfId="0" applyFont="1" applyFill="1"/>
    <xf numFmtId="168" fontId="18" fillId="3" borderId="25" xfId="0" applyNumberFormat="1" applyFont="1" applyFill="1" applyBorder="1" applyAlignment="1">
      <alignment horizontal="center" vertical="center"/>
    </xf>
    <xf numFmtId="169" fontId="16" fillId="0" borderId="4" xfId="0" applyNumberFormat="1" applyFont="1" applyBorder="1" applyAlignment="1">
      <alignment horizontal="center" vertical="center" wrapText="1"/>
    </xf>
    <xf numFmtId="169" fontId="16" fillId="0" borderId="4" xfId="0" applyNumberFormat="1" applyFont="1" applyBorder="1" applyAlignment="1" applyProtection="1">
      <alignment horizontal="center" vertical="center"/>
      <protection locked="0"/>
    </xf>
    <xf numFmtId="168" fontId="16" fillId="0" borderId="4" xfId="0" applyNumberFormat="1" applyFont="1" applyBorder="1" applyAlignment="1">
      <alignment horizontal="center" vertical="center" wrapText="1"/>
    </xf>
    <xf numFmtId="10" fontId="16" fillId="0" borderId="4" xfId="2" applyNumberFormat="1" applyFont="1" applyBorder="1" applyAlignment="1">
      <alignment horizontal="center" vertical="center" wrapText="1"/>
    </xf>
    <xf numFmtId="10" fontId="16" fillId="0" borderId="4" xfId="0" applyNumberFormat="1" applyFont="1" applyBorder="1" applyAlignment="1" applyProtection="1">
      <alignment horizontal="center" vertical="center"/>
      <protection locked="0"/>
    </xf>
    <xf numFmtId="170" fontId="16" fillId="0" borderId="4" xfId="0" applyNumberFormat="1" applyFont="1" applyBorder="1" applyAlignment="1">
      <alignment horizontal="center" vertical="center"/>
    </xf>
    <xf numFmtId="171" fontId="16" fillId="0" borderId="4" xfId="3" applyNumberFormat="1" applyFont="1" applyBorder="1" applyAlignment="1">
      <alignment horizontal="center" vertical="center"/>
    </xf>
    <xf numFmtId="168" fontId="16" fillId="0" borderId="4" xfId="0" applyNumberFormat="1" applyFont="1" applyBorder="1" applyAlignment="1">
      <alignment horizontal="center" vertical="center"/>
    </xf>
    <xf numFmtId="0" fontId="19" fillId="0" borderId="20"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9" xfId="0" applyFont="1" applyBorder="1" applyAlignment="1">
      <alignment horizontal="center" vertical="center" wrapText="1"/>
    </xf>
    <xf numFmtId="0" fontId="22" fillId="0" borderId="1" xfId="0" applyFont="1" applyBorder="1" applyAlignment="1">
      <alignment horizontal="center"/>
    </xf>
    <xf numFmtId="166" fontId="22" fillId="0" borderId="1" xfId="0" applyNumberFormat="1" applyFont="1" applyBorder="1" applyAlignment="1">
      <alignment horizontal="center"/>
    </xf>
    <xf numFmtId="0" fontId="18" fillId="0" borderId="1" xfId="0" applyFont="1" applyBorder="1"/>
    <xf numFmtId="0" fontId="23" fillId="0" borderId="2" xfId="0" applyFont="1" applyBorder="1" applyAlignment="1">
      <alignment horizontal="center"/>
    </xf>
    <xf numFmtId="174" fontId="16" fillId="0" borderId="1" xfId="1" applyNumberFormat="1" applyFont="1" applyBorder="1"/>
    <xf numFmtId="166" fontId="16" fillId="0" borderId="1" xfId="0" applyNumberFormat="1" applyFont="1" applyBorder="1"/>
    <xf numFmtId="0" fontId="23" fillId="0" borderId="2" xfId="0" applyFont="1" applyBorder="1" applyAlignment="1">
      <alignment horizontal="center" vertical="center"/>
    </xf>
    <xf numFmtId="0" fontId="16" fillId="2" borderId="1" xfId="0" applyFont="1" applyFill="1" applyBorder="1"/>
    <xf numFmtId="166" fontId="16" fillId="2" borderId="1" xfId="0" applyNumberFormat="1" applyFont="1" applyFill="1" applyBorder="1"/>
    <xf numFmtId="166" fontId="16" fillId="7" borderId="1" xfId="0" applyNumberFormat="1" applyFont="1" applyFill="1" applyBorder="1"/>
    <xf numFmtId="0" fontId="16" fillId="5" borderId="0" xfId="0" applyFont="1" applyFill="1"/>
    <xf numFmtId="167" fontId="18" fillId="0" borderId="1" xfId="0" applyNumberFormat="1" applyFont="1" applyBorder="1"/>
    <xf numFmtId="0" fontId="22" fillId="0" borderId="4" xfId="0" applyFont="1" applyBorder="1" applyAlignment="1">
      <alignment horizontal="center"/>
    </xf>
    <xf numFmtId="0" fontId="17" fillId="7" borderId="87" xfId="0" applyFont="1" applyFill="1" applyBorder="1" applyAlignment="1">
      <alignment vertical="center"/>
    </xf>
    <xf numFmtId="0" fontId="17" fillId="7" borderId="89" xfId="0" applyFont="1" applyFill="1" applyBorder="1" applyAlignment="1">
      <alignment vertical="center"/>
    </xf>
    <xf numFmtId="0" fontId="26" fillId="0" borderId="0" xfId="0" applyFont="1"/>
    <xf numFmtId="44" fontId="18" fillId="0" borderId="1" xfId="1" applyFont="1" applyBorder="1" applyAlignment="1">
      <alignment horizontal="center" vertical="center" wrapText="1"/>
    </xf>
    <xf numFmtId="174" fontId="16" fillId="0" borderId="1" xfId="1" applyNumberFormat="1" applyFont="1" applyBorder="1" applyAlignment="1">
      <alignment horizontal="center" vertical="center" wrapText="1"/>
    </xf>
    <xf numFmtId="172" fontId="16" fillId="0" borderId="1" xfId="2" applyNumberFormat="1" applyFont="1" applyBorder="1" applyAlignment="1">
      <alignment horizontal="center" vertical="center" wrapText="1"/>
    </xf>
    <xf numFmtId="1" fontId="16" fillId="0" borderId="1" xfId="2" applyNumberFormat="1" applyFont="1" applyBorder="1" applyAlignment="1">
      <alignment horizontal="center" vertical="center" wrapText="1"/>
    </xf>
    <xf numFmtId="174" fontId="16" fillId="11" borderId="1" xfId="1" applyNumberFormat="1" applyFont="1" applyFill="1" applyBorder="1" applyAlignment="1">
      <alignment horizontal="center" vertical="center" wrapText="1"/>
    </xf>
    <xf numFmtId="10" fontId="16" fillId="11" borderId="1" xfId="2" applyNumberFormat="1" applyFont="1" applyFill="1" applyBorder="1" applyAlignment="1">
      <alignment horizontal="center" vertical="center" wrapText="1"/>
    </xf>
    <xf numFmtId="172" fontId="16" fillId="11" borderId="1" xfId="2" applyNumberFormat="1" applyFont="1" applyFill="1" applyBorder="1" applyAlignment="1">
      <alignment horizontal="center" vertical="center" wrapText="1"/>
    </xf>
    <xf numFmtId="10" fontId="16" fillId="0" borderId="1" xfId="0" applyNumberFormat="1" applyFont="1" applyBorder="1" applyAlignment="1">
      <alignment horizontal="center" vertical="center"/>
    </xf>
    <xf numFmtId="169" fontId="16" fillId="0" borderId="0" xfId="0" applyNumberFormat="1" applyFont="1" applyAlignment="1">
      <alignment horizontal="center" vertical="center" wrapText="1"/>
    </xf>
    <xf numFmtId="174" fontId="16" fillId="0" borderId="0" xfId="1" applyNumberFormat="1" applyFont="1" applyBorder="1" applyAlignment="1">
      <alignment horizontal="center" vertical="center" wrapText="1"/>
    </xf>
    <xf numFmtId="1" fontId="16" fillId="0" borderId="0" xfId="2" applyNumberFormat="1" applyFont="1" applyBorder="1" applyAlignment="1">
      <alignment horizontal="center" vertical="center" wrapText="1"/>
    </xf>
    <xf numFmtId="44" fontId="16" fillId="5" borderId="0" xfId="1" applyFont="1" applyFill="1" applyBorder="1"/>
    <xf numFmtId="0" fontId="16" fillId="5" borderId="0" xfId="0" applyFont="1" applyFill="1" applyAlignment="1">
      <alignment horizontal="center" vertical="center"/>
    </xf>
    <xf numFmtId="168" fontId="18" fillId="4" borderId="9" xfId="0" applyNumberFormat="1" applyFont="1" applyFill="1" applyBorder="1"/>
    <xf numFmtId="44" fontId="16" fillId="0" borderId="0" xfId="1" applyFont="1"/>
    <xf numFmtId="10" fontId="16" fillId="0" borderId="0" xfId="2" applyNumberFormat="1" applyFont="1"/>
    <xf numFmtId="10" fontId="18" fillId="0" borderId="1" xfId="2" applyNumberFormat="1" applyFont="1" applyBorder="1" applyAlignment="1">
      <alignment horizontal="center" vertical="center" wrapText="1"/>
    </xf>
    <xf numFmtId="1" fontId="18" fillId="0" borderId="1" xfId="0" applyNumberFormat="1" applyFont="1" applyBorder="1" applyAlignment="1">
      <alignment horizontal="center" vertical="center" wrapText="1"/>
    </xf>
    <xf numFmtId="177" fontId="16" fillId="0" borderId="1" xfId="2" applyNumberFormat="1" applyFont="1" applyBorder="1" applyAlignment="1">
      <alignment horizontal="center" vertical="center" wrapText="1"/>
    </xf>
    <xf numFmtId="1" fontId="16" fillId="0" borderId="1" xfId="1" applyNumberFormat="1" applyFont="1" applyBorder="1" applyAlignment="1">
      <alignment horizontal="center" vertical="center" wrapText="1"/>
    </xf>
    <xf numFmtId="10" fontId="16" fillId="11" borderId="1" xfId="2" applyNumberFormat="1" applyFont="1" applyFill="1" applyBorder="1"/>
    <xf numFmtId="0" fontId="16" fillId="11" borderId="1" xfId="0" applyFont="1" applyFill="1" applyBorder="1"/>
    <xf numFmtId="177" fontId="16" fillId="11" borderId="1" xfId="2" applyNumberFormat="1" applyFont="1" applyFill="1" applyBorder="1" applyAlignment="1">
      <alignment horizontal="center" vertical="center" wrapText="1"/>
    </xf>
    <xf numFmtId="10" fontId="16" fillId="11" borderId="0" xfId="2" applyNumberFormat="1" applyFont="1" applyFill="1"/>
    <xf numFmtId="0" fontId="16" fillId="11" borderId="0" xfId="0" applyFont="1" applyFill="1"/>
    <xf numFmtId="10" fontId="16" fillId="0" borderId="0" xfId="0" applyNumberFormat="1" applyFont="1" applyAlignment="1">
      <alignment horizontal="center" vertical="center"/>
    </xf>
    <xf numFmtId="10" fontId="16" fillId="0" borderId="1" xfId="2" applyNumberFormat="1" applyFont="1" applyFill="1" applyBorder="1" applyAlignment="1">
      <alignment horizontal="center" vertical="center" wrapText="1"/>
    </xf>
    <xf numFmtId="177" fontId="16" fillId="0" borderId="1" xfId="2" applyNumberFormat="1" applyFont="1" applyFill="1" applyBorder="1" applyAlignment="1">
      <alignment horizontal="center" vertical="center" wrapText="1"/>
    </xf>
    <xf numFmtId="0" fontId="17" fillId="11" borderId="0" xfId="0" applyFont="1" applyFill="1"/>
    <xf numFmtId="1" fontId="20" fillId="0" borderId="1" xfId="1" applyNumberFormat="1" applyFont="1" applyBorder="1" applyAlignment="1">
      <alignment horizontal="center" vertical="center" wrapText="1"/>
    </xf>
    <xf numFmtId="174" fontId="16" fillId="0" borderId="1" xfId="1" applyNumberFormat="1" applyFont="1" applyFill="1" applyBorder="1" applyAlignment="1">
      <alignment horizontal="center" vertical="center" wrapText="1"/>
    </xf>
    <xf numFmtId="177" fontId="16" fillId="0" borderId="0" xfId="2" applyNumberFormat="1" applyFont="1" applyBorder="1" applyAlignment="1">
      <alignment horizontal="center" vertical="center" wrapText="1"/>
    </xf>
    <xf numFmtId="173" fontId="16" fillId="0" borderId="0" xfId="2" applyNumberFormat="1" applyFont="1" applyBorder="1" applyAlignment="1">
      <alignment horizontal="center" vertical="center" wrapText="1"/>
    </xf>
    <xf numFmtId="1" fontId="16" fillId="0" borderId="0" xfId="1" applyNumberFormat="1" applyFont="1" applyBorder="1" applyAlignment="1">
      <alignment horizontal="center" vertical="center" wrapText="1"/>
    </xf>
    <xf numFmtId="169" fontId="16" fillId="0" borderId="0" xfId="0" applyNumberFormat="1" applyFont="1" applyProtection="1">
      <protection locked="0"/>
    </xf>
    <xf numFmtId="44" fontId="16" fillId="0" borderId="0" xfId="1" applyFont="1" applyFill="1" applyBorder="1" applyProtection="1">
      <protection locked="0"/>
    </xf>
    <xf numFmtId="10" fontId="16" fillId="0" borderId="0" xfId="2" applyNumberFormat="1" applyFont="1" applyBorder="1" applyProtection="1">
      <protection locked="0"/>
    </xf>
    <xf numFmtId="10" fontId="23" fillId="0" borderId="0" xfId="6" applyNumberFormat="1" applyFont="1" applyFill="1" applyBorder="1" applyAlignment="1" applyProtection="1">
      <alignment horizontal="right"/>
      <protection hidden="1"/>
    </xf>
    <xf numFmtId="172" fontId="16" fillId="0" borderId="0" xfId="0" applyNumberFormat="1" applyFont="1"/>
    <xf numFmtId="1" fontId="16" fillId="0" borderId="0" xfId="3" applyNumberFormat="1" applyFont="1" applyFill="1" applyBorder="1"/>
    <xf numFmtId="44" fontId="16" fillId="5" borderId="0" xfId="1" applyFont="1" applyFill="1" applyBorder="1" applyProtection="1">
      <protection locked="0"/>
    </xf>
    <xf numFmtId="10" fontId="16" fillId="5" borderId="0" xfId="2" applyNumberFormat="1" applyFont="1" applyFill="1" applyBorder="1" applyProtection="1">
      <protection locked="0"/>
    </xf>
    <xf numFmtId="1" fontId="16" fillId="5" borderId="0" xfId="3" applyNumberFormat="1" applyFont="1" applyFill="1" applyBorder="1"/>
    <xf numFmtId="10" fontId="16" fillId="0" borderId="0" xfId="2" applyNumberFormat="1" applyFont="1" applyFill="1" applyBorder="1" applyProtection="1">
      <protection locked="0"/>
    </xf>
    <xf numFmtId="10" fontId="16" fillId="0" borderId="0" xfId="0" applyNumberFormat="1" applyFont="1" applyProtection="1">
      <protection locked="0"/>
    </xf>
    <xf numFmtId="170" fontId="16" fillId="0" borderId="0" xfId="0" applyNumberFormat="1" applyFont="1"/>
    <xf numFmtId="1" fontId="16" fillId="0" borderId="0" xfId="0" applyNumberFormat="1" applyFont="1"/>
    <xf numFmtId="0" fontId="20" fillId="0" borderId="0" xfId="0" applyFont="1"/>
    <xf numFmtId="14" fontId="16" fillId="14" borderId="26" xfId="0" applyNumberFormat="1" applyFont="1" applyFill="1" applyBorder="1"/>
    <xf numFmtId="44" fontId="18" fillId="0" borderId="4" xfId="1" applyFont="1" applyBorder="1" applyAlignment="1">
      <alignment horizontal="center" vertical="center" wrapText="1"/>
    </xf>
    <xf numFmtId="0" fontId="18" fillId="0" borderId="23" xfId="0" applyFont="1" applyBorder="1" applyAlignment="1">
      <alignment horizontal="left"/>
    </xf>
    <xf numFmtId="44" fontId="18" fillId="0" borderId="24" xfId="1" applyFont="1" applyBorder="1" applyAlignment="1">
      <alignment horizontal="center"/>
    </xf>
    <xf numFmtId="44" fontId="18" fillId="0" borderId="25" xfId="1" applyFont="1" applyBorder="1" applyAlignment="1">
      <alignment horizontal="center"/>
    </xf>
    <xf numFmtId="0" fontId="18" fillId="0" borderId="15" xfId="0" applyFont="1" applyBorder="1" applyAlignment="1">
      <alignment horizontal="left"/>
    </xf>
    <xf numFmtId="44" fontId="16" fillId="0" borderId="16" xfId="1" applyFont="1" applyBorder="1"/>
    <xf numFmtId="44" fontId="16" fillId="3" borderId="16" xfId="1" applyFont="1" applyFill="1" applyBorder="1"/>
    <xf numFmtId="44" fontId="16" fillId="0" borderId="17" xfId="1" applyFont="1" applyBorder="1"/>
    <xf numFmtId="0" fontId="18" fillId="0" borderId="18" xfId="0" applyFont="1" applyBorder="1" applyAlignment="1">
      <alignment horizontal="left"/>
    </xf>
    <xf numFmtId="44" fontId="16" fillId="0" borderId="1" xfId="1" applyFont="1" applyBorder="1"/>
    <xf numFmtId="44" fontId="16" fillId="0" borderId="12" xfId="1" applyFont="1" applyBorder="1"/>
    <xf numFmtId="0" fontId="18" fillId="0" borderId="19" xfId="0" applyFont="1" applyBorder="1" applyAlignment="1">
      <alignment horizontal="left"/>
    </xf>
    <xf numFmtId="44" fontId="16" fillId="0" borderId="13" xfId="1" applyFont="1" applyBorder="1"/>
    <xf numFmtId="44" fontId="16" fillId="0" borderId="14" xfId="1" applyFont="1" applyBorder="1"/>
    <xf numFmtId="0" fontId="18" fillId="0" borderId="0" xfId="0" applyFont="1" applyAlignment="1">
      <alignment horizontal="left"/>
    </xf>
    <xf numFmtId="0" fontId="18" fillId="0" borderId="20" xfId="0" applyFont="1" applyBorder="1" applyAlignment="1">
      <alignment horizontal="left"/>
    </xf>
    <xf numFmtId="44" fontId="16" fillId="0" borderId="21" xfId="1" applyFont="1" applyBorder="1"/>
    <xf numFmtId="44" fontId="16" fillId="0" borderId="9" xfId="1" applyFont="1" applyBorder="1"/>
    <xf numFmtId="44" fontId="18" fillId="0" borderId="21" xfId="1" applyFont="1" applyBorder="1"/>
    <xf numFmtId="44" fontId="18" fillId="0" borderId="9" xfId="1" applyFont="1" applyBorder="1"/>
    <xf numFmtId="0" fontId="16" fillId="0" borderId="0" xfId="0" applyFont="1" applyAlignment="1">
      <alignment horizontal="center" wrapText="1"/>
    </xf>
    <xf numFmtId="14" fontId="16" fillId="0" borderId="0" xfId="0" applyNumberFormat="1" applyFont="1" applyBorder="1"/>
    <xf numFmtId="0" fontId="16" fillId="0" borderId="40" xfId="0" applyFont="1" applyBorder="1" applyAlignment="1">
      <alignment vertical="center" wrapText="1"/>
    </xf>
    <xf numFmtId="0" fontId="16" fillId="0" borderId="37" xfId="0" applyFont="1" applyBorder="1" applyAlignment="1">
      <alignment vertical="center" wrapText="1"/>
    </xf>
    <xf numFmtId="0" fontId="17" fillId="0" borderId="40" xfId="0" applyFont="1" applyBorder="1" applyAlignment="1">
      <alignment vertical="center" wrapText="1"/>
    </xf>
    <xf numFmtId="0" fontId="17" fillId="0" borderId="41" xfId="0" applyFont="1" applyBorder="1" applyAlignment="1">
      <alignment vertical="center" wrapText="1"/>
    </xf>
    <xf numFmtId="0" fontId="17" fillId="0" borderId="37" xfId="0" applyFont="1" applyBorder="1" applyAlignment="1">
      <alignment vertical="center" wrapText="1"/>
    </xf>
    <xf numFmtId="0" fontId="18" fillId="0" borderId="40" xfId="0" applyFont="1" applyBorder="1" applyAlignment="1">
      <alignment vertical="center" wrapText="1"/>
    </xf>
    <xf numFmtId="0" fontId="18" fillId="0" borderId="37" xfId="0" applyFont="1" applyBorder="1" applyAlignment="1">
      <alignment vertical="center" wrapText="1"/>
    </xf>
    <xf numFmtId="0" fontId="17" fillId="0" borderId="49" xfId="0" applyFont="1" applyBorder="1" applyAlignment="1">
      <alignment vertical="center" wrapText="1"/>
    </xf>
    <xf numFmtId="0" fontId="17" fillId="0" borderId="50" xfId="0" applyFont="1" applyBorder="1" applyAlignment="1">
      <alignment vertical="center" wrapText="1"/>
    </xf>
    <xf numFmtId="0" fontId="16" fillId="0" borderId="42" xfId="0" applyFont="1" applyBorder="1" applyAlignment="1">
      <alignment vertical="center" wrapText="1"/>
    </xf>
    <xf numFmtId="0" fontId="16" fillId="0" borderId="39" xfId="0" applyFont="1" applyBorder="1" applyAlignment="1">
      <alignment vertical="center" wrapText="1"/>
    </xf>
    <xf numFmtId="0" fontId="18" fillId="0" borderId="51" xfId="0" applyFont="1" applyBorder="1" applyAlignment="1">
      <alignment vertical="center" wrapText="1"/>
    </xf>
    <xf numFmtId="0" fontId="18" fillId="0" borderId="38" xfId="0" applyFont="1" applyBorder="1" applyAlignment="1">
      <alignment vertical="center" wrapText="1"/>
    </xf>
    <xf numFmtId="0" fontId="18" fillId="0" borderId="49"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39" xfId="0" applyFont="1" applyBorder="1" applyAlignment="1">
      <alignment horizontal="center" vertical="center" wrapText="1"/>
    </xf>
    <xf numFmtId="0" fontId="16" fillId="0" borderId="44" xfId="0" applyFont="1" applyBorder="1" applyAlignment="1">
      <alignment vertical="center" wrapText="1"/>
    </xf>
    <xf numFmtId="0" fontId="16" fillId="0" borderId="45" xfId="0" applyFont="1" applyBorder="1" applyAlignment="1">
      <alignment vertical="center" wrapText="1"/>
    </xf>
    <xf numFmtId="0" fontId="17" fillId="0" borderId="42" xfId="0" applyFont="1" applyBorder="1" applyAlignment="1">
      <alignment vertical="top" wrapText="1"/>
    </xf>
    <xf numFmtId="0" fontId="17" fillId="0" borderId="39" xfId="0" applyFont="1" applyBorder="1" applyAlignment="1">
      <alignment vertical="top" wrapText="1"/>
    </xf>
    <xf numFmtId="0" fontId="18" fillId="0" borderId="41" xfId="0" applyFont="1" applyBorder="1" applyAlignment="1">
      <alignment vertical="center" wrapText="1"/>
    </xf>
    <xf numFmtId="14" fontId="16" fillId="0" borderId="40" xfId="0" applyNumberFormat="1" applyFont="1" applyBorder="1" applyAlignment="1">
      <alignment horizontal="center" wrapText="1"/>
    </xf>
    <xf numFmtId="14" fontId="16" fillId="0" borderId="41" xfId="0" applyNumberFormat="1" applyFont="1" applyBorder="1" applyAlignment="1">
      <alignment horizontal="center" wrapText="1"/>
    </xf>
    <xf numFmtId="14" fontId="16" fillId="0" borderId="63" xfId="0" applyNumberFormat="1" applyFont="1" applyBorder="1" applyAlignment="1">
      <alignment horizontal="center" wrapText="1"/>
    </xf>
    <xf numFmtId="14" fontId="16" fillId="12" borderId="40" xfId="0" applyNumberFormat="1" applyFont="1" applyFill="1" applyBorder="1" applyAlignment="1">
      <alignment horizontal="center" wrapText="1"/>
    </xf>
    <xf numFmtId="14" fontId="16" fillId="12" borderId="41" xfId="0" applyNumberFormat="1" applyFont="1" applyFill="1" applyBorder="1" applyAlignment="1">
      <alignment horizontal="center" wrapText="1"/>
    </xf>
    <xf numFmtId="14" fontId="16" fillId="12" borderId="63" xfId="0" applyNumberFormat="1" applyFont="1" applyFill="1" applyBorder="1" applyAlignment="1">
      <alignment horizontal="center" wrapText="1"/>
    </xf>
    <xf numFmtId="0" fontId="17" fillId="6" borderId="40" xfId="0" applyFont="1" applyFill="1" applyBorder="1" applyAlignment="1">
      <alignment horizontal="center" vertical="center" wrapText="1"/>
    </xf>
    <xf numFmtId="0" fontId="17" fillId="6" borderId="41" xfId="0" applyFont="1" applyFill="1" applyBorder="1" applyAlignment="1">
      <alignment horizontal="center" vertical="center" wrapText="1"/>
    </xf>
    <xf numFmtId="0" fontId="17" fillId="6" borderId="63" xfId="0" applyFont="1" applyFill="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63" xfId="0" applyFont="1" applyBorder="1" applyAlignment="1">
      <alignment horizontal="center" vertical="center" wrapText="1"/>
    </xf>
    <xf numFmtId="0" fontId="16" fillId="0" borderId="50" xfId="0" applyFont="1" applyBorder="1" applyAlignment="1">
      <alignment vertical="center" wrapText="1"/>
    </xf>
    <xf numFmtId="0" fontId="17" fillId="0" borderId="20" xfId="0" applyFont="1" applyBorder="1" applyAlignment="1">
      <alignment vertical="center" wrapText="1"/>
    </xf>
    <xf numFmtId="0" fontId="17" fillId="0" borderId="9" xfId="0" applyFont="1" applyBorder="1" applyAlignment="1">
      <alignment vertical="center" wrapText="1"/>
    </xf>
    <xf numFmtId="0" fontId="16" fillId="12" borderId="81" xfId="0" applyFont="1" applyFill="1" applyBorder="1" applyAlignment="1">
      <alignment vertical="center" wrapText="1"/>
    </xf>
    <xf numFmtId="14" fontId="16" fillId="12" borderId="18" xfId="0" applyNumberFormat="1" applyFont="1" applyFill="1" applyBorder="1" applyAlignment="1">
      <alignment vertical="center" wrapText="1"/>
    </xf>
    <xf numFmtId="0" fontId="16" fillId="12" borderId="18" xfId="0" applyFont="1" applyFill="1" applyBorder="1" applyAlignment="1">
      <alignment vertical="center" wrapText="1"/>
    </xf>
    <xf numFmtId="14" fontId="16" fillId="12" borderId="1" xfId="0" applyNumberFormat="1" applyFont="1" applyFill="1" applyBorder="1" applyAlignment="1">
      <alignment vertical="center" wrapText="1"/>
    </xf>
    <xf numFmtId="14" fontId="16" fillId="12" borderId="15" xfId="0" applyNumberFormat="1" applyFont="1" applyFill="1" applyBorder="1" applyAlignment="1">
      <alignment horizontal="center" wrapText="1"/>
    </xf>
    <xf numFmtId="14" fontId="16" fillId="12" borderId="16" xfId="0" applyNumberFormat="1" applyFont="1" applyFill="1" applyBorder="1" applyAlignment="1">
      <alignment horizontal="center" wrapText="1"/>
    </xf>
    <xf numFmtId="14" fontId="16" fillId="12" borderId="17" xfId="0" applyNumberFormat="1" applyFont="1" applyFill="1" applyBorder="1" applyAlignment="1">
      <alignment horizontal="center" wrapText="1"/>
    </xf>
    <xf numFmtId="14" fontId="16" fillId="12" borderId="18" xfId="0" applyNumberFormat="1" applyFont="1" applyFill="1" applyBorder="1" applyAlignment="1">
      <alignment horizontal="center" wrapText="1"/>
    </xf>
    <xf numFmtId="14" fontId="16" fillId="12" borderId="1" xfId="0" applyNumberFormat="1" applyFont="1" applyFill="1" applyBorder="1" applyAlignment="1">
      <alignment horizontal="center" wrapText="1"/>
    </xf>
    <xf numFmtId="14" fontId="16" fillId="12" borderId="12" xfId="0" applyNumberFormat="1" applyFont="1" applyFill="1" applyBorder="1" applyAlignment="1">
      <alignment horizontal="center" wrapText="1"/>
    </xf>
    <xf numFmtId="0" fontId="17" fillId="0" borderId="12" xfId="0" applyFont="1" applyBorder="1" applyAlignment="1">
      <alignment vertical="center" wrapText="1"/>
    </xf>
    <xf numFmtId="0" fontId="16" fillId="0" borderId="81" xfId="0" applyFont="1" applyBorder="1" applyAlignment="1">
      <alignment vertical="center" wrapText="1"/>
    </xf>
    <xf numFmtId="0" fontId="17" fillId="0" borderId="18" xfId="0" applyFont="1" applyBorder="1" applyAlignment="1">
      <alignment vertical="center" wrapText="1"/>
    </xf>
    <xf numFmtId="0" fontId="17" fillId="0" borderId="1" xfId="0" applyFont="1" applyBorder="1" applyAlignment="1">
      <alignment vertical="center" wrapText="1"/>
    </xf>
    <xf numFmtId="0" fontId="16" fillId="0" borderId="18" xfId="0" applyFont="1" applyBorder="1" applyAlignment="1">
      <alignment vertical="center" wrapText="1"/>
    </xf>
    <xf numFmtId="0" fontId="16" fillId="0" borderId="1" xfId="0" applyFont="1" applyBorder="1" applyAlignment="1">
      <alignment vertical="center" wrapText="1"/>
    </xf>
    <xf numFmtId="0" fontId="16" fillId="0" borderId="83" xfId="0" applyFont="1" applyBorder="1" applyAlignment="1">
      <alignment vertical="center" wrapText="1"/>
    </xf>
    <xf numFmtId="0" fontId="16" fillId="0" borderId="84" xfId="0" applyFont="1" applyBorder="1" applyAlignment="1">
      <alignment vertical="center" wrapText="1"/>
    </xf>
    <xf numFmtId="0" fontId="17" fillId="0" borderId="65" xfId="0" applyFont="1" applyBorder="1" applyAlignment="1">
      <alignment vertical="center" wrapText="1"/>
    </xf>
    <xf numFmtId="0" fontId="17" fillId="0" borderId="68" xfId="0" applyFont="1" applyBorder="1" applyAlignment="1">
      <alignment vertical="center" wrapText="1"/>
    </xf>
    <xf numFmtId="0" fontId="17" fillId="0" borderId="54" xfId="0" applyFont="1" applyBorder="1" applyAlignment="1">
      <alignment vertical="center" wrapText="1"/>
    </xf>
    <xf numFmtId="0" fontId="17" fillId="0" borderId="55" xfId="0" applyFont="1" applyBorder="1" applyAlignment="1">
      <alignment vertical="center" wrapText="1"/>
    </xf>
    <xf numFmtId="0" fontId="16" fillId="0" borderId="56" xfId="0" applyFont="1" applyBorder="1" applyAlignment="1">
      <alignment vertical="center" wrapText="1"/>
    </xf>
    <xf numFmtId="0" fontId="16" fillId="0" borderId="59" xfId="0" applyFont="1" applyBorder="1" applyAlignment="1">
      <alignment vertical="center" wrapText="1"/>
    </xf>
    <xf numFmtId="0" fontId="16" fillId="0" borderId="38" xfId="0" applyFont="1" applyBorder="1" applyAlignment="1">
      <alignment vertical="center" wrapText="1"/>
    </xf>
    <xf numFmtId="0" fontId="17" fillId="0" borderId="57" xfId="0" applyFont="1" applyBorder="1" applyAlignment="1">
      <alignment vertical="center" wrapText="1"/>
    </xf>
    <xf numFmtId="0" fontId="17" fillId="0" borderId="53" xfId="0" applyFont="1" applyBorder="1" applyAlignment="1">
      <alignment vertical="center" wrapText="1"/>
    </xf>
    <xf numFmtId="0" fontId="16" fillId="0" borderId="74" xfId="0" applyFont="1" applyBorder="1" applyAlignment="1">
      <alignment vertical="center" wrapText="1"/>
    </xf>
    <xf numFmtId="0" fontId="16" fillId="0" borderId="41" xfId="0" applyFont="1" applyBorder="1" applyAlignment="1">
      <alignment vertical="center" wrapText="1"/>
    </xf>
    <xf numFmtId="0" fontId="16" fillId="0" borderId="77" xfId="0" applyFont="1" applyBorder="1" applyAlignment="1">
      <alignment vertical="center" wrapText="1"/>
    </xf>
    <xf numFmtId="0" fontId="16" fillId="0" borderId="78" xfId="0" applyFont="1" applyBorder="1" applyAlignment="1">
      <alignment vertical="center" wrapText="1"/>
    </xf>
    <xf numFmtId="0" fontId="16" fillId="0" borderId="79" xfId="0" applyFont="1" applyBorder="1" applyAlignment="1">
      <alignment vertical="center" wrapText="1"/>
    </xf>
    <xf numFmtId="0" fontId="16" fillId="0" borderId="60" xfId="0" applyFont="1" applyBorder="1" applyAlignment="1">
      <alignment vertical="center" wrapText="1"/>
    </xf>
    <xf numFmtId="0" fontId="16" fillId="0" borderId="0" xfId="0" applyFont="1" applyAlignment="1">
      <alignment vertical="center" wrapText="1"/>
    </xf>
    <xf numFmtId="0" fontId="17" fillId="0" borderId="52" xfId="0" applyFont="1" applyBorder="1" applyAlignment="1">
      <alignment vertical="center" wrapText="1"/>
    </xf>
    <xf numFmtId="0" fontId="17" fillId="0" borderId="58" xfId="0" applyFont="1" applyBorder="1" applyAlignment="1">
      <alignment vertical="center" wrapText="1"/>
    </xf>
    <xf numFmtId="0" fontId="16" fillId="0" borderId="70" xfId="0" applyFont="1" applyBorder="1" applyAlignment="1">
      <alignment vertical="center" wrapText="1"/>
    </xf>
    <xf numFmtId="0" fontId="16" fillId="0" borderId="71" xfId="0" applyFont="1" applyBorder="1" applyAlignment="1">
      <alignment vertical="center" wrapText="1"/>
    </xf>
    <xf numFmtId="0" fontId="16" fillId="0" borderId="43" xfId="0" applyFont="1" applyBorder="1" applyAlignment="1">
      <alignment vertical="center" wrapText="1"/>
    </xf>
    <xf numFmtId="0" fontId="17" fillId="0" borderId="72" xfId="0" applyFont="1" applyBorder="1" applyAlignment="1">
      <alignment vertical="center" wrapText="1"/>
    </xf>
    <xf numFmtId="0" fontId="17" fillId="0" borderId="73" xfId="0" applyFont="1" applyBorder="1" applyAlignment="1">
      <alignment vertical="center" wrapText="1"/>
    </xf>
    <xf numFmtId="0" fontId="19" fillId="7" borderId="70" xfId="0" applyFont="1" applyFill="1" applyBorder="1" applyAlignment="1">
      <alignment horizontal="center" vertical="center" wrapText="1"/>
    </xf>
    <xf numFmtId="0" fontId="19" fillId="7" borderId="86"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19" fillId="7" borderId="83" xfId="0" applyFont="1" applyFill="1" applyBorder="1" applyAlignment="1">
      <alignment horizontal="center" vertical="center" wrapText="1"/>
    </xf>
    <xf numFmtId="0" fontId="19" fillId="7" borderId="94" xfId="0" applyFont="1" applyFill="1" applyBorder="1" applyAlignment="1">
      <alignment horizontal="center" vertical="center" wrapText="1"/>
    </xf>
    <xf numFmtId="0" fontId="19" fillId="7" borderId="84" xfId="0" applyFont="1" applyFill="1" applyBorder="1" applyAlignment="1">
      <alignment horizontal="center" vertical="center" wrapText="1"/>
    </xf>
    <xf numFmtId="0" fontId="16" fillId="0" borderId="85" xfId="0" applyFont="1" applyBorder="1" applyAlignment="1">
      <alignment horizontal="center" vertical="center" wrapText="1"/>
    </xf>
    <xf numFmtId="0" fontId="16" fillId="0" borderId="70" xfId="0" applyFont="1" applyBorder="1" applyAlignment="1">
      <alignment horizontal="center" vertical="center" wrapText="1"/>
    </xf>
    <xf numFmtId="0" fontId="16" fillId="0" borderId="86"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83" xfId="0" applyFont="1" applyBorder="1" applyAlignment="1">
      <alignment horizontal="center" vertical="center" wrapText="1"/>
    </xf>
    <xf numFmtId="0" fontId="16" fillId="0" borderId="91" xfId="0" applyFont="1" applyBorder="1" applyAlignment="1">
      <alignment horizontal="center" vertical="center" wrapText="1"/>
    </xf>
    <xf numFmtId="0" fontId="16" fillId="0" borderId="94" xfId="0" applyFont="1" applyBorder="1" applyAlignment="1">
      <alignment horizontal="center" vertical="center" wrapText="1"/>
    </xf>
    <xf numFmtId="0" fontId="16" fillId="0" borderId="84"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0" xfId="0" applyFont="1" applyAlignment="1">
      <alignment horizontal="center" vertical="center" wrapText="1"/>
    </xf>
    <xf numFmtId="0" fontId="16" fillId="0" borderId="62" xfId="0" applyFont="1" applyBorder="1" applyAlignment="1">
      <alignment horizontal="center" vertical="center" wrapText="1"/>
    </xf>
    <xf numFmtId="0" fontId="22"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8" fillId="0" borderId="85" xfId="0" applyFont="1" applyBorder="1" applyAlignment="1">
      <alignment horizontal="center" wrapText="1"/>
    </xf>
    <xf numFmtId="0" fontId="8" fillId="0" borderId="70" xfId="0" applyFont="1" applyBorder="1" applyAlignment="1">
      <alignment horizontal="center" wrapText="1"/>
    </xf>
    <xf numFmtId="0" fontId="8" fillId="0" borderId="86" xfId="0" applyFont="1" applyBorder="1" applyAlignment="1">
      <alignment horizontal="center" wrapText="1"/>
    </xf>
    <xf numFmtId="0" fontId="8" fillId="0" borderId="91" xfId="0" applyFont="1" applyBorder="1" applyAlignment="1">
      <alignment horizontal="center" wrapText="1"/>
    </xf>
    <xf numFmtId="0" fontId="8" fillId="0" borderId="94" xfId="0" applyFont="1" applyBorder="1" applyAlignment="1">
      <alignment horizontal="center" wrapText="1"/>
    </xf>
    <xf numFmtId="0" fontId="8" fillId="0" borderId="84" xfId="0" applyFont="1" applyBorder="1" applyAlignment="1">
      <alignment horizontal="center" wrapText="1"/>
    </xf>
    <xf numFmtId="0" fontId="18" fillId="0" borderId="85" xfId="0" applyFont="1" applyBorder="1" applyAlignment="1">
      <alignment horizontal="center" vertical="center" wrapText="1"/>
    </xf>
    <xf numFmtId="0" fontId="18" fillId="0" borderId="70" xfId="0" applyFont="1" applyBorder="1" applyAlignment="1">
      <alignment horizontal="center" vertical="center" wrapText="1"/>
    </xf>
    <xf numFmtId="0" fontId="18" fillId="0" borderId="86" xfId="0" applyFont="1" applyBorder="1" applyAlignment="1">
      <alignment horizontal="center" vertical="center" wrapText="1"/>
    </xf>
    <xf numFmtId="0" fontId="18" fillId="0" borderId="91" xfId="0" applyFont="1" applyBorder="1" applyAlignment="1">
      <alignment horizontal="center" vertical="center" wrapText="1"/>
    </xf>
    <xf numFmtId="0" fontId="18" fillId="0" borderId="94" xfId="0" applyFont="1" applyBorder="1" applyAlignment="1">
      <alignment horizontal="center" vertical="center" wrapText="1"/>
    </xf>
    <xf numFmtId="0" fontId="18" fillId="0" borderId="84"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83"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69" xfId="0" applyFont="1" applyBorder="1" applyAlignment="1">
      <alignment horizontal="center" vertical="center" wrapText="1"/>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69" xfId="0" applyFont="1" applyFill="1" applyBorder="1" applyAlignment="1">
      <alignment horizontal="center" vertical="center" wrapText="1"/>
    </xf>
    <xf numFmtId="0" fontId="18" fillId="4" borderId="10" xfId="0" applyFont="1" applyFill="1" applyBorder="1" applyAlignment="1">
      <alignment horizontal="center"/>
    </xf>
    <xf numFmtId="0" fontId="18" fillId="4" borderId="11" xfId="0" applyFont="1" applyFill="1" applyBorder="1" applyAlignment="1">
      <alignment horizontal="center"/>
    </xf>
    <xf numFmtId="0" fontId="18" fillId="4" borderId="5" xfId="0" applyFont="1" applyFill="1" applyBorder="1" applyAlignment="1">
      <alignment horizontal="center"/>
    </xf>
    <xf numFmtId="1" fontId="16" fillId="0" borderId="2" xfId="0" applyNumberFormat="1" applyFont="1" applyBorder="1" applyAlignment="1" applyProtection="1">
      <alignment horizontal="center" vertical="center"/>
      <protection locked="0"/>
    </xf>
    <xf numFmtId="0" fontId="16" fillId="0" borderId="3" xfId="0" applyFont="1" applyBorder="1" applyAlignment="1">
      <alignment horizontal="center" vertical="center"/>
    </xf>
    <xf numFmtId="0" fontId="16" fillId="0" borderId="4" xfId="0" applyFont="1" applyBorder="1" applyAlignment="1">
      <alignment horizontal="center" vertical="center"/>
    </xf>
    <xf numFmtId="1" fontId="16" fillId="0" borderId="3" xfId="0" applyNumberFormat="1" applyFont="1" applyBorder="1" applyAlignment="1" applyProtection="1">
      <alignment horizontal="center" vertical="center"/>
      <protection locked="0"/>
    </xf>
    <xf numFmtId="1" fontId="16" fillId="0" borderId="4" xfId="0" applyNumberFormat="1" applyFont="1" applyBorder="1" applyAlignment="1" applyProtection="1">
      <alignment horizontal="center" vertical="center"/>
      <protection locked="0"/>
    </xf>
    <xf numFmtId="1" fontId="16" fillId="0" borderId="1" xfId="0" applyNumberFormat="1" applyFont="1" applyBorder="1" applyAlignment="1" applyProtection="1">
      <alignment horizontal="center" vertical="center"/>
      <protection locked="0"/>
    </xf>
    <xf numFmtId="0" fontId="18" fillId="0" borderId="6" xfId="0" applyFont="1" applyBorder="1" applyAlignment="1">
      <alignment horizontal="center"/>
    </xf>
    <xf numFmtId="0" fontId="18" fillId="0" borderId="7" xfId="0" applyFont="1" applyBorder="1" applyAlignment="1">
      <alignment horizontal="center"/>
    </xf>
    <xf numFmtId="0" fontId="18" fillId="0" borderId="8" xfId="0" applyFont="1" applyBorder="1" applyAlignment="1">
      <alignment horizontal="center"/>
    </xf>
    <xf numFmtId="0" fontId="25" fillId="0" borderId="0" xfId="0" applyFont="1" applyAlignment="1">
      <alignment horizontal="center"/>
    </xf>
    <xf numFmtId="0" fontId="25" fillId="0" borderId="94" xfId="0" applyFont="1" applyBorder="1" applyAlignment="1">
      <alignment horizontal="center"/>
    </xf>
    <xf numFmtId="0" fontId="16" fillId="0" borderId="22" xfId="0" applyFont="1" applyBorder="1" applyAlignment="1">
      <alignment horizontal="center"/>
    </xf>
    <xf numFmtId="0" fontId="16" fillId="0" borderId="0" xfId="0" applyFont="1" applyBorder="1" applyAlignment="1">
      <alignment horizontal="center"/>
    </xf>
    <xf numFmtId="1" fontId="16" fillId="0" borderId="2" xfId="0" applyNumberFormat="1" applyFont="1" applyBorder="1" applyAlignment="1" applyProtection="1">
      <alignment horizontal="center" vertical="center" wrapText="1"/>
      <protection locked="0"/>
    </xf>
    <xf numFmtId="1" fontId="16" fillId="0" borderId="3" xfId="0" applyNumberFormat="1" applyFont="1" applyBorder="1" applyAlignment="1" applyProtection="1">
      <alignment horizontal="center" vertical="center" wrapText="1"/>
      <protection locked="0"/>
    </xf>
    <xf numFmtId="1" fontId="16" fillId="0" borderId="4" xfId="0" applyNumberFormat="1" applyFont="1" applyBorder="1" applyAlignment="1" applyProtection="1">
      <alignment horizontal="center" vertical="center" wrapText="1"/>
      <protection locked="0"/>
    </xf>
    <xf numFmtId="0" fontId="18" fillId="4" borderId="20" xfId="0" applyFont="1" applyFill="1" applyBorder="1" applyAlignment="1">
      <alignment horizontal="center" vertical="center" wrapText="1"/>
    </xf>
    <xf numFmtId="0" fontId="18" fillId="4" borderId="21" xfId="0" applyFont="1" applyFill="1" applyBorder="1" applyAlignment="1">
      <alignment horizontal="center" vertical="center" wrapText="1"/>
    </xf>
    <xf numFmtId="1" fontId="16" fillId="0" borderId="1" xfId="0" applyNumberFormat="1" applyFont="1" applyBorder="1" applyAlignment="1" applyProtection="1">
      <alignment horizontal="center" vertical="center" wrapText="1"/>
      <protection locked="0"/>
    </xf>
    <xf numFmtId="0" fontId="19" fillId="0" borderId="85" xfId="0" applyFont="1" applyBorder="1" applyAlignment="1">
      <alignment horizontal="center"/>
    </xf>
    <xf numFmtId="0" fontId="19" fillId="0" borderId="70" xfId="0" applyFont="1" applyBorder="1" applyAlignment="1">
      <alignment horizontal="center"/>
    </xf>
    <xf numFmtId="0" fontId="19" fillId="0" borderId="98" xfId="0" applyFont="1" applyBorder="1" applyAlignment="1">
      <alignment horizontal="center"/>
    </xf>
    <xf numFmtId="1" fontId="16" fillId="0" borderId="10" xfId="0" applyNumberFormat="1" applyFont="1" applyBorder="1" applyAlignment="1" applyProtection="1">
      <alignment horizontal="center" vertical="center"/>
      <protection locked="0"/>
    </xf>
    <xf numFmtId="0" fontId="18" fillId="0" borderId="10" xfId="0" applyFont="1" applyBorder="1" applyAlignment="1">
      <alignment horizontal="left"/>
    </xf>
    <xf numFmtId="0" fontId="18" fillId="0" borderId="11" xfId="0" applyFont="1" applyBorder="1" applyAlignment="1">
      <alignment horizontal="left"/>
    </xf>
    <xf numFmtId="0" fontId="18" fillId="0" borderId="5" xfId="0" applyFont="1" applyBorder="1" applyAlignment="1">
      <alignment horizontal="left"/>
    </xf>
    <xf numFmtId="0" fontId="18" fillId="4" borderId="10" xfId="0" applyFont="1" applyFill="1" applyBorder="1" applyAlignment="1">
      <alignment horizontal="left"/>
    </xf>
    <xf numFmtId="0" fontId="18" fillId="4" borderId="11" xfId="0" applyFont="1" applyFill="1" applyBorder="1" applyAlignment="1">
      <alignment horizontal="left"/>
    </xf>
    <xf numFmtId="0" fontId="18" fillId="4" borderId="5" xfId="0" applyFont="1" applyFill="1" applyBorder="1" applyAlignment="1">
      <alignment horizontal="lef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0" xfId="0" applyFont="1" applyAlignment="1">
      <alignment horizontal="center" vertical="center"/>
    </xf>
    <xf numFmtId="0" fontId="16" fillId="0" borderId="33" xfId="0" applyFont="1" applyBorder="1" applyAlignment="1">
      <alignment horizontal="center" vertical="center"/>
    </xf>
    <xf numFmtId="0" fontId="16" fillId="0" borderId="36" xfId="0" applyFont="1" applyBorder="1" applyAlignment="1">
      <alignment horizontal="center" vertical="center"/>
    </xf>
    <xf numFmtId="0" fontId="17" fillId="0" borderId="0" xfId="0" applyFont="1" applyAlignment="1">
      <alignment horizontal="center" wrapText="1"/>
    </xf>
    <xf numFmtId="0" fontId="17" fillId="0" borderId="62" xfId="0" applyFont="1" applyBorder="1" applyAlignment="1">
      <alignment horizontal="center" wrapText="1"/>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18" fillId="0" borderId="85" xfId="0" applyFont="1" applyBorder="1" applyAlignment="1">
      <alignment horizontal="center"/>
    </xf>
    <xf numFmtId="0" fontId="18" fillId="0" borderId="70" xfId="0" applyFont="1" applyBorder="1" applyAlignment="1">
      <alignment horizontal="center"/>
    </xf>
    <xf numFmtId="0" fontId="18" fillId="0" borderId="86" xfId="0" applyFont="1" applyBorder="1" applyAlignment="1">
      <alignment horizontal="center"/>
    </xf>
    <xf numFmtId="0" fontId="18" fillId="0" borderId="91" xfId="0" applyFont="1" applyBorder="1" applyAlignment="1">
      <alignment horizontal="center"/>
    </xf>
    <xf numFmtId="0" fontId="18" fillId="0" borderId="94" xfId="0" applyFont="1" applyBorder="1" applyAlignment="1">
      <alignment horizontal="center"/>
    </xf>
    <xf numFmtId="0" fontId="18" fillId="0" borderId="84" xfId="0" applyFont="1" applyBorder="1" applyAlignment="1">
      <alignment horizontal="center"/>
    </xf>
    <xf numFmtId="0" fontId="25" fillId="0" borderId="62" xfId="0" applyFont="1" applyBorder="1" applyAlignment="1">
      <alignment horizontal="center"/>
    </xf>
    <xf numFmtId="0" fontId="18" fillId="0" borderId="85" xfId="0" applyFont="1" applyBorder="1" applyAlignment="1">
      <alignment horizontal="center" wrapText="1"/>
    </xf>
    <xf numFmtId="0" fontId="18" fillId="0" borderId="70" xfId="0" applyFont="1" applyBorder="1" applyAlignment="1">
      <alignment horizontal="center" wrapText="1"/>
    </xf>
    <xf numFmtId="0" fontId="18" fillId="0" borderId="86" xfId="0" applyFont="1" applyBorder="1" applyAlignment="1">
      <alignment horizontal="center" wrapText="1"/>
    </xf>
    <xf numFmtId="0" fontId="18" fillId="0" borderId="91" xfId="0" applyFont="1" applyBorder="1" applyAlignment="1">
      <alignment horizontal="center" wrapText="1"/>
    </xf>
    <xf numFmtId="0" fontId="18" fillId="0" borderId="94" xfId="0" applyFont="1" applyBorder="1" applyAlignment="1">
      <alignment horizontal="center" wrapText="1"/>
    </xf>
    <xf numFmtId="0" fontId="18" fillId="0" borderId="84" xfId="0" applyFont="1" applyBorder="1" applyAlignment="1">
      <alignment horizontal="center" wrapText="1"/>
    </xf>
    <xf numFmtId="0" fontId="18" fillId="4" borderId="20" xfId="0" applyFont="1" applyFill="1" applyBorder="1" applyAlignment="1">
      <alignment horizontal="center"/>
    </xf>
    <xf numFmtId="0" fontId="18" fillId="4" borderId="21" xfId="0" applyFont="1" applyFill="1" applyBorder="1" applyAlignment="1">
      <alignment horizontal="center"/>
    </xf>
    <xf numFmtId="0" fontId="16" fillId="0" borderId="0" xfId="0" applyFont="1" applyAlignment="1">
      <alignment horizontal="center" wrapText="1"/>
    </xf>
    <xf numFmtId="1" fontId="16" fillId="0" borderId="26" xfId="0" applyNumberFormat="1" applyFont="1" applyBorder="1" applyAlignment="1" applyProtection="1">
      <alignment horizontal="center" vertical="center"/>
      <protection locked="0"/>
    </xf>
    <xf numFmtId="1" fontId="16" fillId="0" borderId="30" xfId="0" applyNumberFormat="1" applyFont="1" applyBorder="1" applyAlignment="1" applyProtection="1">
      <alignment horizontal="center" vertical="center"/>
      <protection locked="0"/>
    </xf>
    <xf numFmtId="1" fontId="16" fillId="0" borderId="31" xfId="0" applyNumberFormat="1" applyFont="1" applyBorder="1" applyAlignment="1" applyProtection="1">
      <alignment horizontal="center" vertical="center"/>
      <protection locked="0"/>
    </xf>
    <xf numFmtId="1" fontId="16" fillId="0" borderId="32" xfId="0" applyNumberFormat="1" applyFont="1" applyBorder="1" applyAlignment="1" applyProtection="1">
      <alignment horizontal="center" vertical="center"/>
      <protection locked="0"/>
    </xf>
    <xf numFmtId="174" fontId="20" fillId="0" borderId="1" xfId="1" applyNumberFormat="1" applyFont="1" applyBorder="1" applyAlignment="1">
      <alignment horizontal="center" vertical="center" wrapText="1"/>
    </xf>
    <xf numFmtId="0" fontId="27" fillId="0" borderId="0" xfId="0" applyFont="1"/>
  </cellXfs>
  <cellStyles count="8">
    <cellStyle name="Millares" xfId="3" builtinId="3"/>
    <cellStyle name="Moneda" xfId="1" builtinId="4"/>
    <cellStyle name="Moneda [0]" xfId="4" builtinId="7"/>
    <cellStyle name="Normal" xfId="0" builtinId="0"/>
    <cellStyle name="Normal 2" xfId="5" xr:uid="{00000000-0005-0000-0000-000004000000}"/>
    <cellStyle name="Porcentaje" xfId="2" builtinId="5"/>
    <cellStyle name="Porcentaje 2" xfId="6" xr:uid="{00000000-0005-0000-0000-000006000000}"/>
    <cellStyle name="Porcentual 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https://systema39.dane.gov.co/cipc/inicio.do" TargetMode="External"/><Relationship Id="rId1" Type="http://schemas.openxmlformats.org/officeDocument/2006/relationships/hyperlink" Target="http://www.dane.gov.co/"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
  <sheetViews>
    <sheetView zoomScale="121" zoomScaleNormal="148" workbookViewId="0">
      <selection activeCell="H5" sqref="H5"/>
    </sheetView>
  </sheetViews>
  <sheetFormatPr baseColWidth="10" defaultColWidth="11.54296875" defaultRowHeight="14.5" x14ac:dyDescent="0.35"/>
  <cols>
    <col min="1" max="3" width="17.453125" style="77" customWidth="1"/>
    <col min="4" max="5" width="17.453125" style="74" customWidth="1"/>
    <col min="6" max="6" width="10.453125" customWidth="1"/>
  </cols>
  <sheetData>
    <row r="1" spans="1:5" ht="18.75" customHeight="1" thickBot="1" x14ac:dyDescent="0.4">
      <c r="A1" s="341" t="s">
        <v>0</v>
      </c>
      <c r="B1" s="342"/>
      <c r="C1" s="343"/>
      <c r="D1" s="344"/>
      <c r="E1" s="345"/>
    </row>
    <row r="2" spans="1:5" ht="15" thickBot="1" x14ac:dyDescent="0.4">
      <c r="A2" s="341" t="s">
        <v>1</v>
      </c>
      <c r="B2" s="342"/>
      <c r="C2" s="343"/>
      <c r="D2" s="344"/>
      <c r="E2" s="345"/>
    </row>
    <row r="3" spans="1:5" ht="15" thickBot="1" x14ac:dyDescent="0.4">
      <c r="A3" s="348"/>
      <c r="B3" s="349"/>
      <c r="C3" s="346" t="s">
        <v>2</v>
      </c>
      <c r="D3" s="362"/>
      <c r="E3" s="347"/>
    </row>
    <row r="4" spans="1:5" ht="18" customHeight="1" thickBot="1" x14ac:dyDescent="0.4">
      <c r="A4" s="358" t="s">
        <v>3</v>
      </c>
      <c r="B4" s="359"/>
      <c r="C4" s="346" t="s">
        <v>4</v>
      </c>
      <c r="D4" s="362"/>
      <c r="E4" s="347"/>
    </row>
    <row r="5" spans="1:5" ht="18.75" customHeight="1" thickBot="1" x14ac:dyDescent="0.4">
      <c r="A5" s="360"/>
      <c r="B5" s="361"/>
      <c r="C5" s="346" t="s">
        <v>5</v>
      </c>
      <c r="D5" s="362"/>
      <c r="E5" s="347"/>
    </row>
    <row r="6" spans="1:5" ht="13.5" customHeight="1" thickBot="1" x14ac:dyDescent="0.4">
      <c r="A6" s="341" t="s">
        <v>6</v>
      </c>
      <c r="B6" s="342"/>
      <c r="C6" s="343"/>
      <c r="D6" s="344"/>
      <c r="E6" s="345"/>
    </row>
    <row r="7" spans="1:5" ht="33" customHeight="1" thickBot="1" x14ac:dyDescent="0.4">
      <c r="A7" s="341" t="s">
        <v>7</v>
      </c>
      <c r="B7" s="342"/>
      <c r="C7" s="343"/>
      <c r="D7" s="344"/>
      <c r="E7" s="345"/>
    </row>
    <row r="8" spans="1:5" x14ac:dyDescent="0.35">
      <c r="A8" s="348"/>
      <c r="B8" s="349"/>
      <c r="C8" s="352" t="s">
        <v>8</v>
      </c>
      <c r="D8" s="354" t="s">
        <v>9</v>
      </c>
      <c r="E8" s="355"/>
    </row>
    <row r="9" spans="1:5" ht="15" thickBot="1" x14ac:dyDescent="0.4">
      <c r="A9" s="350" t="s">
        <v>10</v>
      </c>
      <c r="B9" s="351"/>
      <c r="C9" s="353"/>
      <c r="D9" s="356"/>
      <c r="E9" s="357"/>
    </row>
    <row r="10" spans="1:5" ht="15" thickBot="1" x14ac:dyDescent="0.4">
      <c r="A10" s="348"/>
      <c r="B10" s="349"/>
      <c r="C10" s="31" t="s">
        <v>11</v>
      </c>
      <c r="D10" s="346" t="s">
        <v>12</v>
      </c>
      <c r="E10" s="347"/>
    </row>
    <row r="11" spans="1:5" ht="15" thickBot="1" x14ac:dyDescent="0.4">
      <c r="A11" s="358" t="s">
        <v>13</v>
      </c>
      <c r="B11" s="351"/>
      <c r="C11" s="31" t="s">
        <v>14</v>
      </c>
      <c r="D11" s="346" t="s">
        <v>15</v>
      </c>
      <c r="E11" s="347"/>
    </row>
    <row r="12" spans="1:5" ht="42" customHeight="1" thickBot="1" x14ac:dyDescent="0.4">
      <c r="A12" s="32"/>
      <c r="B12" s="375" t="s">
        <v>16</v>
      </c>
      <c r="C12" s="33" t="s">
        <v>17</v>
      </c>
      <c r="D12" s="33" t="s">
        <v>18</v>
      </c>
      <c r="E12" s="34" t="s">
        <v>19</v>
      </c>
    </row>
    <row r="13" spans="1:5" ht="42" customHeight="1" thickBot="1" x14ac:dyDescent="0.4">
      <c r="A13" s="35"/>
      <c r="B13" s="351"/>
      <c r="C13" s="36"/>
      <c r="D13" s="36"/>
      <c r="E13" s="37"/>
    </row>
    <row r="14" spans="1:5" ht="15" thickBot="1" x14ac:dyDescent="0.4">
      <c r="A14" s="35"/>
      <c r="B14" s="38" t="s">
        <v>20</v>
      </c>
      <c r="C14" s="366">
        <v>44119</v>
      </c>
      <c r="D14" s="367"/>
      <c r="E14" s="368"/>
    </row>
    <row r="15" spans="1:5" ht="20.5" thickBot="1" x14ac:dyDescent="0.4">
      <c r="A15" s="35"/>
      <c r="B15" s="39" t="s">
        <v>21</v>
      </c>
      <c r="C15" s="369"/>
      <c r="D15" s="370"/>
      <c r="E15" s="371"/>
    </row>
    <row r="16" spans="1:5" ht="20.5" thickBot="1" x14ac:dyDescent="0.4">
      <c r="A16" s="35"/>
      <c r="B16" s="33" t="s">
        <v>22</v>
      </c>
      <c r="C16" s="372"/>
      <c r="D16" s="373"/>
      <c r="E16" s="374"/>
    </row>
    <row r="17" spans="1:5" ht="20.5" thickBot="1" x14ac:dyDescent="0.4">
      <c r="A17" s="35"/>
      <c r="B17" s="38" t="s">
        <v>23</v>
      </c>
      <c r="C17" s="366">
        <v>44635</v>
      </c>
      <c r="D17" s="367"/>
      <c r="E17" s="368"/>
    </row>
    <row r="18" spans="1:5" ht="15" thickBot="1" x14ac:dyDescent="0.4">
      <c r="A18" s="35"/>
      <c r="B18" s="33" t="s">
        <v>24</v>
      </c>
      <c r="C18" s="363">
        <f>C17</f>
        <v>44635</v>
      </c>
      <c r="D18" s="364"/>
      <c r="E18" s="365"/>
    </row>
    <row r="19" spans="1:5" ht="42" customHeight="1" thickBot="1" x14ac:dyDescent="0.4">
      <c r="A19" s="40" t="s">
        <v>25</v>
      </c>
      <c r="B19" s="41" t="s">
        <v>26</v>
      </c>
      <c r="C19" s="348"/>
      <c r="D19" s="349"/>
      <c r="E19" s="42"/>
    </row>
    <row r="20" spans="1:5" ht="42" customHeight="1" thickBot="1" x14ac:dyDescent="0.4">
      <c r="A20" s="43" t="s">
        <v>27</v>
      </c>
      <c r="B20" s="44" t="s">
        <v>195</v>
      </c>
      <c r="C20" s="376"/>
      <c r="D20" s="377"/>
      <c r="E20" s="45"/>
    </row>
    <row r="21" spans="1:5" x14ac:dyDescent="0.35">
      <c r="A21" s="32"/>
      <c r="B21" s="46" t="s">
        <v>28</v>
      </c>
      <c r="C21" s="382">
        <v>39084</v>
      </c>
      <c r="D21" s="383"/>
      <c r="E21" s="384"/>
    </row>
    <row r="22" spans="1:5" ht="23.25" customHeight="1" x14ac:dyDescent="0.35">
      <c r="A22" s="35"/>
      <c r="B22" s="47" t="s">
        <v>29</v>
      </c>
      <c r="C22" s="385">
        <v>39085</v>
      </c>
      <c r="D22" s="386"/>
      <c r="E22" s="387"/>
    </row>
    <row r="23" spans="1:5" x14ac:dyDescent="0.35">
      <c r="A23" s="35"/>
      <c r="B23" s="48"/>
      <c r="C23" s="49" t="s">
        <v>30</v>
      </c>
      <c r="D23" s="50" t="s">
        <v>31</v>
      </c>
      <c r="E23" s="51"/>
    </row>
    <row r="24" spans="1:5" ht="20" x14ac:dyDescent="0.35">
      <c r="A24" s="35"/>
      <c r="B24" s="48" t="s">
        <v>32</v>
      </c>
      <c r="C24" s="52">
        <f>C22</f>
        <v>39085</v>
      </c>
      <c r="D24" s="53">
        <f>C14</f>
        <v>44119</v>
      </c>
      <c r="E24" s="51"/>
    </row>
    <row r="25" spans="1:5" x14ac:dyDescent="0.35">
      <c r="A25" s="35"/>
      <c r="B25" s="47" t="s">
        <v>33</v>
      </c>
      <c r="C25" s="54">
        <v>44301</v>
      </c>
      <c r="D25" s="55">
        <v>44392</v>
      </c>
      <c r="E25" s="51"/>
    </row>
    <row r="26" spans="1:5" ht="20" x14ac:dyDescent="0.35">
      <c r="A26" s="40" t="s">
        <v>34</v>
      </c>
      <c r="B26" s="378" t="s">
        <v>35</v>
      </c>
      <c r="C26" s="379">
        <f>C14+DAY(1)</f>
        <v>44120</v>
      </c>
      <c r="D26" s="381">
        <f>C18</f>
        <v>44635</v>
      </c>
      <c r="E26" s="388"/>
    </row>
    <row r="27" spans="1:5" x14ac:dyDescent="0.35">
      <c r="A27" s="56"/>
      <c r="B27" s="378"/>
      <c r="C27" s="380"/>
      <c r="D27" s="381"/>
      <c r="E27" s="388"/>
    </row>
    <row r="28" spans="1:5" ht="20.5" thickBot="1" x14ac:dyDescent="0.4">
      <c r="A28" s="57"/>
      <c r="B28" s="58" t="s">
        <v>36</v>
      </c>
      <c r="C28" s="59">
        <f>C14+DAY(1)</f>
        <v>44120</v>
      </c>
      <c r="D28" s="60">
        <f>C17</f>
        <v>44635</v>
      </c>
      <c r="E28" s="61"/>
    </row>
    <row r="29" spans="1:5" ht="30" x14ac:dyDescent="0.35">
      <c r="A29" s="35"/>
      <c r="B29" s="46" t="s">
        <v>37</v>
      </c>
      <c r="C29" s="62">
        <f>C14+DAY(1)</f>
        <v>44120</v>
      </c>
      <c r="D29" s="63">
        <f>C18</f>
        <v>44635</v>
      </c>
      <c r="E29" s="64"/>
    </row>
    <row r="30" spans="1:5" ht="20" x14ac:dyDescent="0.35">
      <c r="A30" s="40" t="s">
        <v>38</v>
      </c>
      <c r="B30" s="389" t="s">
        <v>39</v>
      </c>
      <c r="C30" s="390"/>
      <c r="D30" s="391"/>
      <c r="E30" s="388"/>
    </row>
    <row r="31" spans="1:5" x14ac:dyDescent="0.35">
      <c r="A31" s="35"/>
      <c r="B31" s="389"/>
      <c r="C31" s="390"/>
      <c r="D31" s="391"/>
      <c r="E31" s="388"/>
    </row>
    <row r="32" spans="1:5" x14ac:dyDescent="0.35">
      <c r="A32" s="65"/>
      <c r="B32" s="389" t="s">
        <v>40</v>
      </c>
      <c r="C32" s="392"/>
      <c r="D32" s="393"/>
      <c r="E32" s="388"/>
    </row>
    <row r="33" spans="1:5" x14ac:dyDescent="0.35">
      <c r="A33" s="65"/>
      <c r="B33" s="389"/>
      <c r="C33" s="392"/>
      <c r="D33" s="393"/>
      <c r="E33" s="388"/>
    </row>
    <row r="34" spans="1:5" x14ac:dyDescent="0.35">
      <c r="A34" s="65"/>
      <c r="B34" s="389"/>
      <c r="C34" s="392"/>
      <c r="D34" s="393"/>
      <c r="E34" s="388"/>
    </row>
    <row r="35" spans="1:5" x14ac:dyDescent="0.35">
      <c r="A35" s="65"/>
      <c r="B35" s="389"/>
      <c r="C35" s="392"/>
      <c r="D35" s="393"/>
      <c r="E35" s="388"/>
    </row>
    <row r="36" spans="1:5" x14ac:dyDescent="0.35">
      <c r="A36" s="66"/>
      <c r="B36" s="389"/>
      <c r="C36" s="392"/>
      <c r="D36" s="393"/>
      <c r="E36" s="388"/>
    </row>
    <row r="37" spans="1:5" x14ac:dyDescent="0.35">
      <c r="A37" s="56"/>
      <c r="B37" s="394" t="s">
        <v>41</v>
      </c>
      <c r="C37" s="67" t="s">
        <v>42</v>
      </c>
      <c r="D37" s="41" t="s">
        <v>43</v>
      </c>
      <c r="E37" s="396"/>
    </row>
    <row r="38" spans="1:5" ht="15" thickBot="1" x14ac:dyDescent="0.4">
      <c r="A38" s="56"/>
      <c r="B38" s="394"/>
      <c r="C38" s="67" t="s">
        <v>44</v>
      </c>
      <c r="D38" s="41"/>
      <c r="E38" s="396"/>
    </row>
    <row r="39" spans="1:5" ht="15" thickBot="1" x14ac:dyDescent="0.4">
      <c r="A39" s="32"/>
      <c r="B39" s="395"/>
      <c r="C39" s="68" t="s">
        <v>45</v>
      </c>
      <c r="D39" s="69" t="s">
        <v>46</v>
      </c>
      <c r="E39" s="397"/>
    </row>
    <row r="40" spans="1:5" ht="30.5" thickBot="1" x14ac:dyDescent="0.4">
      <c r="A40" s="40" t="s">
        <v>47</v>
      </c>
      <c r="B40" s="33" t="s">
        <v>48</v>
      </c>
      <c r="C40" s="33" t="s">
        <v>49</v>
      </c>
      <c r="D40" s="33" t="s">
        <v>50</v>
      </c>
      <c r="E40" s="37"/>
    </row>
    <row r="41" spans="1:5" ht="15" thickBot="1" x14ac:dyDescent="0.4">
      <c r="A41" s="57"/>
      <c r="B41" s="70" t="s">
        <v>51</v>
      </c>
      <c r="C41" s="70" t="s">
        <v>52</v>
      </c>
      <c r="D41" s="70" t="s">
        <v>53</v>
      </c>
      <c r="E41" s="71"/>
    </row>
    <row r="42" spans="1:5" ht="15" thickBot="1" x14ac:dyDescent="0.4">
      <c r="A42" s="32"/>
      <c r="B42" s="33" t="s">
        <v>54</v>
      </c>
      <c r="C42" s="33" t="s">
        <v>30</v>
      </c>
      <c r="D42" s="33" t="s">
        <v>31</v>
      </c>
      <c r="E42" s="37"/>
    </row>
    <row r="43" spans="1:5" ht="15" thickBot="1" x14ac:dyDescent="0.4">
      <c r="A43" s="35"/>
      <c r="B43" s="33" t="s">
        <v>55</v>
      </c>
      <c r="C43" s="343"/>
      <c r="D43" s="345"/>
      <c r="E43" s="37"/>
    </row>
    <row r="44" spans="1:5" ht="18" customHeight="1" thickBot="1" x14ac:dyDescent="0.4">
      <c r="A44" s="40" t="s">
        <v>56</v>
      </c>
      <c r="B44" s="70" t="s">
        <v>57</v>
      </c>
      <c r="C44" s="398"/>
      <c r="D44" s="399"/>
      <c r="E44" s="71"/>
    </row>
    <row r="45" spans="1:5" ht="18" customHeight="1" thickTop="1" x14ac:dyDescent="0.35">
      <c r="A45" s="56"/>
      <c r="B45" s="400" t="s">
        <v>54</v>
      </c>
      <c r="C45" s="401" t="s">
        <v>30</v>
      </c>
      <c r="D45" s="401" t="s">
        <v>31</v>
      </c>
      <c r="E45" s="403"/>
    </row>
    <row r="46" spans="1:5" ht="18" customHeight="1" thickBot="1" x14ac:dyDescent="0.4">
      <c r="A46" s="57"/>
      <c r="B46" s="351"/>
      <c r="C46" s="402"/>
      <c r="D46" s="402"/>
      <c r="E46" s="404"/>
    </row>
    <row r="47" spans="1:5" x14ac:dyDescent="0.35">
      <c r="A47" s="32"/>
      <c r="B47" s="410" t="s">
        <v>58</v>
      </c>
      <c r="C47" s="410"/>
      <c r="D47" s="375"/>
      <c r="E47" s="412"/>
    </row>
    <row r="48" spans="1:5" x14ac:dyDescent="0.35">
      <c r="A48" s="35"/>
      <c r="B48" s="411" t="s">
        <v>59</v>
      </c>
      <c r="C48" s="411"/>
      <c r="D48" s="359"/>
      <c r="E48" s="413"/>
    </row>
    <row r="49" spans="1:5" ht="15" thickBot="1" x14ac:dyDescent="0.4">
      <c r="A49" s="35"/>
      <c r="B49" s="411" t="s">
        <v>60</v>
      </c>
      <c r="C49" s="411"/>
      <c r="D49" s="359"/>
      <c r="E49" s="413"/>
    </row>
    <row r="50" spans="1:5" ht="15" thickBot="1" x14ac:dyDescent="0.4">
      <c r="A50" s="72" t="s">
        <v>61</v>
      </c>
      <c r="B50" s="414" t="s">
        <v>62</v>
      </c>
      <c r="C50" s="414"/>
      <c r="D50" s="415"/>
      <c r="E50" s="417"/>
    </row>
    <row r="51" spans="1:5" ht="24.75" customHeight="1" thickBot="1" x14ac:dyDescent="0.4">
      <c r="A51" s="73" t="s">
        <v>63</v>
      </c>
      <c r="B51" s="416"/>
      <c r="C51" s="416"/>
      <c r="D51" s="351"/>
      <c r="E51" s="418"/>
    </row>
    <row r="52" spans="1:5" ht="15" thickBot="1" x14ac:dyDescent="0.4">
      <c r="A52" s="74"/>
      <c r="B52" s="405" t="s">
        <v>64</v>
      </c>
      <c r="C52" s="406"/>
      <c r="D52" s="342"/>
      <c r="E52" s="75"/>
    </row>
    <row r="53" spans="1:5" ht="15" thickBot="1" x14ac:dyDescent="0.4">
      <c r="A53" s="74"/>
      <c r="B53" s="76" t="s">
        <v>54</v>
      </c>
      <c r="C53" s="33" t="s">
        <v>30</v>
      </c>
      <c r="D53" s="33" t="s">
        <v>31</v>
      </c>
      <c r="E53" s="75"/>
    </row>
    <row r="54" spans="1:5" ht="15" thickBot="1" x14ac:dyDescent="0.4">
      <c r="A54" s="74"/>
      <c r="B54" s="407" t="s">
        <v>65</v>
      </c>
      <c r="C54" s="408"/>
      <c r="D54" s="408"/>
      <c r="E54" s="409"/>
    </row>
    <row r="55" spans="1:5" x14ac:dyDescent="0.35">
      <c r="B55" s="74"/>
      <c r="C55" s="74"/>
    </row>
    <row r="56" spans="1:5" x14ac:dyDescent="0.35">
      <c r="B56" s="74"/>
      <c r="C56" s="74"/>
    </row>
    <row r="57" spans="1:5" x14ac:dyDescent="0.35">
      <c r="B57" s="74"/>
      <c r="C57" s="74"/>
    </row>
  </sheetData>
  <mergeCells count="58">
    <mergeCell ref="B52:D52"/>
    <mergeCell ref="B54:E54"/>
    <mergeCell ref="B47:D47"/>
    <mergeCell ref="B48:D48"/>
    <mergeCell ref="B49:D49"/>
    <mergeCell ref="E47:E49"/>
    <mergeCell ref="B50:D51"/>
    <mergeCell ref="E50:E51"/>
    <mergeCell ref="B37:B39"/>
    <mergeCell ref="E37:E39"/>
    <mergeCell ref="C43:D43"/>
    <mergeCell ref="C44:D44"/>
    <mergeCell ref="B45:B46"/>
    <mergeCell ref="C45:C46"/>
    <mergeCell ref="D45:D46"/>
    <mergeCell ref="E45:E46"/>
    <mergeCell ref="B30:B31"/>
    <mergeCell ref="C30:D31"/>
    <mergeCell ref="E30:E31"/>
    <mergeCell ref="B32:B36"/>
    <mergeCell ref="C32:D36"/>
    <mergeCell ref="E32:E36"/>
    <mergeCell ref="C20:D20"/>
    <mergeCell ref="B26:B27"/>
    <mergeCell ref="C26:C27"/>
    <mergeCell ref="D26:D27"/>
    <mergeCell ref="C21:E21"/>
    <mergeCell ref="C22:E22"/>
    <mergeCell ref="E26:E27"/>
    <mergeCell ref="C19:D19"/>
    <mergeCell ref="A11:B11"/>
    <mergeCell ref="C18:E18"/>
    <mergeCell ref="C17:E17"/>
    <mergeCell ref="C14:E14"/>
    <mergeCell ref="C15:E15"/>
    <mergeCell ref="C16:E16"/>
    <mergeCell ref="D11:E11"/>
    <mergeCell ref="B12:B13"/>
    <mergeCell ref="A1:B1"/>
    <mergeCell ref="C1:E1"/>
    <mergeCell ref="A2:B2"/>
    <mergeCell ref="C2:E2"/>
    <mergeCell ref="A3:B3"/>
    <mergeCell ref="A4:B4"/>
    <mergeCell ref="A5:B5"/>
    <mergeCell ref="C3:E3"/>
    <mergeCell ref="C4:E4"/>
    <mergeCell ref="C5:E5"/>
    <mergeCell ref="A6:B6"/>
    <mergeCell ref="C6:E6"/>
    <mergeCell ref="A7:B7"/>
    <mergeCell ref="C7:E7"/>
    <mergeCell ref="D10:E10"/>
    <mergeCell ref="A8:B8"/>
    <mergeCell ref="A9:B9"/>
    <mergeCell ref="C8:C9"/>
    <mergeCell ref="D8:E9"/>
    <mergeCell ref="A10:B10"/>
  </mergeCells>
  <pageMargins left="0.7" right="0.7" top="0.75" bottom="0.75" header="0.3" footer="0.3"/>
  <pageSetup paperSize="1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65"/>
  <sheetViews>
    <sheetView topLeftCell="A352" workbookViewId="0">
      <selection activeCell="B476" sqref="B476"/>
    </sheetView>
  </sheetViews>
  <sheetFormatPr baseColWidth="10" defaultColWidth="11.54296875" defaultRowHeight="14.5" x14ac:dyDescent="0.35"/>
  <cols>
    <col min="1" max="1" width="44.54296875" customWidth="1"/>
    <col min="2" max="2" width="22" customWidth="1"/>
    <col min="3" max="3" width="15.453125" customWidth="1"/>
    <col min="4" max="4" width="17" customWidth="1"/>
    <col min="5" max="5" width="16.54296875" customWidth="1"/>
    <col min="10" max="10" width="13.453125" customWidth="1"/>
  </cols>
  <sheetData>
    <row r="1" spans="1:5" x14ac:dyDescent="0.35">
      <c r="A1" s="20" t="s">
        <v>174</v>
      </c>
      <c r="B1" s="10"/>
      <c r="C1" s="10"/>
      <c r="D1" s="10"/>
      <c r="E1" s="10"/>
    </row>
    <row r="2" spans="1:5" x14ac:dyDescent="0.35">
      <c r="A2" s="16" t="s">
        <v>175</v>
      </c>
      <c r="B2" s="10"/>
      <c r="C2" s="10"/>
      <c r="D2" s="10"/>
      <c r="E2" s="10"/>
    </row>
    <row r="3" spans="1:5" x14ac:dyDescent="0.35">
      <c r="A3" s="10"/>
      <c r="B3" s="10"/>
      <c r="C3" s="10"/>
      <c r="D3" s="10"/>
      <c r="E3" s="10"/>
    </row>
    <row r="4" spans="1:5" x14ac:dyDescent="0.35">
      <c r="A4" s="16" t="s">
        <v>176</v>
      </c>
      <c r="B4" s="10"/>
      <c r="C4" s="10"/>
      <c r="D4" s="10"/>
      <c r="E4" s="10"/>
    </row>
    <row r="5" spans="1:5" x14ac:dyDescent="0.35">
      <c r="A5" s="16" t="s">
        <v>177</v>
      </c>
      <c r="B5" s="10"/>
      <c r="C5" s="10"/>
      <c r="D5" s="10"/>
      <c r="E5" s="10"/>
    </row>
    <row r="6" spans="1:5" x14ac:dyDescent="0.35">
      <c r="A6" s="16" t="s">
        <v>178</v>
      </c>
      <c r="B6" s="10"/>
      <c r="C6" s="10"/>
      <c r="D6" s="10"/>
      <c r="E6" s="10"/>
    </row>
    <row r="7" spans="1:5" x14ac:dyDescent="0.35">
      <c r="A7" s="16" t="s">
        <v>177</v>
      </c>
      <c r="B7" s="10"/>
      <c r="C7" s="10"/>
      <c r="D7" s="10"/>
      <c r="E7" s="10"/>
    </row>
    <row r="8" spans="1:5" x14ac:dyDescent="0.35">
      <c r="A8" s="10"/>
      <c r="B8" s="10"/>
      <c r="C8" s="10"/>
      <c r="D8" s="10"/>
      <c r="E8" s="10"/>
    </row>
    <row r="9" spans="1:5" ht="126" x14ac:dyDescent="0.35">
      <c r="A9" s="16" t="s">
        <v>179</v>
      </c>
      <c r="B9" s="10"/>
      <c r="C9" s="10"/>
      <c r="D9" s="10"/>
      <c r="E9" s="10"/>
    </row>
    <row r="10" spans="1:5" x14ac:dyDescent="0.35">
      <c r="A10" s="16" t="s">
        <v>177</v>
      </c>
      <c r="B10" s="10"/>
      <c r="C10" s="10"/>
      <c r="D10" s="10"/>
      <c r="E10" s="10"/>
    </row>
    <row r="11" spans="1:5" ht="42" x14ac:dyDescent="0.35">
      <c r="A11" s="16" t="s">
        <v>180</v>
      </c>
      <c r="B11" s="10"/>
      <c r="C11" s="10"/>
      <c r="D11" s="10"/>
      <c r="E11" s="10"/>
    </row>
    <row r="12" spans="1:5" x14ac:dyDescent="0.35">
      <c r="A12" s="10"/>
      <c r="B12" s="10"/>
      <c r="C12" s="10"/>
      <c r="D12" s="10"/>
      <c r="E12" s="10"/>
    </row>
    <row r="13" spans="1:5" ht="28" x14ac:dyDescent="0.35">
      <c r="A13" s="13" t="s">
        <v>181</v>
      </c>
      <c r="B13" s="14" t="s">
        <v>182</v>
      </c>
      <c r="C13" s="14" t="s">
        <v>183</v>
      </c>
      <c r="D13" s="14" t="s">
        <v>184</v>
      </c>
      <c r="E13" s="15" t="s">
        <v>185</v>
      </c>
    </row>
    <row r="14" spans="1:5" x14ac:dyDescent="0.35">
      <c r="A14" s="21">
        <v>195407</v>
      </c>
      <c r="B14" s="22">
        <v>0.03</v>
      </c>
      <c r="C14" s="17"/>
      <c r="D14" s="17"/>
      <c r="E14" s="18"/>
    </row>
    <row r="15" spans="1:5" x14ac:dyDescent="0.35">
      <c r="A15" s="23">
        <v>195408</v>
      </c>
      <c r="B15" s="24">
        <v>0.03</v>
      </c>
      <c r="C15" s="19"/>
      <c r="D15" s="24">
        <v>-0.76</v>
      </c>
      <c r="E15" s="25">
        <v>-0.76</v>
      </c>
    </row>
    <row r="16" spans="1:5" x14ac:dyDescent="0.35">
      <c r="A16" s="21">
        <v>195409</v>
      </c>
      <c r="B16" s="22">
        <v>0.03</v>
      </c>
      <c r="C16" s="17"/>
      <c r="D16" s="22">
        <v>-1.37</v>
      </c>
      <c r="E16" s="26">
        <v>-2.12</v>
      </c>
    </row>
    <row r="17" spans="1:5" x14ac:dyDescent="0.35">
      <c r="A17" s="23">
        <v>195410</v>
      </c>
      <c r="B17" s="24">
        <v>0.03</v>
      </c>
      <c r="C17" s="19"/>
      <c r="D17" s="24">
        <v>0.34</v>
      </c>
      <c r="E17" s="25">
        <v>-1.79</v>
      </c>
    </row>
    <row r="18" spans="1:5" x14ac:dyDescent="0.35">
      <c r="A18" s="21">
        <v>195411</v>
      </c>
      <c r="B18" s="22">
        <v>0.03</v>
      </c>
      <c r="C18" s="17"/>
      <c r="D18" s="22">
        <v>0.27</v>
      </c>
      <c r="E18" s="26">
        <v>-1.52</v>
      </c>
    </row>
    <row r="19" spans="1:5" x14ac:dyDescent="0.35">
      <c r="A19" s="23">
        <v>195412</v>
      </c>
      <c r="B19" s="24">
        <v>0.03</v>
      </c>
      <c r="C19" s="19"/>
      <c r="D19" s="24">
        <v>0.54</v>
      </c>
      <c r="E19" s="25">
        <v>-1</v>
      </c>
    </row>
    <row r="20" spans="1:5" x14ac:dyDescent="0.35">
      <c r="A20" s="21">
        <v>195501</v>
      </c>
      <c r="B20" s="22">
        <v>0.03</v>
      </c>
      <c r="C20" s="17"/>
      <c r="D20" s="22">
        <v>-0.17</v>
      </c>
      <c r="E20" s="26">
        <v>-0.17</v>
      </c>
    </row>
    <row r="21" spans="1:5" x14ac:dyDescent="0.35">
      <c r="A21" s="23">
        <v>195502</v>
      </c>
      <c r="B21" s="24">
        <v>0.03</v>
      </c>
      <c r="C21" s="19"/>
      <c r="D21" s="24">
        <v>-7.0000000000000007E-2</v>
      </c>
      <c r="E21" s="25">
        <v>-0.23</v>
      </c>
    </row>
    <row r="22" spans="1:5" x14ac:dyDescent="0.35">
      <c r="A22" s="21">
        <v>195503</v>
      </c>
      <c r="B22" s="22">
        <v>0.03</v>
      </c>
      <c r="C22" s="17"/>
      <c r="D22" s="22">
        <v>0.4</v>
      </c>
      <c r="E22" s="26">
        <v>0.17</v>
      </c>
    </row>
    <row r="23" spans="1:5" x14ac:dyDescent="0.35">
      <c r="A23" s="23">
        <v>195504</v>
      </c>
      <c r="B23" s="24">
        <v>0.03</v>
      </c>
      <c r="C23" s="19"/>
      <c r="D23" s="24">
        <v>0.7</v>
      </c>
      <c r="E23" s="25">
        <v>0.87</v>
      </c>
    </row>
    <row r="24" spans="1:5" x14ac:dyDescent="0.35">
      <c r="A24" s="21">
        <v>195505</v>
      </c>
      <c r="B24" s="22">
        <v>0.03</v>
      </c>
      <c r="C24" s="17"/>
      <c r="D24" s="22">
        <v>-0.43</v>
      </c>
      <c r="E24" s="26">
        <v>0.43</v>
      </c>
    </row>
    <row r="25" spans="1:5" x14ac:dyDescent="0.35">
      <c r="A25" s="23">
        <v>195506</v>
      </c>
      <c r="B25" s="24">
        <v>0.03</v>
      </c>
      <c r="C25" s="19"/>
      <c r="D25" s="24">
        <v>-7.0000000000000007E-2</v>
      </c>
      <c r="E25" s="25">
        <v>0.37</v>
      </c>
    </row>
    <row r="26" spans="1:5" x14ac:dyDescent="0.35">
      <c r="A26" s="21">
        <v>195507</v>
      </c>
      <c r="B26" s="22">
        <v>0.03</v>
      </c>
      <c r="C26" s="22">
        <v>-0.87</v>
      </c>
      <c r="D26" s="22">
        <v>-0.23</v>
      </c>
      <c r="E26" s="26">
        <v>0.13</v>
      </c>
    </row>
    <row r="27" spans="1:5" x14ac:dyDescent="0.35">
      <c r="A27" s="23">
        <v>195508</v>
      </c>
      <c r="B27" s="24">
        <v>0.03</v>
      </c>
      <c r="C27" s="24">
        <v>-0.01</v>
      </c>
      <c r="D27" s="24">
        <v>0.1</v>
      </c>
      <c r="E27" s="25">
        <v>0.23</v>
      </c>
    </row>
    <row r="28" spans="1:5" x14ac:dyDescent="0.35">
      <c r="A28" s="21">
        <v>195509</v>
      </c>
      <c r="B28" s="22">
        <v>0.03</v>
      </c>
      <c r="C28" s="22">
        <v>0.84</v>
      </c>
      <c r="D28" s="22">
        <v>-0.53</v>
      </c>
      <c r="E28" s="26">
        <v>-0.3</v>
      </c>
    </row>
    <row r="29" spans="1:5" x14ac:dyDescent="0.35">
      <c r="A29" s="23">
        <v>195510</v>
      </c>
      <c r="B29" s="24">
        <v>0.03</v>
      </c>
      <c r="C29" s="24">
        <v>0.77</v>
      </c>
      <c r="D29" s="24">
        <v>0.27</v>
      </c>
      <c r="E29" s="25">
        <v>-0.04</v>
      </c>
    </row>
    <row r="30" spans="1:5" x14ac:dyDescent="0.35">
      <c r="A30" s="21">
        <v>195511</v>
      </c>
      <c r="B30" s="22">
        <v>0.03</v>
      </c>
      <c r="C30" s="22">
        <v>1.44</v>
      </c>
      <c r="D30" s="22">
        <v>0.94</v>
      </c>
      <c r="E30" s="26">
        <v>0.9</v>
      </c>
    </row>
    <row r="31" spans="1:5" x14ac:dyDescent="0.35">
      <c r="A31" s="23">
        <v>195512</v>
      </c>
      <c r="B31" s="24">
        <v>0.03</v>
      </c>
      <c r="C31" s="24">
        <v>2.0299999999999998</v>
      </c>
      <c r="D31" s="24">
        <v>1.1200000000000001</v>
      </c>
      <c r="E31" s="25">
        <v>2.0299999999999998</v>
      </c>
    </row>
    <row r="32" spans="1:5" x14ac:dyDescent="0.35">
      <c r="A32" s="21">
        <v>195601</v>
      </c>
      <c r="B32" s="22">
        <v>0.03</v>
      </c>
      <c r="C32" s="22">
        <v>2.1</v>
      </c>
      <c r="D32" s="22">
        <v>-0.1</v>
      </c>
      <c r="E32" s="26">
        <v>-0.1</v>
      </c>
    </row>
    <row r="33" spans="1:5" x14ac:dyDescent="0.35">
      <c r="A33" s="23">
        <v>195602</v>
      </c>
      <c r="B33" s="24">
        <v>0.03</v>
      </c>
      <c r="C33" s="24">
        <v>2.57</v>
      </c>
      <c r="D33" s="24">
        <v>0.39</v>
      </c>
      <c r="E33" s="25">
        <v>0.28999999999999998</v>
      </c>
    </row>
    <row r="34" spans="1:5" x14ac:dyDescent="0.35">
      <c r="A34" s="21">
        <v>195603</v>
      </c>
      <c r="B34" s="22">
        <v>0.03</v>
      </c>
      <c r="C34" s="22">
        <v>3.1</v>
      </c>
      <c r="D34" s="22">
        <v>0.91</v>
      </c>
      <c r="E34" s="26">
        <v>1.21</v>
      </c>
    </row>
    <row r="35" spans="1:5" x14ac:dyDescent="0.35">
      <c r="A35" s="23">
        <v>195604</v>
      </c>
      <c r="B35" s="24">
        <v>0.03</v>
      </c>
      <c r="C35" s="24">
        <v>3.04</v>
      </c>
      <c r="D35" s="24">
        <v>0.65</v>
      </c>
      <c r="E35" s="25">
        <v>1.86</v>
      </c>
    </row>
    <row r="36" spans="1:5" x14ac:dyDescent="0.35">
      <c r="A36" s="21">
        <v>195605</v>
      </c>
      <c r="B36" s="22">
        <v>0.03</v>
      </c>
      <c r="C36" s="22">
        <v>4.25</v>
      </c>
      <c r="D36" s="22">
        <v>0.74</v>
      </c>
      <c r="E36" s="26">
        <v>2.62</v>
      </c>
    </row>
    <row r="37" spans="1:5" x14ac:dyDescent="0.35">
      <c r="A37" s="23">
        <v>195606</v>
      </c>
      <c r="B37" s="24">
        <v>0.03</v>
      </c>
      <c r="C37" s="24">
        <v>5.28</v>
      </c>
      <c r="D37" s="24">
        <v>0.92</v>
      </c>
      <c r="E37" s="25">
        <v>3.56</v>
      </c>
    </row>
    <row r="38" spans="1:5" x14ac:dyDescent="0.35">
      <c r="A38" s="21">
        <v>195607</v>
      </c>
      <c r="B38" s="22">
        <v>0.03</v>
      </c>
      <c r="C38" s="22">
        <v>6.36</v>
      </c>
      <c r="D38" s="22">
        <v>0.79</v>
      </c>
      <c r="E38" s="26">
        <v>4.38</v>
      </c>
    </row>
    <row r="39" spans="1:5" x14ac:dyDescent="0.35">
      <c r="A39" s="23">
        <v>195608</v>
      </c>
      <c r="B39" s="24">
        <v>0.03</v>
      </c>
      <c r="C39" s="24">
        <v>5.76</v>
      </c>
      <c r="D39" s="24">
        <v>-0.47</v>
      </c>
      <c r="E39" s="25">
        <v>3.89</v>
      </c>
    </row>
    <row r="40" spans="1:5" x14ac:dyDescent="0.35">
      <c r="A40" s="21">
        <v>195609</v>
      </c>
      <c r="B40" s="22">
        <v>0.03</v>
      </c>
      <c r="C40" s="22">
        <v>7.26</v>
      </c>
      <c r="D40" s="22">
        <v>0.88</v>
      </c>
      <c r="E40" s="26">
        <v>4.8099999999999996</v>
      </c>
    </row>
    <row r="41" spans="1:5" x14ac:dyDescent="0.35">
      <c r="A41" s="23">
        <v>195610</v>
      </c>
      <c r="B41" s="24">
        <v>0.03</v>
      </c>
      <c r="C41" s="24">
        <v>8.31</v>
      </c>
      <c r="D41" s="24">
        <v>1.25</v>
      </c>
      <c r="E41" s="25">
        <v>6.11</v>
      </c>
    </row>
    <row r="42" spans="1:5" x14ac:dyDescent="0.35">
      <c r="A42" s="21">
        <v>195611</v>
      </c>
      <c r="B42" s="22">
        <v>0.03</v>
      </c>
      <c r="C42" s="22">
        <v>8.83</v>
      </c>
      <c r="D42" s="22">
        <v>1.42</v>
      </c>
      <c r="E42" s="26">
        <v>7.62</v>
      </c>
    </row>
    <row r="43" spans="1:5" x14ac:dyDescent="0.35">
      <c r="A43" s="23">
        <v>195612</v>
      </c>
      <c r="B43" s="24">
        <v>0.03</v>
      </c>
      <c r="C43" s="24">
        <v>7.91</v>
      </c>
      <c r="D43" s="24">
        <v>0.27</v>
      </c>
      <c r="E43" s="25">
        <v>7.91</v>
      </c>
    </row>
    <row r="44" spans="1:5" x14ac:dyDescent="0.35">
      <c r="A44" s="21">
        <v>195701</v>
      </c>
      <c r="B44" s="22">
        <v>0.03</v>
      </c>
      <c r="C44" s="22">
        <v>9.3000000000000007</v>
      </c>
      <c r="D44" s="22">
        <v>1.18</v>
      </c>
      <c r="E44" s="26">
        <v>1.18</v>
      </c>
    </row>
    <row r="45" spans="1:5" x14ac:dyDescent="0.35">
      <c r="A45" s="23">
        <v>195702</v>
      </c>
      <c r="B45" s="24">
        <v>0.03</v>
      </c>
      <c r="C45" s="24">
        <v>10.3</v>
      </c>
      <c r="D45" s="24">
        <v>1.32</v>
      </c>
      <c r="E45" s="25">
        <v>2.52</v>
      </c>
    </row>
    <row r="46" spans="1:5" x14ac:dyDescent="0.35">
      <c r="A46" s="21">
        <v>195703</v>
      </c>
      <c r="B46" s="22">
        <v>0.03</v>
      </c>
      <c r="C46" s="22">
        <v>11.21</v>
      </c>
      <c r="D46" s="22">
        <v>1.74</v>
      </c>
      <c r="E46" s="26">
        <v>4.3</v>
      </c>
    </row>
    <row r="47" spans="1:5" x14ac:dyDescent="0.35">
      <c r="A47" s="23">
        <v>195704</v>
      </c>
      <c r="B47" s="24">
        <v>0.03</v>
      </c>
      <c r="C47" s="24">
        <v>12.97</v>
      </c>
      <c r="D47" s="24">
        <v>2.2400000000000002</v>
      </c>
      <c r="E47" s="25">
        <v>6.64</v>
      </c>
    </row>
    <row r="48" spans="1:5" x14ac:dyDescent="0.35">
      <c r="A48" s="21">
        <v>195705</v>
      </c>
      <c r="B48" s="22">
        <v>0.03</v>
      </c>
      <c r="C48" s="22">
        <v>13.58</v>
      </c>
      <c r="D48" s="22">
        <v>1.28</v>
      </c>
      <c r="E48" s="26">
        <v>8</v>
      </c>
    </row>
    <row r="49" spans="1:5" x14ac:dyDescent="0.35">
      <c r="A49" s="23">
        <v>195706</v>
      </c>
      <c r="B49" s="24">
        <v>0.03</v>
      </c>
      <c r="C49" s="24">
        <v>17.149999999999999</v>
      </c>
      <c r="D49" s="24">
        <v>4.0999999999999996</v>
      </c>
      <c r="E49" s="25">
        <v>12.43</v>
      </c>
    </row>
    <row r="50" spans="1:5" x14ac:dyDescent="0.35">
      <c r="A50" s="21">
        <v>195707</v>
      </c>
      <c r="B50" s="22">
        <v>0.03</v>
      </c>
      <c r="C50" s="22">
        <v>19.39</v>
      </c>
      <c r="D50" s="22">
        <v>2.72</v>
      </c>
      <c r="E50" s="26">
        <v>15.49</v>
      </c>
    </row>
    <row r="51" spans="1:5" x14ac:dyDescent="0.35">
      <c r="A51" s="23">
        <v>195708</v>
      </c>
      <c r="B51" s="24">
        <v>0.03</v>
      </c>
      <c r="C51" s="24">
        <v>21.43</v>
      </c>
      <c r="D51" s="24">
        <v>1.23</v>
      </c>
      <c r="E51" s="25">
        <v>16.91</v>
      </c>
    </row>
    <row r="52" spans="1:5" x14ac:dyDescent="0.35">
      <c r="A52" s="21">
        <v>195709</v>
      </c>
      <c r="B52" s="22">
        <v>0.03</v>
      </c>
      <c r="C52" s="22">
        <v>20.93</v>
      </c>
      <c r="D52" s="22">
        <v>0.46</v>
      </c>
      <c r="E52" s="26">
        <v>17.45</v>
      </c>
    </row>
    <row r="53" spans="1:5" x14ac:dyDescent="0.35">
      <c r="A53" s="23">
        <v>195710</v>
      </c>
      <c r="B53" s="24">
        <v>0.03</v>
      </c>
      <c r="C53" s="24">
        <v>21.17</v>
      </c>
      <c r="D53" s="24">
        <v>1.44</v>
      </c>
      <c r="E53" s="25">
        <v>19.149999999999999</v>
      </c>
    </row>
    <row r="54" spans="1:5" x14ac:dyDescent="0.35">
      <c r="A54" s="21">
        <v>195711</v>
      </c>
      <c r="B54" s="22">
        <v>0.03</v>
      </c>
      <c r="C54" s="22">
        <v>19.84</v>
      </c>
      <c r="D54" s="22">
        <v>0.31</v>
      </c>
      <c r="E54" s="26">
        <v>19.510000000000002</v>
      </c>
    </row>
    <row r="55" spans="1:5" x14ac:dyDescent="0.35">
      <c r="A55" s="23">
        <v>195712</v>
      </c>
      <c r="B55" s="24">
        <v>0.03</v>
      </c>
      <c r="C55" s="24">
        <v>20.69</v>
      </c>
      <c r="D55" s="24">
        <v>0.99</v>
      </c>
      <c r="E55" s="25">
        <v>20.69</v>
      </c>
    </row>
    <row r="56" spans="1:5" x14ac:dyDescent="0.35">
      <c r="A56" s="21">
        <v>195801</v>
      </c>
      <c r="B56" s="22">
        <v>0.03</v>
      </c>
      <c r="C56" s="22">
        <v>19.46</v>
      </c>
      <c r="D56" s="22">
        <v>0.15</v>
      </c>
      <c r="E56" s="26">
        <v>0.15</v>
      </c>
    </row>
    <row r="57" spans="1:5" x14ac:dyDescent="0.35">
      <c r="A57" s="23">
        <v>195802</v>
      </c>
      <c r="B57" s="24">
        <v>0.03</v>
      </c>
      <c r="C57" s="24">
        <v>18.05</v>
      </c>
      <c r="D57" s="24">
        <v>0.12</v>
      </c>
      <c r="E57" s="25">
        <v>0.28000000000000003</v>
      </c>
    </row>
    <row r="58" spans="1:5" x14ac:dyDescent="0.35">
      <c r="A58" s="21">
        <v>195803</v>
      </c>
      <c r="B58" s="22">
        <v>0.04</v>
      </c>
      <c r="C58" s="22">
        <v>17.86</v>
      </c>
      <c r="D58" s="22">
        <v>1.58</v>
      </c>
      <c r="E58" s="26">
        <v>1.86</v>
      </c>
    </row>
    <row r="59" spans="1:5" x14ac:dyDescent="0.35">
      <c r="A59" s="23">
        <v>195804</v>
      </c>
      <c r="B59" s="24">
        <v>0.04</v>
      </c>
      <c r="C59" s="24">
        <v>17.239999999999998</v>
      </c>
      <c r="D59" s="24">
        <v>1.7</v>
      </c>
      <c r="E59" s="25">
        <v>3.59</v>
      </c>
    </row>
    <row r="60" spans="1:5" x14ac:dyDescent="0.35">
      <c r="A60" s="21">
        <v>195805</v>
      </c>
      <c r="B60" s="22">
        <v>0.04</v>
      </c>
      <c r="C60" s="22">
        <v>18.059999999999999</v>
      </c>
      <c r="D60" s="22">
        <v>1.99</v>
      </c>
      <c r="E60" s="26">
        <v>5.65</v>
      </c>
    </row>
    <row r="61" spans="1:5" x14ac:dyDescent="0.35">
      <c r="A61" s="23">
        <v>195806</v>
      </c>
      <c r="B61" s="24">
        <v>0.04</v>
      </c>
      <c r="C61" s="24">
        <v>13.9</v>
      </c>
      <c r="D61" s="24">
        <v>0.43</v>
      </c>
      <c r="E61" s="25">
        <v>6.1</v>
      </c>
    </row>
    <row r="62" spans="1:5" x14ac:dyDescent="0.35">
      <c r="A62" s="21">
        <v>195807</v>
      </c>
      <c r="B62" s="22">
        <v>0.04</v>
      </c>
      <c r="C62" s="22">
        <v>10.99</v>
      </c>
      <c r="D62" s="22">
        <v>0.09</v>
      </c>
      <c r="E62" s="26">
        <v>6.2</v>
      </c>
    </row>
    <row r="63" spans="1:5" x14ac:dyDescent="0.35">
      <c r="A63" s="23">
        <v>195808</v>
      </c>
      <c r="B63" s="24">
        <v>0.04</v>
      </c>
      <c r="C63" s="24">
        <v>10.47</v>
      </c>
      <c r="D63" s="24">
        <v>0.76</v>
      </c>
      <c r="E63" s="25">
        <v>7</v>
      </c>
    </row>
    <row r="64" spans="1:5" x14ac:dyDescent="0.35">
      <c r="A64" s="21">
        <v>195809</v>
      </c>
      <c r="B64" s="22">
        <v>0.04</v>
      </c>
      <c r="C64" s="22">
        <v>10.14</v>
      </c>
      <c r="D64" s="22">
        <v>0.16</v>
      </c>
      <c r="E64" s="26">
        <v>7.18</v>
      </c>
    </row>
    <row r="65" spans="1:5" x14ac:dyDescent="0.35">
      <c r="A65" s="23">
        <v>195810</v>
      </c>
      <c r="B65" s="24">
        <v>0.04</v>
      </c>
      <c r="C65" s="24">
        <v>8.92</v>
      </c>
      <c r="D65" s="24">
        <v>0.33</v>
      </c>
      <c r="E65" s="25">
        <v>7.53</v>
      </c>
    </row>
    <row r="66" spans="1:5" x14ac:dyDescent="0.35">
      <c r="A66" s="21">
        <v>195811</v>
      </c>
      <c r="B66" s="22">
        <v>0.04</v>
      </c>
      <c r="C66" s="22">
        <v>8.5399999999999991</v>
      </c>
      <c r="D66" s="22">
        <v>-0.05</v>
      </c>
      <c r="E66" s="26">
        <v>7.48</v>
      </c>
    </row>
    <row r="67" spans="1:5" x14ac:dyDescent="0.35">
      <c r="A67" s="23">
        <v>195812</v>
      </c>
      <c r="B67" s="24">
        <v>0.04</v>
      </c>
      <c r="C67" s="24">
        <v>7.98</v>
      </c>
      <c r="D67" s="24">
        <v>0.47</v>
      </c>
      <c r="E67" s="25">
        <v>7.98</v>
      </c>
    </row>
    <row r="68" spans="1:5" x14ac:dyDescent="0.35">
      <c r="A68" s="21">
        <v>195901</v>
      </c>
      <c r="B68" s="22">
        <v>0.04</v>
      </c>
      <c r="C68" s="22">
        <v>9.4700000000000006</v>
      </c>
      <c r="D68" s="22">
        <v>1.54</v>
      </c>
      <c r="E68" s="26">
        <v>1.54</v>
      </c>
    </row>
    <row r="69" spans="1:5" x14ac:dyDescent="0.35">
      <c r="A69" s="23">
        <v>195902</v>
      </c>
      <c r="B69" s="24">
        <v>0.04</v>
      </c>
      <c r="C69" s="24">
        <v>10.34</v>
      </c>
      <c r="D69" s="24">
        <v>0.92</v>
      </c>
      <c r="E69" s="25">
        <v>2.4700000000000002</v>
      </c>
    </row>
    <row r="70" spans="1:5" x14ac:dyDescent="0.35">
      <c r="A70" s="21">
        <v>195903</v>
      </c>
      <c r="B70" s="22">
        <v>0.04</v>
      </c>
      <c r="C70" s="22">
        <v>9.09</v>
      </c>
      <c r="D70" s="22">
        <v>0.43</v>
      </c>
      <c r="E70" s="26">
        <v>2.91</v>
      </c>
    </row>
    <row r="71" spans="1:5" x14ac:dyDescent="0.35">
      <c r="A71" s="23">
        <v>195904</v>
      </c>
      <c r="B71" s="24">
        <v>0.04</v>
      </c>
      <c r="C71" s="24">
        <v>8.9600000000000009</v>
      </c>
      <c r="D71" s="24">
        <v>1.58</v>
      </c>
      <c r="E71" s="25">
        <v>4.54</v>
      </c>
    </row>
    <row r="72" spans="1:5" x14ac:dyDescent="0.35">
      <c r="A72" s="21">
        <v>195905</v>
      </c>
      <c r="B72" s="22">
        <v>0.04</v>
      </c>
      <c r="C72" s="22">
        <v>7.62</v>
      </c>
      <c r="D72" s="22">
        <v>0.73</v>
      </c>
      <c r="E72" s="26">
        <v>5.3</v>
      </c>
    </row>
    <row r="73" spans="1:5" x14ac:dyDescent="0.35">
      <c r="A73" s="23">
        <v>195906</v>
      </c>
      <c r="B73" s="24">
        <v>0.04</v>
      </c>
      <c r="C73" s="24">
        <v>7.87</v>
      </c>
      <c r="D73" s="24">
        <v>0.66</v>
      </c>
      <c r="E73" s="25">
        <v>6</v>
      </c>
    </row>
    <row r="74" spans="1:5" x14ac:dyDescent="0.35">
      <c r="A74" s="21">
        <v>195907</v>
      </c>
      <c r="B74" s="22">
        <v>0.04</v>
      </c>
      <c r="C74" s="22">
        <v>8.41</v>
      </c>
      <c r="D74" s="22">
        <v>0.59</v>
      </c>
      <c r="E74" s="26">
        <v>6.63</v>
      </c>
    </row>
    <row r="75" spans="1:5" x14ac:dyDescent="0.35">
      <c r="A75" s="23">
        <v>195908</v>
      </c>
      <c r="B75" s="24">
        <v>0.04</v>
      </c>
      <c r="C75" s="24">
        <v>7.78</v>
      </c>
      <c r="D75" s="24">
        <v>0.17</v>
      </c>
      <c r="E75" s="25">
        <v>6.81</v>
      </c>
    </row>
    <row r="76" spans="1:5" x14ac:dyDescent="0.35">
      <c r="A76" s="21">
        <v>195909</v>
      </c>
      <c r="B76" s="22">
        <v>0.04</v>
      </c>
      <c r="C76" s="22">
        <v>7.23</v>
      </c>
      <c r="D76" s="22">
        <v>-0.35</v>
      </c>
      <c r="E76" s="26">
        <v>6.44</v>
      </c>
    </row>
    <row r="77" spans="1:5" x14ac:dyDescent="0.35">
      <c r="A77" s="23">
        <v>195910</v>
      </c>
      <c r="B77" s="24">
        <v>0.04</v>
      </c>
      <c r="C77" s="24">
        <v>7.14</v>
      </c>
      <c r="D77" s="24">
        <v>0.24</v>
      </c>
      <c r="E77" s="25">
        <v>6.69</v>
      </c>
    </row>
    <row r="78" spans="1:5" x14ac:dyDescent="0.35">
      <c r="A78" s="21">
        <v>195911</v>
      </c>
      <c r="B78" s="22">
        <v>0.04</v>
      </c>
      <c r="C78" s="22">
        <v>7.42</v>
      </c>
      <c r="D78" s="22">
        <v>0.22</v>
      </c>
      <c r="E78" s="26">
        <v>6.92</v>
      </c>
    </row>
    <row r="79" spans="1:5" x14ac:dyDescent="0.35">
      <c r="A79" s="23">
        <v>195912</v>
      </c>
      <c r="B79" s="24">
        <v>0.04</v>
      </c>
      <c r="C79" s="24">
        <v>7.81</v>
      </c>
      <c r="D79" s="24">
        <v>0.83</v>
      </c>
      <c r="E79" s="25">
        <v>7.81</v>
      </c>
    </row>
    <row r="80" spans="1:5" x14ac:dyDescent="0.35">
      <c r="A80" s="21">
        <v>196001</v>
      </c>
      <c r="B80" s="22">
        <v>0.04</v>
      </c>
      <c r="C80" s="22">
        <v>6.52</v>
      </c>
      <c r="D80" s="22">
        <v>0.32</v>
      </c>
      <c r="E80" s="26">
        <v>0.32</v>
      </c>
    </row>
    <row r="81" spans="1:5" x14ac:dyDescent="0.35">
      <c r="A81" s="23">
        <v>196002</v>
      </c>
      <c r="B81" s="24">
        <v>0.04</v>
      </c>
      <c r="C81" s="24">
        <v>5.24</v>
      </c>
      <c r="D81" s="24">
        <v>-0.3</v>
      </c>
      <c r="E81" s="25">
        <v>0.02</v>
      </c>
    </row>
    <row r="82" spans="1:5" x14ac:dyDescent="0.35">
      <c r="A82" s="21">
        <v>196003</v>
      </c>
      <c r="B82" s="22">
        <v>0.04</v>
      </c>
      <c r="C82" s="22">
        <v>6.14</v>
      </c>
      <c r="D82" s="22">
        <v>1.29</v>
      </c>
      <c r="E82" s="26">
        <v>1.32</v>
      </c>
    </row>
    <row r="83" spans="1:5" x14ac:dyDescent="0.35">
      <c r="A83" s="23">
        <v>196004</v>
      </c>
      <c r="B83" s="24">
        <v>0.04</v>
      </c>
      <c r="C83" s="24">
        <v>5.49</v>
      </c>
      <c r="D83" s="24">
        <v>0.96</v>
      </c>
      <c r="E83" s="25">
        <v>2.29</v>
      </c>
    </row>
    <row r="84" spans="1:5" x14ac:dyDescent="0.35">
      <c r="A84" s="21">
        <v>196005</v>
      </c>
      <c r="B84" s="22">
        <v>0.04</v>
      </c>
      <c r="C84" s="22">
        <v>5.52</v>
      </c>
      <c r="D84" s="22">
        <v>0.76</v>
      </c>
      <c r="E84" s="26">
        <v>3.06</v>
      </c>
    </row>
    <row r="85" spans="1:5" x14ac:dyDescent="0.35">
      <c r="A85" s="23">
        <v>196006</v>
      </c>
      <c r="B85" s="24">
        <v>0.04</v>
      </c>
      <c r="C85" s="24">
        <v>4.93</v>
      </c>
      <c r="D85" s="24">
        <v>0.1</v>
      </c>
      <c r="E85" s="25">
        <v>3.17</v>
      </c>
    </row>
    <row r="86" spans="1:5" x14ac:dyDescent="0.35">
      <c r="A86" s="21">
        <v>196007</v>
      </c>
      <c r="B86" s="22">
        <v>0.04</v>
      </c>
      <c r="C86" s="22">
        <v>4.79</v>
      </c>
      <c r="D86" s="22">
        <v>0.46</v>
      </c>
      <c r="E86" s="26">
        <v>3.64</v>
      </c>
    </row>
    <row r="87" spans="1:5" x14ac:dyDescent="0.35">
      <c r="A87" s="23">
        <v>196008</v>
      </c>
      <c r="B87" s="24">
        <v>0.04</v>
      </c>
      <c r="C87" s="24">
        <v>4.96</v>
      </c>
      <c r="D87" s="24">
        <v>0.33</v>
      </c>
      <c r="E87" s="25">
        <v>3.99</v>
      </c>
    </row>
    <row r="88" spans="1:5" x14ac:dyDescent="0.35">
      <c r="A88" s="21">
        <v>196009</v>
      </c>
      <c r="B88" s="22">
        <v>0.04</v>
      </c>
      <c r="C88" s="22">
        <v>5.57</v>
      </c>
      <c r="D88" s="22">
        <v>0.23</v>
      </c>
      <c r="E88" s="26">
        <v>4.2300000000000004</v>
      </c>
    </row>
    <row r="89" spans="1:5" x14ac:dyDescent="0.35">
      <c r="A89" s="23">
        <v>196010</v>
      </c>
      <c r="B89" s="24">
        <v>0.04</v>
      </c>
      <c r="C89" s="24">
        <v>6.12</v>
      </c>
      <c r="D89" s="24">
        <v>0.77</v>
      </c>
      <c r="E89" s="25">
        <v>5.0199999999999996</v>
      </c>
    </row>
    <row r="90" spans="1:5" x14ac:dyDescent="0.35">
      <c r="A90" s="21">
        <v>196011</v>
      </c>
      <c r="B90" s="22">
        <v>0.04</v>
      </c>
      <c r="C90" s="22">
        <v>7.13</v>
      </c>
      <c r="D90" s="22">
        <v>1.17</v>
      </c>
      <c r="E90" s="26">
        <v>6.25</v>
      </c>
    </row>
    <row r="91" spans="1:5" x14ac:dyDescent="0.35">
      <c r="A91" s="23">
        <v>196012</v>
      </c>
      <c r="B91" s="24">
        <v>0.04</v>
      </c>
      <c r="C91" s="24">
        <v>7.35</v>
      </c>
      <c r="D91" s="24">
        <v>1.04</v>
      </c>
      <c r="E91" s="25">
        <v>7.35</v>
      </c>
    </row>
    <row r="92" spans="1:5" x14ac:dyDescent="0.35">
      <c r="A92" s="21">
        <v>196101</v>
      </c>
      <c r="B92" s="22">
        <v>0.04</v>
      </c>
      <c r="C92" s="22">
        <v>7.59</v>
      </c>
      <c r="D92" s="22">
        <v>0.54</v>
      </c>
      <c r="E92" s="26">
        <v>0.54</v>
      </c>
    </row>
    <row r="93" spans="1:5" x14ac:dyDescent="0.35">
      <c r="A93" s="23">
        <v>196102</v>
      </c>
      <c r="B93" s="24">
        <v>0.04</v>
      </c>
      <c r="C93" s="24">
        <v>8.36</v>
      </c>
      <c r="D93" s="24">
        <v>0.42</v>
      </c>
      <c r="E93" s="25">
        <v>0.96</v>
      </c>
    </row>
    <row r="94" spans="1:5" x14ac:dyDescent="0.35">
      <c r="A94" s="21">
        <v>196103</v>
      </c>
      <c r="B94" s="22">
        <v>0.04</v>
      </c>
      <c r="C94" s="22">
        <v>8.6999999999999993</v>
      </c>
      <c r="D94" s="22">
        <v>1.61</v>
      </c>
      <c r="E94" s="26">
        <v>2.59</v>
      </c>
    </row>
    <row r="95" spans="1:5" x14ac:dyDescent="0.35">
      <c r="A95" s="23">
        <v>196104</v>
      </c>
      <c r="B95" s="24">
        <v>0.05</v>
      </c>
      <c r="C95" s="24">
        <v>9.8699999999999992</v>
      </c>
      <c r="D95" s="24">
        <v>2.04</v>
      </c>
      <c r="E95" s="25">
        <v>4.68</v>
      </c>
    </row>
    <row r="96" spans="1:5" x14ac:dyDescent="0.35">
      <c r="A96" s="21">
        <v>196105</v>
      </c>
      <c r="B96" s="22">
        <v>0.05</v>
      </c>
      <c r="C96" s="22">
        <v>10.23</v>
      </c>
      <c r="D96" s="22">
        <v>1.1000000000000001</v>
      </c>
      <c r="E96" s="26">
        <v>5.83</v>
      </c>
    </row>
    <row r="97" spans="1:5" x14ac:dyDescent="0.35">
      <c r="A97" s="23">
        <v>196106</v>
      </c>
      <c r="B97" s="24">
        <v>0.05</v>
      </c>
      <c r="C97" s="24">
        <v>10.27</v>
      </c>
      <c r="D97" s="24">
        <v>0.13</v>
      </c>
      <c r="E97" s="25">
        <v>5.97</v>
      </c>
    </row>
    <row r="98" spans="1:5" x14ac:dyDescent="0.35">
      <c r="A98" s="21">
        <v>196107</v>
      </c>
      <c r="B98" s="22">
        <v>0.05</v>
      </c>
      <c r="C98" s="22">
        <v>10.029999999999999</v>
      </c>
      <c r="D98" s="22">
        <v>0.24</v>
      </c>
      <c r="E98" s="26">
        <v>6.23</v>
      </c>
    </row>
    <row r="99" spans="1:5" x14ac:dyDescent="0.35">
      <c r="A99" s="23">
        <v>196108</v>
      </c>
      <c r="B99" s="24">
        <v>0.05</v>
      </c>
      <c r="C99" s="24">
        <v>8.4</v>
      </c>
      <c r="D99" s="24">
        <v>-1.1599999999999999</v>
      </c>
      <c r="E99" s="25">
        <v>5</v>
      </c>
    </row>
    <row r="100" spans="1:5" x14ac:dyDescent="0.35">
      <c r="A100" s="21">
        <v>196109</v>
      </c>
      <c r="B100" s="22">
        <v>0.05</v>
      </c>
      <c r="C100" s="22">
        <v>7.47</v>
      </c>
      <c r="D100" s="22">
        <v>-0.63</v>
      </c>
      <c r="E100" s="26">
        <v>4.34</v>
      </c>
    </row>
    <row r="101" spans="1:5" x14ac:dyDescent="0.35">
      <c r="A101" s="23">
        <v>196110</v>
      </c>
      <c r="B101" s="24">
        <v>0.05</v>
      </c>
      <c r="C101" s="24">
        <v>6.81</v>
      </c>
      <c r="D101" s="24">
        <v>0.15</v>
      </c>
      <c r="E101" s="25">
        <v>4.5</v>
      </c>
    </row>
    <row r="102" spans="1:5" x14ac:dyDescent="0.35">
      <c r="A102" s="21">
        <v>196111</v>
      </c>
      <c r="B102" s="22">
        <v>0.05</v>
      </c>
      <c r="C102" s="22">
        <v>6.13</v>
      </c>
      <c r="D102" s="22">
        <v>0.52</v>
      </c>
      <c r="E102" s="26">
        <v>5.04</v>
      </c>
    </row>
    <row r="103" spans="1:5" x14ac:dyDescent="0.35">
      <c r="A103" s="23">
        <v>196112</v>
      </c>
      <c r="B103" s="24">
        <v>0.05</v>
      </c>
      <c r="C103" s="24">
        <v>5.74</v>
      </c>
      <c r="D103" s="24">
        <v>0.67</v>
      </c>
      <c r="E103" s="25">
        <v>5.74</v>
      </c>
    </row>
    <row r="104" spans="1:5" x14ac:dyDescent="0.35">
      <c r="A104" s="21">
        <v>196201</v>
      </c>
      <c r="B104" s="22">
        <v>0.05</v>
      </c>
      <c r="C104" s="22">
        <v>5.63</v>
      </c>
      <c r="D104" s="22">
        <v>0.44</v>
      </c>
      <c r="E104" s="26">
        <v>0.44</v>
      </c>
    </row>
    <row r="105" spans="1:5" x14ac:dyDescent="0.35">
      <c r="A105" s="23">
        <v>196202</v>
      </c>
      <c r="B105" s="24">
        <v>0.05</v>
      </c>
      <c r="C105" s="24">
        <v>5.29</v>
      </c>
      <c r="D105" s="24">
        <v>0.09</v>
      </c>
      <c r="E105" s="25">
        <v>0.53</v>
      </c>
    </row>
    <row r="106" spans="1:5" x14ac:dyDescent="0.35">
      <c r="A106" s="21">
        <v>196203</v>
      </c>
      <c r="B106" s="22">
        <v>0.05</v>
      </c>
      <c r="C106" s="22">
        <v>4.54</v>
      </c>
      <c r="D106" s="22">
        <v>0.89</v>
      </c>
      <c r="E106" s="26">
        <v>1.42</v>
      </c>
    </row>
    <row r="107" spans="1:5" x14ac:dyDescent="0.35">
      <c r="A107" s="23">
        <v>196204</v>
      </c>
      <c r="B107" s="24">
        <v>0.05</v>
      </c>
      <c r="C107" s="24">
        <v>3.66</v>
      </c>
      <c r="D107" s="24">
        <v>1.18</v>
      </c>
      <c r="E107" s="25">
        <v>2.62</v>
      </c>
    </row>
    <row r="108" spans="1:5" x14ac:dyDescent="0.35">
      <c r="A108" s="21">
        <v>196205</v>
      </c>
      <c r="B108" s="22">
        <v>0.05</v>
      </c>
      <c r="C108" s="22">
        <v>2.63</v>
      </c>
      <c r="D108" s="22">
        <v>0.09</v>
      </c>
      <c r="E108" s="26">
        <v>2.72</v>
      </c>
    </row>
    <row r="109" spans="1:5" x14ac:dyDescent="0.35">
      <c r="A109" s="23">
        <v>196206</v>
      </c>
      <c r="B109" s="24">
        <v>0.05</v>
      </c>
      <c r="C109" s="24">
        <v>2.57</v>
      </c>
      <c r="D109" s="24">
        <v>7.0000000000000007E-2</v>
      </c>
      <c r="E109" s="25">
        <v>2.79</v>
      </c>
    </row>
    <row r="110" spans="1:5" x14ac:dyDescent="0.35">
      <c r="A110" s="21">
        <v>196207</v>
      </c>
      <c r="B110" s="22">
        <v>0.05</v>
      </c>
      <c r="C110" s="22">
        <v>3.3</v>
      </c>
      <c r="D110" s="22">
        <v>0.96</v>
      </c>
      <c r="E110" s="26">
        <v>3.78</v>
      </c>
    </row>
    <row r="111" spans="1:5" x14ac:dyDescent="0.35">
      <c r="A111" s="23">
        <v>196208</v>
      </c>
      <c r="B111" s="24">
        <v>0.05</v>
      </c>
      <c r="C111" s="24">
        <v>4.55</v>
      </c>
      <c r="D111" s="24">
        <v>0.04</v>
      </c>
      <c r="E111" s="25">
        <v>3.82</v>
      </c>
    </row>
    <row r="112" spans="1:5" x14ac:dyDescent="0.35">
      <c r="A112" s="21">
        <v>196209</v>
      </c>
      <c r="B112" s="22">
        <v>0.05</v>
      </c>
      <c r="C112" s="22">
        <v>5.85</v>
      </c>
      <c r="D112" s="22">
        <v>0.6</v>
      </c>
      <c r="E112" s="26">
        <v>4.4400000000000004</v>
      </c>
    </row>
    <row r="113" spans="1:5" x14ac:dyDescent="0.35">
      <c r="A113" s="23">
        <v>196210</v>
      </c>
      <c r="B113" s="24">
        <v>0.05</v>
      </c>
      <c r="C113" s="24">
        <v>6.01</v>
      </c>
      <c r="D113" s="24">
        <v>0.31</v>
      </c>
      <c r="E113" s="25">
        <v>4.76</v>
      </c>
    </row>
    <row r="114" spans="1:5" x14ac:dyDescent="0.35">
      <c r="A114" s="21">
        <v>196211</v>
      </c>
      <c r="B114" s="22">
        <v>0.05</v>
      </c>
      <c r="C114" s="22">
        <v>6.15</v>
      </c>
      <c r="D114" s="22">
        <v>0.65</v>
      </c>
      <c r="E114" s="26">
        <v>5.45</v>
      </c>
    </row>
    <row r="115" spans="1:5" x14ac:dyDescent="0.35">
      <c r="A115" s="23">
        <v>196212</v>
      </c>
      <c r="B115" s="24">
        <v>0.05</v>
      </c>
      <c r="C115" s="24">
        <v>6.3</v>
      </c>
      <c r="D115" s="24">
        <v>0.81</v>
      </c>
      <c r="E115" s="25">
        <v>6.3</v>
      </c>
    </row>
    <row r="116" spans="1:5" x14ac:dyDescent="0.35">
      <c r="A116" s="21">
        <v>196301</v>
      </c>
      <c r="B116" s="22">
        <v>0.05</v>
      </c>
      <c r="C116" s="22">
        <v>9.7899999999999991</v>
      </c>
      <c r="D116" s="22">
        <v>3.74</v>
      </c>
      <c r="E116" s="26">
        <v>3.74</v>
      </c>
    </row>
    <row r="117" spans="1:5" x14ac:dyDescent="0.35">
      <c r="A117" s="23">
        <v>196302</v>
      </c>
      <c r="B117" s="24">
        <v>0.05</v>
      </c>
      <c r="C117" s="24">
        <v>16.34</v>
      </c>
      <c r="D117" s="24">
        <v>6.06</v>
      </c>
      <c r="E117" s="25">
        <v>10.029999999999999</v>
      </c>
    </row>
    <row r="118" spans="1:5" x14ac:dyDescent="0.35">
      <c r="A118" s="21">
        <v>196303</v>
      </c>
      <c r="B118" s="22">
        <v>0.06</v>
      </c>
      <c r="C118" s="22">
        <v>21.29</v>
      </c>
      <c r="D118" s="22">
        <v>5.18</v>
      </c>
      <c r="E118" s="26">
        <v>15.73</v>
      </c>
    </row>
    <row r="119" spans="1:5" x14ac:dyDescent="0.35">
      <c r="A119" s="23">
        <v>196304</v>
      </c>
      <c r="B119" s="24">
        <v>0.06</v>
      </c>
      <c r="C119" s="24">
        <v>25.08</v>
      </c>
      <c r="D119" s="24">
        <v>4.34</v>
      </c>
      <c r="E119" s="25">
        <v>20.75</v>
      </c>
    </row>
    <row r="120" spans="1:5" x14ac:dyDescent="0.35">
      <c r="A120" s="21">
        <v>196305</v>
      </c>
      <c r="B120" s="22">
        <v>0.06</v>
      </c>
      <c r="C120" s="22">
        <v>26.52</v>
      </c>
      <c r="D120" s="22">
        <v>1.24</v>
      </c>
      <c r="E120" s="26">
        <v>22.25</v>
      </c>
    </row>
    <row r="121" spans="1:5" x14ac:dyDescent="0.35">
      <c r="A121" s="23">
        <v>196306</v>
      </c>
      <c r="B121" s="24">
        <v>0.06</v>
      </c>
      <c r="C121" s="24">
        <v>29.24</v>
      </c>
      <c r="D121" s="24">
        <v>2.2200000000000002</v>
      </c>
      <c r="E121" s="25">
        <v>24.97</v>
      </c>
    </row>
    <row r="122" spans="1:5" x14ac:dyDescent="0.35">
      <c r="A122" s="21">
        <v>196307</v>
      </c>
      <c r="B122" s="22">
        <v>0.06</v>
      </c>
      <c r="C122" s="22">
        <v>28.99</v>
      </c>
      <c r="D122" s="22">
        <v>0.77</v>
      </c>
      <c r="E122" s="26">
        <v>25.93</v>
      </c>
    </row>
    <row r="123" spans="1:5" x14ac:dyDescent="0.35">
      <c r="A123" s="23">
        <v>196308</v>
      </c>
      <c r="B123" s="24">
        <v>0.06</v>
      </c>
      <c r="C123" s="24">
        <v>29.28</v>
      </c>
      <c r="D123" s="24">
        <v>0.26</v>
      </c>
      <c r="E123" s="25">
        <v>26.25</v>
      </c>
    </row>
    <row r="124" spans="1:5" x14ac:dyDescent="0.35">
      <c r="A124" s="21">
        <v>196309</v>
      </c>
      <c r="B124" s="22">
        <v>0.06</v>
      </c>
      <c r="C124" s="22">
        <v>29.83</v>
      </c>
      <c r="D124" s="22">
        <v>1.03</v>
      </c>
      <c r="E124" s="26">
        <v>27.56</v>
      </c>
    </row>
    <row r="125" spans="1:5" x14ac:dyDescent="0.35">
      <c r="A125" s="23">
        <v>196310</v>
      </c>
      <c r="B125" s="24">
        <v>0.06</v>
      </c>
      <c r="C125" s="24">
        <v>31.55</v>
      </c>
      <c r="D125" s="24">
        <v>1.64</v>
      </c>
      <c r="E125" s="25">
        <v>29.65</v>
      </c>
    </row>
    <row r="126" spans="1:5" x14ac:dyDescent="0.35">
      <c r="A126" s="21">
        <v>196311</v>
      </c>
      <c r="B126" s="22">
        <v>0.06</v>
      </c>
      <c r="C126" s="22">
        <v>33.44</v>
      </c>
      <c r="D126" s="22">
        <v>2.1</v>
      </c>
      <c r="E126" s="26">
        <v>32.369999999999997</v>
      </c>
    </row>
    <row r="127" spans="1:5" x14ac:dyDescent="0.35">
      <c r="A127" s="23">
        <v>196312</v>
      </c>
      <c r="B127" s="24">
        <v>0.06</v>
      </c>
      <c r="C127" s="24">
        <v>33.6</v>
      </c>
      <c r="D127" s="24">
        <v>0.93</v>
      </c>
      <c r="E127" s="25">
        <v>33.6</v>
      </c>
    </row>
    <row r="128" spans="1:5" x14ac:dyDescent="0.35">
      <c r="A128" s="21">
        <v>196401</v>
      </c>
      <c r="B128" s="22">
        <v>7.0000000000000007E-2</v>
      </c>
      <c r="C128" s="22">
        <v>30.67</v>
      </c>
      <c r="D128" s="22">
        <v>1.46</v>
      </c>
      <c r="E128" s="26">
        <v>1.46</v>
      </c>
    </row>
    <row r="129" spans="1:5" x14ac:dyDescent="0.35">
      <c r="A129" s="23">
        <v>196402</v>
      </c>
      <c r="B129" s="24">
        <v>7.0000000000000007E-2</v>
      </c>
      <c r="C129" s="24">
        <v>23.88</v>
      </c>
      <c r="D129" s="24">
        <v>0.55000000000000004</v>
      </c>
      <c r="E129" s="25">
        <v>2.02</v>
      </c>
    </row>
    <row r="130" spans="1:5" x14ac:dyDescent="0.35">
      <c r="A130" s="21">
        <v>196403</v>
      </c>
      <c r="B130" s="22">
        <v>7.0000000000000007E-2</v>
      </c>
      <c r="C130" s="22">
        <v>20.51</v>
      </c>
      <c r="D130" s="22">
        <v>2.3199999999999998</v>
      </c>
      <c r="E130" s="26">
        <v>4.3899999999999997</v>
      </c>
    </row>
    <row r="131" spans="1:5" x14ac:dyDescent="0.35">
      <c r="A131" s="23">
        <v>196404</v>
      </c>
      <c r="B131" s="24">
        <v>7.0000000000000007E-2</v>
      </c>
      <c r="C131" s="24">
        <v>18.18</v>
      </c>
      <c r="D131" s="24">
        <v>2.3199999999999998</v>
      </c>
      <c r="E131" s="25">
        <v>6.81</v>
      </c>
    </row>
    <row r="132" spans="1:5" x14ac:dyDescent="0.35">
      <c r="A132" s="21">
        <v>196405</v>
      </c>
      <c r="B132" s="22">
        <v>7.0000000000000007E-2</v>
      </c>
      <c r="C132" s="22">
        <v>20.43</v>
      </c>
      <c r="D132" s="22">
        <v>3.17</v>
      </c>
      <c r="E132" s="26">
        <v>10.199999999999999</v>
      </c>
    </row>
    <row r="133" spans="1:5" x14ac:dyDescent="0.35">
      <c r="A133" s="23">
        <v>196406</v>
      </c>
      <c r="B133" s="24">
        <v>7.0000000000000007E-2</v>
      </c>
      <c r="C133" s="24">
        <v>19.579999999999998</v>
      </c>
      <c r="D133" s="24">
        <v>1.51</v>
      </c>
      <c r="E133" s="25">
        <v>11.86</v>
      </c>
    </row>
    <row r="134" spans="1:5" x14ac:dyDescent="0.35">
      <c r="A134" s="21">
        <v>196407</v>
      </c>
      <c r="B134" s="22">
        <v>7.0000000000000007E-2</v>
      </c>
      <c r="C134" s="22">
        <v>17.670000000000002</v>
      </c>
      <c r="D134" s="22">
        <v>-0.84</v>
      </c>
      <c r="E134" s="26">
        <v>10.92</v>
      </c>
    </row>
    <row r="135" spans="1:5" x14ac:dyDescent="0.35">
      <c r="A135" s="23">
        <v>196408</v>
      </c>
      <c r="B135" s="24">
        <v>7.0000000000000007E-2</v>
      </c>
      <c r="C135" s="24">
        <v>15.63</v>
      </c>
      <c r="D135" s="24">
        <v>-1.49</v>
      </c>
      <c r="E135" s="25">
        <v>9.27</v>
      </c>
    </row>
    <row r="136" spans="1:5" x14ac:dyDescent="0.35">
      <c r="A136" s="21">
        <v>196409</v>
      </c>
      <c r="B136" s="22">
        <v>7.0000000000000007E-2</v>
      </c>
      <c r="C136" s="22">
        <v>13.7</v>
      </c>
      <c r="D136" s="22">
        <v>-0.65</v>
      </c>
      <c r="E136" s="26">
        <v>8.56</v>
      </c>
    </row>
    <row r="137" spans="1:5" x14ac:dyDescent="0.35">
      <c r="A137" s="23">
        <v>196410</v>
      </c>
      <c r="B137" s="24">
        <v>7.0000000000000007E-2</v>
      </c>
      <c r="C137" s="24">
        <v>11.01</v>
      </c>
      <c r="D137" s="24">
        <v>-0.77</v>
      </c>
      <c r="E137" s="25">
        <v>7.73</v>
      </c>
    </row>
    <row r="138" spans="1:5" x14ac:dyDescent="0.35">
      <c r="A138" s="21">
        <v>196411</v>
      </c>
      <c r="B138" s="22">
        <v>7.0000000000000007E-2</v>
      </c>
      <c r="C138" s="22">
        <v>9.6199999999999992</v>
      </c>
      <c r="D138" s="22">
        <v>0.82</v>
      </c>
      <c r="E138" s="26">
        <v>8.61</v>
      </c>
    </row>
    <row r="139" spans="1:5" x14ac:dyDescent="0.35">
      <c r="A139" s="23">
        <v>196412</v>
      </c>
      <c r="B139" s="24">
        <v>7.0000000000000007E-2</v>
      </c>
      <c r="C139" s="24">
        <v>8.8000000000000007</v>
      </c>
      <c r="D139" s="24">
        <v>0.17</v>
      </c>
      <c r="E139" s="25">
        <v>8.8000000000000007</v>
      </c>
    </row>
    <row r="140" spans="1:5" x14ac:dyDescent="0.35">
      <c r="A140" s="21">
        <v>196501</v>
      </c>
      <c r="B140" s="22">
        <v>7.0000000000000007E-2</v>
      </c>
      <c r="C140" s="22">
        <v>8.75</v>
      </c>
      <c r="D140" s="22">
        <v>1.41</v>
      </c>
      <c r="E140" s="26">
        <v>1.41</v>
      </c>
    </row>
    <row r="141" spans="1:5" x14ac:dyDescent="0.35">
      <c r="A141" s="23">
        <v>196502</v>
      </c>
      <c r="B141" s="24">
        <v>7.0000000000000007E-2</v>
      </c>
      <c r="C141" s="24">
        <v>7.1</v>
      </c>
      <c r="D141" s="24">
        <v>-0.97</v>
      </c>
      <c r="E141" s="25">
        <v>0.43</v>
      </c>
    </row>
    <row r="142" spans="1:5" x14ac:dyDescent="0.35">
      <c r="A142" s="21">
        <v>196503</v>
      </c>
      <c r="B142" s="22">
        <v>7.0000000000000007E-2</v>
      </c>
      <c r="C142" s="22">
        <v>6.16</v>
      </c>
      <c r="D142" s="22">
        <v>1.42</v>
      </c>
      <c r="E142" s="26">
        <v>1.85</v>
      </c>
    </row>
    <row r="143" spans="1:5" x14ac:dyDescent="0.35">
      <c r="A143" s="23">
        <v>196504</v>
      </c>
      <c r="B143" s="24">
        <v>7.0000000000000007E-2</v>
      </c>
      <c r="C143" s="24">
        <v>5.57</v>
      </c>
      <c r="D143" s="24">
        <v>1.75</v>
      </c>
      <c r="E143" s="25">
        <v>3.64</v>
      </c>
    </row>
    <row r="144" spans="1:5" x14ac:dyDescent="0.35">
      <c r="A144" s="21">
        <v>196505</v>
      </c>
      <c r="B144" s="22">
        <v>7.0000000000000007E-2</v>
      </c>
      <c r="C144" s="22">
        <v>3.6</v>
      </c>
      <c r="D144" s="22">
        <v>1.25</v>
      </c>
      <c r="E144" s="26">
        <v>4.93</v>
      </c>
    </row>
    <row r="145" spans="1:5" x14ac:dyDescent="0.35">
      <c r="A145" s="23">
        <v>196506</v>
      </c>
      <c r="B145" s="24">
        <v>0.08</v>
      </c>
      <c r="C145" s="24">
        <v>3.61</v>
      </c>
      <c r="D145" s="24">
        <v>1.52</v>
      </c>
      <c r="E145" s="25">
        <v>6.53</v>
      </c>
    </row>
    <row r="146" spans="1:5" x14ac:dyDescent="0.35">
      <c r="A146" s="21">
        <v>196507</v>
      </c>
      <c r="B146" s="22">
        <v>0.08</v>
      </c>
      <c r="C146" s="22">
        <v>4.57</v>
      </c>
      <c r="D146" s="22">
        <v>0.08</v>
      </c>
      <c r="E146" s="26">
        <v>6.61</v>
      </c>
    </row>
    <row r="147" spans="1:5" x14ac:dyDescent="0.35">
      <c r="A147" s="23">
        <v>196508</v>
      </c>
      <c r="B147" s="24">
        <v>0.08</v>
      </c>
      <c r="C147" s="24">
        <v>6.37</v>
      </c>
      <c r="D147" s="24">
        <v>0.21</v>
      </c>
      <c r="E147" s="25">
        <v>6.83</v>
      </c>
    </row>
    <row r="148" spans="1:5" x14ac:dyDescent="0.35">
      <c r="A148" s="21">
        <v>196509</v>
      </c>
      <c r="B148" s="22">
        <v>0.08</v>
      </c>
      <c r="C148" s="22">
        <v>8.0500000000000007</v>
      </c>
      <c r="D148" s="22">
        <v>0.92</v>
      </c>
      <c r="E148" s="26">
        <v>7.81</v>
      </c>
    </row>
    <row r="149" spans="1:5" x14ac:dyDescent="0.35">
      <c r="A149" s="23">
        <v>196510</v>
      </c>
      <c r="B149" s="24">
        <v>0.08</v>
      </c>
      <c r="C149" s="24">
        <v>11.23</v>
      </c>
      <c r="D149" s="24">
        <v>2.16</v>
      </c>
      <c r="E149" s="25">
        <v>10.14</v>
      </c>
    </row>
    <row r="150" spans="1:5" x14ac:dyDescent="0.35">
      <c r="A150" s="21">
        <v>196511</v>
      </c>
      <c r="B150" s="22">
        <v>0.08</v>
      </c>
      <c r="C150" s="22">
        <v>11.86</v>
      </c>
      <c r="D150" s="22">
        <v>1.4</v>
      </c>
      <c r="E150" s="26">
        <v>11.67</v>
      </c>
    </row>
    <row r="151" spans="1:5" x14ac:dyDescent="0.35">
      <c r="A151" s="23">
        <v>196512</v>
      </c>
      <c r="B151" s="24">
        <v>0.08</v>
      </c>
      <c r="C151" s="24">
        <v>14.44</v>
      </c>
      <c r="D151" s="24">
        <v>2.48</v>
      </c>
      <c r="E151" s="25">
        <v>14.44</v>
      </c>
    </row>
    <row r="152" spans="1:5" x14ac:dyDescent="0.35">
      <c r="A152" s="21">
        <v>196601</v>
      </c>
      <c r="B152" s="22">
        <v>0.08</v>
      </c>
      <c r="C152" s="22">
        <v>14.3</v>
      </c>
      <c r="D152" s="22">
        <v>1.29</v>
      </c>
      <c r="E152" s="26">
        <v>1.29</v>
      </c>
    </row>
    <row r="153" spans="1:5" x14ac:dyDescent="0.35">
      <c r="A153" s="23">
        <v>196602</v>
      </c>
      <c r="B153" s="24">
        <v>0.08</v>
      </c>
      <c r="C153" s="24">
        <v>16.899999999999999</v>
      </c>
      <c r="D153" s="24">
        <v>1.28</v>
      </c>
      <c r="E153" s="25">
        <v>2.59</v>
      </c>
    </row>
    <row r="154" spans="1:5" x14ac:dyDescent="0.35">
      <c r="A154" s="21">
        <v>196603</v>
      </c>
      <c r="B154" s="22">
        <v>0.09</v>
      </c>
      <c r="C154" s="22">
        <v>18.09</v>
      </c>
      <c r="D154" s="22">
        <v>2.4500000000000002</v>
      </c>
      <c r="E154" s="26">
        <v>5.0999999999999996</v>
      </c>
    </row>
    <row r="155" spans="1:5" x14ac:dyDescent="0.35">
      <c r="A155" s="23">
        <v>196604</v>
      </c>
      <c r="B155" s="24">
        <v>0.09</v>
      </c>
      <c r="C155" s="24">
        <v>19.510000000000002</v>
      </c>
      <c r="D155" s="24">
        <v>2.98</v>
      </c>
      <c r="E155" s="25">
        <v>8.23</v>
      </c>
    </row>
    <row r="156" spans="1:5" x14ac:dyDescent="0.35">
      <c r="A156" s="21">
        <v>196605</v>
      </c>
      <c r="B156" s="22">
        <v>0.09</v>
      </c>
      <c r="C156" s="22">
        <v>19.420000000000002</v>
      </c>
      <c r="D156" s="22">
        <v>1.17</v>
      </c>
      <c r="E156" s="26">
        <v>9.5</v>
      </c>
    </row>
    <row r="157" spans="1:5" x14ac:dyDescent="0.35">
      <c r="A157" s="23">
        <v>196606</v>
      </c>
      <c r="B157" s="24">
        <v>0.09</v>
      </c>
      <c r="C157" s="24">
        <v>17.559999999999999</v>
      </c>
      <c r="D157" s="24">
        <v>-0.06</v>
      </c>
      <c r="E157" s="25">
        <v>9.43</v>
      </c>
    </row>
    <row r="158" spans="1:5" x14ac:dyDescent="0.35">
      <c r="A158" s="21">
        <v>196607</v>
      </c>
      <c r="B158" s="22">
        <v>0.09</v>
      </c>
      <c r="C158" s="22">
        <v>17.579999999999998</v>
      </c>
      <c r="D158" s="22">
        <v>0.1</v>
      </c>
      <c r="E158" s="26">
        <v>9.5399999999999991</v>
      </c>
    </row>
    <row r="159" spans="1:5" x14ac:dyDescent="0.35">
      <c r="A159" s="23">
        <v>196608</v>
      </c>
      <c r="B159" s="24">
        <v>0.09</v>
      </c>
      <c r="C159" s="24">
        <v>17.04</v>
      </c>
      <c r="D159" s="24">
        <v>-0.26</v>
      </c>
      <c r="E159" s="25">
        <v>9.26</v>
      </c>
    </row>
    <row r="160" spans="1:5" x14ac:dyDescent="0.35">
      <c r="A160" s="21">
        <v>196609</v>
      </c>
      <c r="B160" s="22">
        <v>0.09</v>
      </c>
      <c r="C160" s="22">
        <v>17.239999999999998</v>
      </c>
      <c r="D160" s="22">
        <v>1.0900000000000001</v>
      </c>
      <c r="E160" s="26">
        <v>10.45</v>
      </c>
    </row>
    <row r="161" spans="1:5" x14ac:dyDescent="0.35">
      <c r="A161" s="23">
        <v>196610</v>
      </c>
      <c r="B161" s="24">
        <v>0.09</v>
      </c>
      <c r="C161" s="24">
        <v>16</v>
      </c>
      <c r="D161" s="24">
        <v>1.08</v>
      </c>
      <c r="E161" s="25">
        <v>11.64</v>
      </c>
    </row>
    <row r="162" spans="1:5" x14ac:dyDescent="0.35">
      <c r="A162" s="21">
        <v>196611</v>
      </c>
      <c r="B162" s="22">
        <v>0.09</v>
      </c>
      <c r="C162" s="22">
        <v>14.7</v>
      </c>
      <c r="D162" s="22">
        <v>0.26</v>
      </c>
      <c r="E162" s="26">
        <v>11.93</v>
      </c>
    </row>
    <row r="163" spans="1:5" x14ac:dyDescent="0.35">
      <c r="A163" s="23">
        <v>196612</v>
      </c>
      <c r="B163" s="24">
        <v>0.09</v>
      </c>
      <c r="C163" s="24">
        <v>12.86</v>
      </c>
      <c r="D163" s="24">
        <v>0.84</v>
      </c>
      <c r="E163" s="25">
        <v>12.86</v>
      </c>
    </row>
    <row r="164" spans="1:5" x14ac:dyDescent="0.35">
      <c r="A164" s="21">
        <v>196701</v>
      </c>
      <c r="B164" s="22">
        <v>0.09</v>
      </c>
      <c r="C164" s="22">
        <v>12.01</v>
      </c>
      <c r="D164" s="22">
        <v>0.52</v>
      </c>
      <c r="E164" s="26">
        <v>0.52</v>
      </c>
    </row>
    <row r="165" spans="1:5" x14ac:dyDescent="0.35">
      <c r="A165" s="23">
        <v>196702</v>
      </c>
      <c r="B165" s="24">
        <v>0.09</v>
      </c>
      <c r="C165" s="24">
        <v>11.09</v>
      </c>
      <c r="D165" s="24">
        <v>0.45</v>
      </c>
      <c r="E165" s="25">
        <v>0.98</v>
      </c>
    </row>
    <row r="166" spans="1:5" x14ac:dyDescent="0.35">
      <c r="A166" s="21">
        <v>196703</v>
      </c>
      <c r="B166" s="22">
        <v>0.09</v>
      </c>
      <c r="C166" s="22">
        <v>9.6199999999999992</v>
      </c>
      <c r="D166" s="22">
        <v>1.0900000000000001</v>
      </c>
      <c r="E166" s="26">
        <v>2.08</v>
      </c>
    </row>
    <row r="167" spans="1:5" x14ac:dyDescent="0.35">
      <c r="A167" s="23">
        <v>196704</v>
      </c>
      <c r="B167" s="24">
        <v>0.09</v>
      </c>
      <c r="C167" s="24">
        <v>6.87</v>
      </c>
      <c r="D167" s="24">
        <v>0.39</v>
      </c>
      <c r="E167" s="25">
        <v>2.48</v>
      </c>
    </row>
    <row r="168" spans="1:5" x14ac:dyDescent="0.35">
      <c r="A168" s="21">
        <v>196705</v>
      </c>
      <c r="B168" s="22">
        <v>0.09</v>
      </c>
      <c r="C168" s="22">
        <v>6.3</v>
      </c>
      <c r="D168" s="22">
        <v>0.63</v>
      </c>
      <c r="E168" s="26">
        <v>3.13</v>
      </c>
    </row>
    <row r="169" spans="1:5" x14ac:dyDescent="0.35">
      <c r="A169" s="23">
        <v>196706</v>
      </c>
      <c r="B169" s="24">
        <v>0.1</v>
      </c>
      <c r="C169" s="24">
        <v>8.24</v>
      </c>
      <c r="D169" s="24">
        <v>1.76</v>
      </c>
      <c r="E169" s="25">
        <v>4.95</v>
      </c>
    </row>
    <row r="170" spans="1:5" x14ac:dyDescent="0.35">
      <c r="A170" s="21">
        <v>196707</v>
      </c>
      <c r="B170" s="22">
        <v>0.1</v>
      </c>
      <c r="C170" s="22">
        <v>8.3000000000000007</v>
      </c>
      <c r="D170" s="22">
        <v>0.15</v>
      </c>
      <c r="E170" s="26">
        <v>5.1100000000000003</v>
      </c>
    </row>
    <row r="171" spans="1:5" x14ac:dyDescent="0.35">
      <c r="A171" s="23">
        <v>196708</v>
      </c>
      <c r="B171" s="24">
        <v>0.1</v>
      </c>
      <c r="C171" s="24">
        <v>8.4</v>
      </c>
      <c r="D171" s="24">
        <v>-0.16</v>
      </c>
      <c r="E171" s="25">
        <v>4.9400000000000004</v>
      </c>
    </row>
    <row r="172" spans="1:5" x14ac:dyDescent="0.35">
      <c r="A172" s="21">
        <v>196709</v>
      </c>
      <c r="B172" s="22">
        <v>0.1</v>
      </c>
      <c r="C172" s="22">
        <v>7.6</v>
      </c>
      <c r="D172" s="22">
        <v>0.34</v>
      </c>
      <c r="E172" s="26">
        <v>5.3</v>
      </c>
    </row>
    <row r="173" spans="1:5" x14ac:dyDescent="0.35">
      <c r="A173" s="23">
        <v>196710</v>
      </c>
      <c r="B173" s="24">
        <v>0.1</v>
      </c>
      <c r="C173" s="24">
        <v>7.28</v>
      </c>
      <c r="D173" s="24">
        <v>0.78</v>
      </c>
      <c r="E173" s="25">
        <v>6.12</v>
      </c>
    </row>
    <row r="174" spans="1:5" x14ac:dyDescent="0.35">
      <c r="A174" s="21">
        <v>196711</v>
      </c>
      <c r="B174" s="22">
        <v>0.1</v>
      </c>
      <c r="C174" s="22">
        <v>7.6</v>
      </c>
      <c r="D174" s="22">
        <v>0.56000000000000005</v>
      </c>
      <c r="E174" s="26">
        <v>6.71</v>
      </c>
    </row>
    <row r="175" spans="1:5" x14ac:dyDescent="0.35">
      <c r="A175" s="23">
        <v>196712</v>
      </c>
      <c r="B175" s="24">
        <v>0.1</v>
      </c>
      <c r="C175" s="24">
        <v>7.17</v>
      </c>
      <c r="D175" s="24">
        <v>0.44</v>
      </c>
      <c r="E175" s="25">
        <v>7.17</v>
      </c>
    </row>
    <row r="176" spans="1:5" x14ac:dyDescent="0.35">
      <c r="A176" s="21">
        <v>196801</v>
      </c>
      <c r="B176" s="22">
        <v>0.1</v>
      </c>
      <c r="C176" s="22">
        <v>7.68</v>
      </c>
      <c r="D176" s="22">
        <v>0.99</v>
      </c>
      <c r="E176" s="26">
        <v>0.99</v>
      </c>
    </row>
    <row r="177" spans="1:5" x14ac:dyDescent="0.35">
      <c r="A177" s="23">
        <v>196802</v>
      </c>
      <c r="B177" s="24">
        <v>0.1</v>
      </c>
      <c r="C177" s="24">
        <v>7.18</v>
      </c>
      <c r="D177" s="24">
        <v>-0.01</v>
      </c>
      <c r="E177" s="25">
        <v>0.99</v>
      </c>
    </row>
    <row r="178" spans="1:5" x14ac:dyDescent="0.35">
      <c r="A178" s="21">
        <v>196803</v>
      </c>
      <c r="B178" s="22">
        <v>0.1</v>
      </c>
      <c r="C178" s="22">
        <v>7.14</v>
      </c>
      <c r="D178" s="22">
        <v>1.05</v>
      </c>
      <c r="E178" s="26">
        <v>2.0499999999999998</v>
      </c>
    </row>
    <row r="179" spans="1:5" x14ac:dyDescent="0.35">
      <c r="A179" s="23">
        <v>196804</v>
      </c>
      <c r="B179" s="24">
        <v>0.1</v>
      </c>
      <c r="C179" s="24">
        <v>8.48</v>
      </c>
      <c r="D179" s="24">
        <v>1.64</v>
      </c>
      <c r="E179" s="25">
        <v>3.73</v>
      </c>
    </row>
    <row r="180" spans="1:5" x14ac:dyDescent="0.35">
      <c r="A180" s="21">
        <v>196805</v>
      </c>
      <c r="B180" s="22">
        <v>0.1</v>
      </c>
      <c r="C180" s="22">
        <v>8.52</v>
      </c>
      <c r="D180" s="22">
        <v>0.67</v>
      </c>
      <c r="E180" s="26">
        <v>4.42</v>
      </c>
    </row>
    <row r="181" spans="1:5" x14ac:dyDescent="0.35">
      <c r="A181" s="23">
        <v>196806</v>
      </c>
      <c r="B181" s="24">
        <v>0.1</v>
      </c>
      <c r="C181" s="24">
        <v>7.04</v>
      </c>
      <c r="D181" s="24">
        <v>0.38</v>
      </c>
      <c r="E181" s="25">
        <v>4.82</v>
      </c>
    </row>
    <row r="182" spans="1:5" x14ac:dyDescent="0.35">
      <c r="A182" s="21">
        <v>196807</v>
      </c>
      <c r="B182" s="22">
        <v>0.1</v>
      </c>
      <c r="C182" s="22">
        <v>7.73</v>
      </c>
      <c r="D182" s="22">
        <v>0.8</v>
      </c>
      <c r="E182" s="26">
        <v>5.66</v>
      </c>
    </row>
    <row r="183" spans="1:5" x14ac:dyDescent="0.35">
      <c r="A183" s="23">
        <v>196808</v>
      </c>
      <c r="B183" s="24">
        <v>0.1</v>
      </c>
      <c r="C183" s="24">
        <v>7.65</v>
      </c>
      <c r="D183" s="24">
        <v>-0.24</v>
      </c>
      <c r="E183" s="25">
        <v>5.41</v>
      </c>
    </row>
    <row r="184" spans="1:5" x14ac:dyDescent="0.35">
      <c r="A184" s="21">
        <v>196809</v>
      </c>
      <c r="B184" s="22">
        <v>0.1</v>
      </c>
      <c r="C184" s="22">
        <v>7.43</v>
      </c>
      <c r="D184" s="22">
        <v>0.13</v>
      </c>
      <c r="E184" s="26">
        <v>5.55</v>
      </c>
    </row>
    <row r="185" spans="1:5" x14ac:dyDescent="0.35">
      <c r="A185" s="23">
        <v>196810</v>
      </c>
      <c r="B185" s="24">
        <v>0.1</v>
      </c>
      <c r="C185" s="24">
        <v>6.97</v>
      </c>
      <c r="D185" s="24">
        <v>0.35</v>
      </c>
      <c r="E185" s="25">
        <v>5.91</v>
      </c>
    </row>
    <row r="186" spans="1:5" x14ac:dyDescent="0.35">
      <c r="A186" s="21">
        <v>196811</v>
      </c>
      <c r="B186" s="22">
        <v>0.1</v>
      </c>
      <c r="C186" s="22">
        <v>7.12</v>
      </c>
      <c r="D186" s="22">
        <v>0.7</v>
      </c>
      <c r="E186" s="26">
        <v>6.65</v>
      </c>
    </row>
    <row r="187" spans="1:5" x14ac:dyDescent="0.35">
      <c r="A187" s="23">
        <v>196812</v>
      </c>
      <c r="B187" s="24">
        <v>0.1</v>
      </c>
      <c r="C187" s="24">
        <v>6.51</v>
      </c>
      <c r="D187" s="24">
        <v>-0.13</v>
      </c>
      <c r="E187" s="25">
        <v>6.51</v>
      </c>
    </row>
    <row r="188" spans="1:5" x14ac:dyDescent="0.35">
      <c r="A188" s="21">
        <v>196901</v>
      </c>
      <c r="B188" s="22">
        <v>0.11</v>
      </c>
      <c r="C188" s="22">
        <v>6.71</v>
      </c>
      <c r="D188" s="22">
        <v>1.18</v>
      </c>
      <c r="E188" s="26">
        <v>1.18</v>
      </c>
    </row>
    <row r="189" spans="1:5" x14ac:dyDescent="0.35">
      <c r="A189" s="23">
        <v>196902</v>
      </c>
      <c r="B189" s="24">
        <v>0.11</v>
      </c>
      <c r="C189" s="24">
        <v>6.41</v>
      </c>
      <c r="D189" s="24">
        <v>-0.28999999999999998</v>
      </c>
      <c r="E189" s="25">
        <v>0.89</v>
      </c>
    </row>
    <row r="190" spans="1:5" x14ac:dyDescent="0.35">
      <c r="A190" s="21">
        <v>196903</v>
      </c>
      <c r="B190" s="22">
        <v>0.11</v>
      </c>
      <c r="C190" s="22">
        <v>6.17</v>
      </c>
      <c r="D190" s="22">
        <v>0.83</v>
      </c>
      <c r="E190" s="26">
        <v>1.72</v>
      </c>
    </row>
    <row r="191" spans="1:5" x14ac:dyDescent="0.35">
      <c r="A191" s="23">
        <v>196904</v>
      </c>
      <c r="B191" s="24">
        <v>0.11</v>
      </c>
      <c r="C191" s="24">
        <v>6.18</v>
      </c>
      <c r="D191" s="24">
        <v>1.66</v>
      </c>
      <c r="E191" s="25">
        <v>3.41</v>
      </c>
    </row>
    <row r="192" spans="1:5" x14ac:dyDescent="0.35">
      <c r="A192" s="21">
        <v>196905</v>
      </c>
      <c r="B192" s="22">
        <v>0.11</v>
      </c>
      <c r="C192" s="22">
        <v>6.42</v>
      </c>
      <c r="D192" s="22">
        <v>0.89</v>
      </c>
      <c r="E192" s="26">
        <v>4.34</v>
      </c>
    </row>
    <row r="193" spans="1:5" x14ac:dyDescent="0.35">
      <c r="A193" s="23">
        <v>196906</v>
      </c>
      <c r="B193" s="24">
        <v>0.11</v>
      </c>
      <c r="C193" s="24">
        <v>6.58</v>
      </c>
      <c r="D193" s="24">
        <v>0.54</v>
      </c>
      <c r="E193" s="25">
        <v>4.8899999999999997</v>
      </c>
    </row>
    <row r="194" spans="1:5" x14ac:dyDescent="0.35">
      <c r="A194" s="21">
        <v>196907</v>
      </c>
      <c r="B194" s="22">
        <v>0.11</v>
      </c>
      <c r="C194" s="22">
        <v>6.16</v>
      </c>
      <c r="D194" s="22">
        <v>0.4</v>
      </c>
      <c r="E194" s="26">
        <v>5.31</v>
      </c>
    </row>
    <row r="195" spans="1:5" x14ac:dyDescent="0.35">
      <c r="A195" s="23">
        <v>196908</v>
      </c>
      <c r="B195" s="24">
        <v>0.11</v>
      </c>
      <c r="C195" s="24">
        <v>6.81</v>
      </c>
      <c r="D195" s="24">
        <v>0.37</v>
      </c>
      <c r="E195" s="25">
        <v>5.7</v>
      </c>
    </row>
    <row r="196" spans="1:5" x14ac:dyDescent="0.35">
      <c r="A196" s="21">
        <v>196909</v>
      </c>
      <c r="B196" s="22">
        <v>0.11</v>
      </c>
      <c r="C196" s="22">
        <v>7.35</v>
      </c>
      <c r="D196" s="22">
        <v>0.65</v>
      </c>
      <c r="E196" s="26">
        <v>6.39</v>
      </c>
    </row>
    <row r="197" spans="1:5" x14ac:dyDescent="0.35">
      <c r="A197" s="23">
        <v>196910</v>
      </c>
      <c r="B197" s="24">
        <v>0.11</v>
      </c>
      <c r="C197" s="24">
        <v>8.3699999999999992</v>
      </c>
      <c r="D197" s="24">
        <v>1.29</v>
      </c>
      <c r="E197" s="25">
        <v>7.76</v>
      </c>
    </row>
    <row r="198" spans="1:5" x14ac:dyDescent="0.35">
      <c r="A198" s="21">
        <v>196911</v>
      </c>
      <c r="B198" s="22">
        <v>0.11</v>
      </c>
      <c r="C198" s="22">
        <v>7.89</v>
      </c>
      <c r="D198" s="22">
        <v>0.25</v>
      </c>
      <c r="E198" s="26">
        <v>8.0399999999999991</v>
      </c>
    </row>
    <row r="199" spans="1:5" x14ac:dyDescent="0.35">
      <c r="A199" s="23">
        <v>196912</v>
      </c>
      <c r="B199" s="24">
        <v>0.11</v>
      </c>
      <c r="C199" s="24">
        <v>8.6300000000000008</v>
      </c>
      <c r="D199" s="24">
        <v>0.55000000000000004</v>
      </c>
      <c r="E199" s="25">
        <v>8.6300000000000008</v>
      </c>
    </row>
    <row r="200" spans="1:5" x14ac:dyDescent="0.35">
      <c r="A200" s="21">
        <v>197001</v>
      </c>
      <c r="B200" s="22">
        <v>0.11</v>
      </c>
      <c r="C200" s="22">
        <v>7.36</v>
      </c>
      <c r="D200" s="22">
        <v>0</v>
      </c>
      <c r="E200" s="26">
        <v>0</v>
      </c>
    </row>
    <row r="201" spans="1:5" x14ac:dyDescent="0.35">
      <c r="A201" s="23">
        <v>197002</v>
      </c>
      <c r="B201" s="24">
        <v>0.11</v>
      </c>
      <c r="C201" s="24">
        <v>7.69</v>
      </c>
      <c r="D201" s="24">
        <v>0.02</v>
      </c>
      <c r="E201" s="25">
        <v>0.02</v>
      </c>
    </row>
    <row r="202" spans="1:5" x14ac:dyDescent="0.35">
      <c r="A202" s="21">
        <v>197003</v>
      </c>
      <c r="B202" s="22">
        <v>0.11</v>
      </c>
      <c r="C202" s="22">
        <v>7.72</v>
      </c>
      <c r="D202" s="22">
        <v>0.85</v>
      </c>
      <c r="E202" s="26">
        <v>0.87</v>
      </c>
    </row>
    <row r="203" spans="1:5" x14ac:dyDescent="0.35">
      <c r="A203" s="23">
        <v>197004</v>
      </c>
      <c r="B203" s="24">
        <v>0.12</v>
      </c>
      <c r="C203" s="24">
        <v>7.43</v>
      </c>
      <c r="D203" s="24">
        <v>1.39</v>
      </c>
      <c r="E203" s="25">
        <v>2.27</v>
      </c>
    </row>
    <row r="204" spans="1:5" x14ac:dyDescent="0.35">
      <c r="A204" s="21">
        <v>197005</v>
      </c>
      <c r="B204" s="22">
        <v>0.12</v>
      </c>
      <c r="C204" s="22">
        <v>7.01</v>
      </c>
      <c r="D204" s="22">
        <v>0.5</v>
      </c>
      <c r="E204" s="26">
        <v>2.78</v>
      </c>
    </row>
    <row r="205" spans="1:5" x14ac:dyDescent="0.35">
      <c r="A205" s="23">
        <v>197006</v>
      </c>
      <c r="B205" s="24">
        <v>0.12</v>
      </c>
      <c r="C205" s="24">
        <v>7.56</v>
      </c>
      <c r="D205" s="24">
        <v>1.05</v>
      </c>
      <c r="E205" s="25">
        <v>3.87</v>
      </c>
    </row>
    <row r="206" spans="1:5" x14ac:dyDescent="0.35">
      <c r="A206" s="21">
        <v>197007</v>
      </c>
      <c r="B206" s="22">
        <v>0.12</v>
      </c>
      <c r="C206" s="22">
        <v>7.44</v>
      </c>
      <c r="D206" s="22">
        <v>0.28000000000000003</v>
      </c>
      <c r="E206" s="26">
        <v>4.16</v>
      </c>
    </row>
    <row r="207" spans="1:5" x14ac:dyDescent="0.35">
      <c r="A207" s="23">
        <v>197008</v>
      </c>
      <c r="B207" s="24">
        <v>0.12</v>
      </c>
      <c r="C207" s="24">
        <v>6.43</v>
      </c>
      <c r="D207" s="24">
        <v>-0.57999999999999996</v>
      </c>
      <c r="E207" s="25">
        <v>3.56</v>
      </c>
    </row>
    <row r="208" spans="1:5" x14ac:dyDescent="0.35">
      <c r="A208" s="21">
        <v>197009</v>
      </c>
      <c r="B208" s="22">
        <v>0.12</v>
      </c>
      <c r="C208" s="22">
        <v>6.51</v>
      </c>
      <c r="D208" s="22">
        <v>0.73</v>
      </c>
      <c r="E208" s="26">
        <v>4.3099999999999996</v>
      </c>
    </row>
    <row r="209" spans="1:5" x14ac:dyDescent="0.35">
      <c r="A209" s="23">
        <v>197010</v>
      </c>
      <c r="B209" s="24">
        <v>0.12</v>
      </c>
      <c r="C209" s="24">
        <v>5.22</v>
      </c>
      <c r="D209" s="24">
        <v>7.0000000000000007E-2</v>
      </c>
      <c r="E209" s="25">
        <v>4.38</v>
      </c>
    </row>
    <row r="210" spans="1:5" x14ac:dyDescent="0.35">
      <c r="A210" s="21">
        <v>197011</v>
      </c>
      <c r="B210" s="22">
        <v>0.12</v>
      </c>
      <c r="C210" s="22">
        <v>6.12</v>
      </c>
      <c r="D210" s="22">
        <v>1.1200000000000001</v>
      </c>
      <c r="E210" s="26">
        <v>5.55</v>
      </c>
    </row>
    <row r="211" spans="1:5" x14ac:dyDescent="0.35">
      <c r="A211" s="23">
        <v>197012</v>
      </c>
      <c r="B211" s="24">
        <v>0.12</v>
      </c>
      <c r="C211" s="24">
        <v>6.58</v>
      </c>
      <c r="D211" s="24">
        <v>0.98</v>
      </c>
      <c r="E211" s="25">
        <v>6.58</v>
      </c>
    </row>
    <row r="212" spans="1:5" x14ac:dyDescent="0.35">
      <c r="A212" s="21">
        <v>197101</v>
      </c>
      <c r="B212" s="22">
        <v>0.12</v>
      </c>
      <c r="C212" s="22">
        <v>8.26</v>
      </c>
      <c r="D212" s="22">
        <v>1.58</v>
      </c>
      <c r="E212" s="26">
        <v>1.58</v>
      </c>
    </row>
    <row r="213" spans="1:5" x14ac:dyDescent="0.35">
      <c r="A213" s="23">
        <v>197102</v>
      </c>
      <c r="B213" s="24">
        <v>0.12</v>
      </c>
      <c r="C213" s="24">
        <v>9.15</v>
      </c>
      <c r="D213" s="24">
        <v>0.84</v>
      </c>
      <c r="E213" s="25">
        <v>2.4300000000000002</v>
      </c>
    </row>
    <row r="214" spans="1:5" x14ac:dyDescent="0.35">
      <c r="A214" s="21">
        <v>197103</v>
      </c>
      <c r="B214" s="22">
        <v>0.12</v>
      </c>
      <c r="C214" s="22">
        <v>9.3000000000000007</v>
      </c>
      <c r="D214" s="22">
        <v>0.99</v>
      </c>
      <c r="E214" s="26">
        <v>3.45</v>
      </c>
    </row>
    <row r="215" spans="1:5" x14ac:dyDescent="0.35">
      <c r="A215" s="23">
        <v>197104</v>
      </c>
      <c r="B215" s="24">
        <v>0.13</v>
      </c>
      <c r="C215" s="24">
        <v>9.7799999999999994</v>
      </c>
      <c r="D215" s="24">
        <v>1.83</v>
      </c>
      <c r="E215" s="25">
        <v>5.34</v>
      </c>
    </row>
    <row r="216" spans="1:5" x14ac:dyDescent="0.35">
      <c r="A216" s="21">
        <v>197105</v>
      </c>
      <c r="B216" s="22">
        <v>0.13</v>
      </c>
      <c r="C216" s="22">
        <v>10.54</v>
      </c>
      <c r="D216" s="22">
        <v>1.2</v>
      </c>
      <c r="E216" s="26">
        <v>6.6</v>
      </c>
    </row>
    <row r="217" spans="1:5" x14ac:dyDescent="0.35">
      <c r="A217" s="23">
        <v>197106</v>
      </c>
      <c r="B217" s="24">
        <v>0.13</v>
      </c>
      <c r="C217" s="24">
        <v>10</v>
      </c>
      <c r="D217" s="24">
        <v>0.56000000000000005</v>
      </c>
      <c r="E217" s="25">
        <v>7.2</v>
      </c>
    </row>
    <row r="218" spans="1:5" x14ac:dyDescent="0.35">
      <c r="A218" s="21">
        <v>197107</v>
      </c>
      <c r="B218" s="22">
        <v>0.13</v>
      </c>
      <c r="C218" s="22">
        <v>11.19</v>
      </c>
      <c r="D218" s="22">
        <v>1.37</v>
      </c>
      <c r="E218" s="26">
        <v>8.67</v>
      </c>
    </row>
    <row r="219" spans="1:5" x14ac:dyDescent="0.35">
      <c r="A219" s="23">
        <v>197108</v>
      </c>
      <c r="B219" s="24">
        <v>0.13</v>
      </c>
      <c r="C219" s="24">
        <v>13.03</v>
      </c>
      <c r="D219" s="24">
        <v>1.07</v>
      </c>
      <c r="E219" s="25">
        <v>9.83</v>
      </c>
    </row>
    <row r="220" spans="1:5" x14ac:dyDescent="0.35">
      <c r="A220" s="21">
        <v>197109</v>
      </c>
      <c r="B220" s="22">
        <v>0.13</v>
      </c>
      <c r="C220" s="22">
        <v>13.14</v>
      </c>
      <c r="D220" s="22">
        <v>0.82</v>
      </c>
      <c r="E220" s="26">
        <v>10.73</v>
      </c>
    </row>
    <row r="221" spans="1:5" x14ac:dyDescent="0.35">
      <c r="A221" s="23">
        <v>197110</v>
      </c>
      <c r="B221" s="24">
        <v>0.14000000000000001</v>
      </c>
      <c r="C221" s="24">
        <v>14.65</v>
      </c>
      <c r="D221" s="24">
        <v>1.41</v>
      </c>
      <c r="E221" s="25">
        <v>12.28</v>
      </c>
    </row>
    <row r="222" spans="1:5" x14ac:dyDescent="0.35">
      <c r="A222" s="21">
        <v>197111</v>
      </c>
      <c r="B222" s="22">
        <v>0.14000000000000001</v>
      </c>
      <c r="C222" s="22">
        <v>14.6</v>
      </c>
      <c r="D222" s="22">
        <v>1.07</v>
      </c>
      <c r="E222" s="26">
        <v>13.49</v>
      </c>
    </row>
    <row r="223" spans="1:5" x14ac:dyDescent="0.35">
      <c r="A223" s="23">
        <v>197112</v>
      </c>
      <c r="B223" s="24">
        <v>0.14000000000000001</v>
      </c>
      <c r="C223" s="24">
        <v>14.03</v>
      </c>
      <c r="D223" s="24">
        <v>0.48</v>
      </c>
      <c r="E223" s="25">
        <v>14.03</v>
      </c>
    </row>
    <row r="224" spans="1:5" x14ac:dyDescent="0.35">
      <c r="A224" s="21">
        <v>197201</v>
      </c>
      <c r="B224" s="22">
        <v>0.14000000000000001</v>
      </c>
      <c r="C224" s="22">
        <v>13.5</v>
      </c>
      <c r="D224" s="22">
        <v>1.1000000000000001</v>
      </c>
      <c r="E224" s="26">
        <v>1.1000000000000001</v>
      </c>
    </row>
    <row r="225" spans="1:5" x14ac:dyDescent="0.35">
      <c r="A225" s="23">
        <v>197202</v>
      </c>
      <c r="B225" s="24">
        <v>0.14000000000000001</v>
      </c>
      <c r="C225" s="24">
        <v>13.84</v>
      </c>
      <c r="D225" s="24">
        <v>1.1499999999999999</v>
      </c>
      <c r="E225" s="25">
        <v>2.27</v>
      </c>
    </row>
    <row r="226" spans="1:5" x14ac:dyDescent="0.35">
      <c r="A226" s="21">
        <v>197203</v>
      </c>
      <c r="B226" s="22">
        <v>0.14000000000000001</v>
      </c>
      <c r="C226" s="22">
        <v>13.83</v>
      </c>
      <c r="D226" s="22">
        <v>0.98</v>
      </c>
      <c r="E226" s="26">
        <v>3.27</v>
      </c>
    </row>
    <row r="227" spans="1:5" x14ac:dyDescent="0.35">
      <c r="A227" s="23">
        <v>197204</v>
      </c>
      <c r="B227" s="24">
        <v>0.14000000000000001</v>
      </c>
      <c r="C227" s="24">
        <v>13.46</v>
      </c>
      <c r="D227" s="24">
        <v>1.49</v>
      </c>
      <c r="E227" s="25">
        <v>4.8099999999999996</v>
      </c>
    </row>
    <row r="228" spans="1:5" x14ac:dyDescent="0.35">
      <c r="A228" s="21">
        <v>197205</v>
      </c>
      <c r="B228" s="22">
        <v>0.15</v>
      </c>
      <c r="C228" s="22">
        <v>13.02</v>
      </c>
      <c r="D228" s="22">
        <v>0.8</v>
      </c>
      <c r="E228" s="26">
        <v>5.65</v>
      </c>
    </row>
    <row r="229" spans="1:5" x14ac:dyDescent="0.35">
      <c r="A229" s="23">
        <v>197206</v>
      </c>
      <c r="B229" s="24">
        <v>0.15</v>
      </c>
      <c r="C229" s="24">
        <v>13.57</v>
      </c>
      <c r="D229" s="24">
        <v>1.05</v>
      </c>
      <c r="E229" s="25">
        <v>6.76</v>
      </c>
    </row>
    <row r="230" spans="1:5" x14ac:dyDescent="0.35">
      <c r="A230" s="21">
        <v>197207</v>
      </c>
      <c r="B230" s="22">
        <v>0.15</v>
      </c>
      <c r="C230" s="22">
        <v>13.34</v>
      </c>
      <c r="D230" s="22">
        <v>1.17</v>
      </c>
      <c r="E230" s="26">
        <v>8.01</v>
      </c>
    </row>
    <row r="231" spans="1:5" x14ac:dyDescent="0.35">
      <c r="A231" s="23">
        <v>197208</v>
      </c>
      <c r="B231" s="24">
        <v>0.15</v>
      </c>
      <c r="C231" s="24">
        <v>12.9</v>
      </c>
      <c r="D231" s="24">
        <v>0.68</v>
      </c>
      <c r="E231" s="25">
        <v>8.74</v>
      </c>
    </row>
    <row r="232" spans="1:5" x14ac:dyDescent="0.35">
      <c r="A232" s="21">
        <v>197209</v>
      </c>
      <c r="B232" s="22">
        <v>0.15</v>
      </c>
      <c r="C232" s="22">
        <v>13.6</v>
      </c>
      <c r="D232" s="22">
        <v>1.45</v>
      </c>
      <c r="E232" s="26">
        <v>10.31</v>
      </c>
    </row>
    <row r="233" spans="1:5" x14ac:dyDescent="0.35">
      <c r="A233" s="23">
        <v>197210</v>
      </c>
      <c r="B233" s="24">
        <v>0.15</v>
      </c>
      <c r="C233" s="24">
        <v>14.24</v>
      </c>
      <c r="D233" s="24">
        <v>1.97</v>
      </c>
      <c r="E233" s="25">
        <v>12.48</v>
      </c>
    </row>
    <row r="234" spans="1:5" x14ac:dyDescent="0.35">
      <c r="A234" s="21">
        <v>197211</v>
      </c>
      <c r="B234" s="22">
        <v>0.16</v>
      </c>
      <c r="C234" s="22">
        <v>14.31</v>
      </c>
      <c r="D234" s="22">
        <v>1.1299999999999999</v>
      </c>
      <c r="E234" s="26">
        <v>13.76</v>
      </c>
    </row>
    <row r="235" spans="1:5" x14ac:dyDescent="0.35">
      <c r="A235" s="23">
        <v>197212</v>
      </c>
      <c r="B235" s="24">
        <v>0.16</v>
      </c>
      <c r="C235" s="24">
        <v>13.99</v>
      </c>
      <c r="D235" s="24">
        <v>0.2</v>
      </c>
      <c r="E235" s="25">
        <v>13.99</v>
      </c>
    </row>
    <row r="236" spans="1:5" x14ac:dyDescent="0.35">
      <c r="A236" s="21">
        <v>197301</v>
      </c>
      <c r="B236" s="22">
        <v>0.16</v>
      </c>
      <c r="C236" s="22">
        <v>13.95</v>
      </c>
      <c r="D236" s="22">
        <v>1.07</v>
      </c>
      <c r="E236" s="26">
        <v>1.07</v>
      </c>
    </row>
    <row r="237" spans="1:5" x14ac:dyDescent="0.35">
      <c r="A237" s="23">
        <v>197302</v>
      </c>
      <c r="B237" s="24">
        <v>0.16</v>
      </c>
      <c r="C237" s="24">
        <v>14.94</v>
      </c>
      <c r="D237" s="24">
        <v>2.02</v>
      </c>
      <c r="E237" s="25">
        <v>3.11</v>
      </c>
    </row>
    <row r="238" spans="1:5" x14ac:dyDescent="0.35">
      <c r="A238" s="21">
        <v>197303</v>
      </c>
      <c r="B238" s="22">
        <v>0.17</v>
      </c>
      <c r="C238" s="22">
        <v>17.75</v>
      </c>
      <c r="D238" s="22">
        <v>3.46</v>
      </c>
      <c r="E238" s="26">
        <v>6.68</v>
      </c>
    </row>
    <row r="239" spans="1:5" x14ac:dyDescent="0.35">
      <c r="A239" s="23">
        <v>197304</v>
      </c>
      <c r="B239" s="24">
        <v>0.17</v>
      </c>
      <c r="C239" s="24">
        <v>20.09</v>
      </c>
      <c r="D239" s="24">
        <v>3.51</v>
      </c>
      <c r="E239" s="25">
        <v>10.42</v>
      </c>
    </row>
    <row r="240" spans="1:5" x14ac:dyDescent="0.35">
      <c r="A240" s="21">
        <v>197305</v>
      </c>
      <c r="B240" s="22">
        <v>0.18</v>
      </c>
      <c r="C240" s="22">
        <v>22.7</v>
      </c>
      <c r="D240" s="22">
        <v>2.99</v>
      </c>
      <c r="E240" s="26">
        <v>13.72</v>
      </c>
    </row>
    <row r="241" spans="1:5" x14ac:dyDescent="0.35">
      <c r="A241" s="23">
        <v>197306</v>
      </c>
      <c r="B241" s="24">
        <v>0.18</v>
      </c>
      <c r="C241" s="24">
        <v>23.77</v>
      </c>
      <c r="D241" s="24">
        <v>1.93</v>
      </c>
      <c r="E241" s="25">
        <v>15.92</v>
      </c>
    </row>
    <row r="242" spans="1:5" x14ac:dyDescent="0.35">
      <c r="A242" s="21">
        <v>197307</v>
      </c>
      <c r="B242" s="22">
        <v>0.19</v>
      </c>
      <c r="C242" s="22">
        <v>24.78</v>
      </c>
      <c r="D242" s="22">
        <v>1.99</v>
      </c>
      <c r="E242" s="26">
        <v>18.23</v>
      </c>
    </row>
    <row r="243" spans="1:5" x14ac:dyDescent="0.35">
      <c r="A243" s="23">
        <v>197308</v>
      </c>
      <c r="B243" s="24">
        <v>0.18</v>
      </c>
      <c r="C243" s="24">
        <v>23.44</v>
      </c>
      <c r="D243" s="24">
        <v>-0.41</v>
      </c>
      <c r="E243" s="25">
        <v>17.75</v>
      </c>
    </row>
    <row r="244" spans="1:5" x14ac:dyDescent="0.35">
      <c r="A244" s="21">
        <v>197309</v>
      </c>
      <c r="B244" s="22">
        <v>0.19</v>
      </c>
      <c r="C244" s="22">
        <v>23.36</v>
      </c>
      <c r="D244" s="22">
        <v>1.38</v>
      </c>
      <c r="E244" s="26">
        <v>19.37</v>
      </c>
    </row>
    <row r="245" spans="1:5" x14ac:dyDescent="0.35">
      <c r="A245" s="23">
        <v>197310</v>
      </c>
      <c r="B245" s="24">
        <v>0.19</v>
      </c>
      <c r="C245" s="24">
        <v>21.64</v>
      </c>
      <c r="D245" s="24">
        <v>0.55000000000000004</v>
      </c>
      <c r="E245" s="25">
        <v>20.03</v>
      </c>
    </row>
    <row r="246" spans="1:5" x14ac:dyDescent="0.35">
      <c r="A246" s="21">
        <v>197311</v>
      </c>
      <c r="B246" s="22">
        <v>0.19</v>
      </c>
      <c r="C246" s="22">
        <v>22.89</v>
      </c>
      <c r="D246" s="22">
        <v>2.17</v>
      </c>
      <c r="E246" s="26">
        <v>22.64</v>
      </c>
    </row>
    <row r="247" spans="1:5" x14ac:dyDescent="0.35">
      <c r="A247" s="23">
        <v>197312</v>
      </c>
      <c r="B247" s="24">
        <v>0.19</v>
      </c>
      <c r="C247" s="24">
        <v>24.08</v>
      </c>
      <c r="D247" s="24">
        <v>1.18</v>
      </c>
      <c r="E247" s="25">
        <v>24.08</v>
      </c>
    </row>
    <row r="248" spans="1:5" x14ac:dyDescent="0.35">
      <c r="A248" s="21">
        <v>197401</v>
      </c>
      <c r="B248" s="22">
        <v>0.2</v>
      </c>
      <c r="C248" s="22">
        <v>26.28</v>
      </c>
      <c r="D248" s="22">
        <v>2.85</v>
      </c>
      <c r="E248" s="26">
        <v>2.85</v>
      </c>
    </row>
    <row r="249" spans="1:5" x14ac:dyDescent="0.35">
      <c r="A249" s="23">
        <v>197402</v>
      </c>
      <c r="B249" s="24">
        <v>0.21</v>
      </c>
      <c r="C249" s="24">
        <v>26.91</v>
      </c>
      <c r="D249" s="24">
        <v>2.54</v>
      </c>
      <c r="E249" s="25">
        <v>5.46</v>
      </c>
    </row>
    <row r="250" spans="1:5" x14ac:dyDescent="0.35">
      <c r="A250" s="21">
        <v>197403</v>
      </c>
      <c r="B250" s="22">
        <v>0.21</v>
      </c>
      <c r="C250" s="22">
        <v>26.7</v>
      </c>
      <c r="D250" s="22">
        <v>3.29</v>
      </c>
      <c r="E250" s="26">
        <v>8.93</v>
      </c>
    </row>
    <row r="251" spans="1:5" x14ac:dyDescent="0.35">
      <c r="A251" s="23">
        <v>197404</v>
      </c>
      <c r="B251" s="24">
        <v>0.22</v>
      </c>
      <c r="C251" s="24">
        <v>25.73</v>
      </c>
      <c r="D251" s="24">
        <v>2.72</v>
      </c>
      <c r="E251" s="25">
        <v>11.89</v>
      </c>
    </row>
    <row r="252" spans="1:5" x14ac:dyDescent="0.35">
      <c r="A252" s="21">
        <v>197405</v>
      </c>
      <c r="B252" s="22">
        <v>0.22</v>
      </c>
      <c r="C252" s="22">
        <v>23.53</v>
      </c>
      <c r="D252" s="22">
        <v>1.19</v>
      </c>
      <c r="E252" s="26">
        <v>13.21</v>
      </c>
    </row>
    <row r="253" spans="1:5" x14ac:dyDescent="0.35">
      <c r="A253" s="23">
        <v>197406</v>
      </c>
      <c r="B253" s="24">
        <v>0.22</v>
      </c>
      <c r="C253" s="24">
        <v>22.45</v>
      </c>
      <c r="D253" s="24">
        <v>1.04</v>
      </c>
      <c r="E253" s="25">
        <v>14.39</v>
      </c>
    </row>
    <row r="254" spans="1:5" x14ac:dyDescent="0.35">
      <c r="A254" s="21">
        <v>197407</v>
      </c>
      <c r="B254" s="22">
        <v>0.22</v>
      </c>
      <c r="C254" s="22">
        <v>21.2</v>
      </c>
      <c r="D254" s="22">
        <v>0.95</v>
      </c>
      <c r="E254" s="26">
        <v>15.48</v>
      </c>
    </row>
    <row r="255" spans="1:5" x14ac:dyDescent="0.35">
      <c r="A255" s="23">
        <v>197408</v>
      </c>
      <c r="B255" s="24">
        <v>0.23</v>
      </c>
      <c r="C255" s="24">
        <v>22.06</v>
      </c>
      <c r="D255" s="24">
        <v>0.3</v>
      </c>
      <c r="E255" s="25">
        <v>15.83</v>
      </c>
    </row>
    <row r="256" spans="1:5" x14ac:dyDescent="0.35">
      <c r="A256" s="21">
        <v>197409</v>
      </c>
      <c r="B256" s="22">
        <v>0.23</v>
      </c>
      <c r="C256" s="22">
        <v>22.26</v>
      </c>
      <c r="D256" s="22">
        <v>1.55</v>
      </c>
      <c r="E256" s="26">
        <v>17.62</v>
      </c>
    </row>
    <row r="257" spans="1:5" x14ac:dyDescent="0.35">
      <c r="A257" s="23">
        <v>197410</v>
      </c>
      <c r="B257" s="24">
        <v>0.24</v>
      </c>
      <c r="C257" s="24">
        <v>26.7</v>
      </c>
      <c r="D257" s="24">
        <v>4.2</v>
      </c>
      <c r="E257" s="25">
        <v>22.56</v>
      </c>
    </row>
    <row r="258" spans="1:5" x14ac:dyDescent="0.35">
      <c r="A258" s="21">
        <v>197411</v>
      </c>
      <c r="B258" s="22">
        <v>0.24</v>
      </c>
      <c r="C258" s="22">
        <v>25.42</v>
      </c>
      <c r="D258" s="22">
        <v>1.1399999999999999</v>
      </c>
      <c r="E258" s="26">
        <v>23.96</v>
      </c>
    </row>
    <row r="259" spans="1:5" x14ac:dyDescent="0.35">
      <c r="A259" s="23">
        <v>197412</v>
      </c>
      <c r="B259" s="24">
        <v>0.25</v>
      </c>
      <c r="C259" s="24">
        <v>26.35</v>
      </c>
      <c r="D259" s="24">
        <v>1.93</v>
      </c>
      <c r="E259" s="25">
        <v>26.35</v>
      </c>
    </row>
    <row r="260" spans="1:5" x14ac:dyDescent="0.35">
      <c r="A260" s="21">
        <v>197501</v>
      </c>
      <c r="B260" s="22">
        <v>0.25</v>
      </c>
      <c r="C260" s="22">
        <v>26.36</v>
      </c>
      <c r="D260" s="22">
        <v>2.86</v>
      </c>
      <c r="E260" s="26">
        <v>2.86</v>
      </c>
    </row>
    <row r="261" spans="1:5" x14ac:dyDescent="0.35">
      <c r="A261" s="23">
        <v>197502</v>
      </c>
      <c r="B261" s="24">
        <v>0.26</v>
      </c>
      <c r="C261" s="24">
        <v>25.29</v>
      </c>
      <c r="D261" s="24">
        <v>1.67</v>
      </c>
      <c r="E261" s="25">
        <v>4.58</v>
      </c>
    </row>
    <row r="262" spans="1:5" x14ac:dyDescent="0.35">
      <c r="A262" s="21">
        <v>197503</v>
      </c>
      <c r="B262" s="22">
        <v>0.26</v>
      </c>
      <c r="C262" s="22">
        <v>24.63</v>
      </c>
      <c r="D262" s="22">
        <v>2.74</v>
      </c>
      <c r="E262" s="26">
        <v>7.45</v>
      </c>
    </row>
    <row r="263" spans="1:5" x14ac:dyDescent="0.35">
      <c r="A263" s="23">
        <v>197504</v>
      </c>
      <c r="B263" s="24">
        <v>0.27</v>
      </c>
      <c r="C263" s="24">
        <v>24.39</v>
      </c>
      <c r="D263" s="24">
        <v>2.5099999999999998</v>
      </c>
      <c r="E263" s="25">
        <v>10.15</v>
      </c>
    </row>
    <row r="264" spans="1:5" x14ac:dyDescent="0.35">
      <c r="A264" s="21">
        <v>197505</v>
      </c>
      <c r="B264" s="22">
        <v>0.28000000000000003</v>
      </c>
      <c r="C264" s="22">
        <v>25.18</v>
      </c>
      <c r="D264" s="22">
        <v>1.83</v>
      </c>
      <c r="E264" s="26">
        <v>12.16</v>
      </c>
    </row>
    <row r="265" spans="1:5" x14ac:dyDescent="0.35">
      <c r="A265" s="23">
        <v>197506</v>
      </c>
      <c r="B265" s="24">
        <v>0.28000000000000003</v>
      </c>
      <c r="C265" s="24">
        <v>24.8</v>
      </c>
      <c r="D265" s="24">
        <v>0.74</v>
      </c>
      <c r="E265" s="25">
        <v>12.99</v>
      </c>
    </row>
    <row r="266" spans="1:5" x14ac:dyDescent="0.35">
      <c r="A266" s="21">
        <v>197507</v>
      </c>
      <c r="B266" s="22">
        <v>0.28000000000000003</v>
      </c>
      <c r="C266" s="22">
        <v>24.36</v>
      </c>
      <c r="D266" s="22">
        <v>0.6</v>
      </c>
      <c r="E266" s="26">
        <v>13.66</v>
      </c>
    </row>
    <row r="267" spans="1:5" x14ac:dyDescent="0.35">
      <c r="A267" s="23">
        <v>197508</v>
      </c>
      <c r="B267" s="24">
        <v>0.28000000000000003</v>
      </c>
      <c r="C267" s="24">
        <v>23.99</v>
      </c>
      <c r="D267" s="24">
        <v>0</v>
      </c>
      <c r="E267" s="25">
        <v>13.66</v>
      </c>
    </row>
    <row r="268" spans="1:5" x14ac:dyDescent="0.35">
      <c r="A268" s="21">
        <v>197509</v>
      </c>
      <c r="B268" s="22">
        <v>0.28000000000000003</v>
      </c>
      <c r="C268" s="22">
        <v>23.75</v>
      </c>
      <c r="D268" s="22">
        <v>1.35</v>
      </c>
      <c r="E268" s="26">
        <v>15.2</v>
      </c>
    </row>
    <row r="269" spans="1:5" x14ac:dyDescent="0.35">
      <c r="A269" s="23">
        <v>197510</v>
      </c>
      <c r="B269" s="24">
        <v>0.28999999999999998</v>
      </c>
      <c r="C269" s="24">
        <v>19.91</v>
      </c>
      <c r="D269" s="24">
        <v>0.97</v>
      </c>
      <c r="E269" s="25">
        <v>16.32</v>
      </c>
    </row>
    <row r="270" spans="1:5" x14ac:dyDescent="0.35">
      <c r="A270" s="21">
        <v>197511</v>
      </c>
      <c r="B270" s="22">
        <v>0.28999999999999998</v>
      </c>
      <c r="C270" s="22">
        <v>19.25</v>
      </c>
      <c r="D270" s="22">
        <v>0.57999999999999996</v>
      </c>
      <c r="E270" s="26">
        <v>17</v>
      </c>
    </row>
    <row r="271" spans="1:5" x14ac:dyDescent="0.35">
      <c r="A271" s="23">
        <v>197512</v>
      </c>
      <c r="B271" s="24">
        <v>0.28999999999999998</v>
      </c>
      <c r="C271" s="24">
        <v>17.77</v>
      </c>
      <c r="D271" s="24">
        <v>0.66</v>
      </c>
      <c r="E271" s="25">
        <v>17.77</v>
      </c>
    </row>
    <row r="272" spans="1:5" x14ac:dyDescent="0.35">
      <c r="A272" s="21">
        <v>197601</v>
      </c>
      <c r="B272" s="22">
        <v>0.3</v>
      </c>
      <c r="C272" s="22">
        <v>17.11</v>
      </c>
      <c r="D272" s="22">
        <v>2.29</v>
      </c>
      <c r="E272" s="26">
        <v>2.29</v>
      </c>
    </row>
    <row r="273" spans="1:5" x14ac:dyDescent="0.35">
      <c r="A273" s="23">
        <v>197602</v>
      </c>
      <c r="B273" s="24">
        <v>0.3</v>
      </c>
      <c r="C273" s="24">
        <v>17.86</v>
      </c>
      <c r="D273" s="24">
        <v>2.31</v>
      </c>
      <c r="E273" s="25">
        <v>4.6500000000000004</v>
      </c>
    </row>
    <row r="274" spans="1:5" x14ac:dyDescent="0.35">
      <c r="A274" s="21">
        <v>197603</v>
      </c>
      <c r="B274" s="22">
        <v>0.31</v>
      </c>
      <c r="C274" s="22">
        <v>17.12</v>
      </c>
      <c r="D274" s="22">
        <v>2.11</v>
      </c>
      <c r="E274" s="26">
        <v>6.86</v>
      </c>
    </row>
    <row r="275" spans="1:5" x14ac:dyDescent="0.35">
      <c r="A275" s="23">
        <v>197604</v>
      </c>
      <c r="B275" s="24">
        <v>0.32</v>
      </c>
      <c r="C275" s="24">
        <v>16.350000000000001</v>
      </c>
      <c r="D275" s="24">
        <v>1.83</v>
      </c>
      <c r="E275" s="25">
        <v>8.81</v>
      </c>
    </row>
    <row r="276" spans="1:5" x14ac:dyDescent="0.35">
      <c r="A276" s="21">
        <v>197605</v>
      </c>
      <c r="B276" s="22">
        <v>0.32</v>
      </c>
      <c r="C276" s="22">
        <v>15.69</v>
      </c>
      <c r="D276" s="22">
        <v>1.25</v>
      </c>
      <c r="E276" s="26">
        <v>10.18</v>
      </c>
    </row>
    <row r="277" spans="1:5" x14ac:dyDescent="0.35">
      <c r="A277" s="23">
        <v>197606</v>
      </c>
      <c r="B277" s="24">
        <v>0.33</v>
      </c>
      <c r="C277" s="24">
        <v>17.73</v>
      </c>
      <c r="D277" s="24">
        <v>2.5099999999999998</v>
      </c>
      <c r="E277" s="25">
        <v>12.95</v>
      </c>
    </row>
    <row r="278" spans="1:5" x14ac:dyDescent="0.35">
      <c r="A278" s="21">
        <v>197607</v>
      </c>
      <c r="B278" s="22">
        <v>0.34</v>
      </c>
      <c r="C278" s="22">
        <v>20.079999999999998</v>
      </c>
      <c r="D278" s="22">
        <v>2.61</v>
      </c>
      <c r="E278" s="26">
        <v>15.89</v>
      </c>
    </row>
    <row r="279" spans="1:5" x14ac:dyDescent="0.35">
      <c r="A279" s="23">
        <v>197608</v>
      </c>
      <c r="B279" s="24">
        <v>0.34</v>
      </c>
      <c r="C279" s="24">
        <v>21.82</v>
      </c>
      <c r="D279" s="24">
        <v>1.45</v>
      </c>
      <c r="E279" s="25">
        <v>17.57</v>
      </c>
    </row>
    <row r="280" spans="1:5" x14ac:dyDescent="0.35">
      <c r="A280" s="21">
        <v>197609</v>
      </c>
      <c r="B280" s="22">
        <v>0.35</v>
      </c>
      <c r="C280" s="22">
        <v>22.27</v>
      </c>
      <c r="D280" s="22">
        <v>1.72</v>
      </c>
      <c r="E280" s="26">
        <v>19.600000000000001</v>
      </c>
    </row>
    <row r="281" spans="1:5" x14ac:dyDescent="0.35">
      <c r="A281" s="23">
        <v>197610</v>
      </c>
      <c r="B281" s="24">
        <v>0.35</v>
      </c>
      <c r="C281" s="24">
        <v>23.04</v>
      </c>
      <c r="D281" s="24">
        <v>1.61</v>
      </c>
      <c r="E281" s="25">
        <v>21.53</v>
      </c>
    </row>
    <row r="282" spans="1:5" x14ac:dyDescent="0.35">
      <c r="A282" s="21">
        <v>197611</v>
      </c>
      <c r="B282" s="22">
        <v>0.36</v>
      </c>
      <c r="C282" s="22">
        <v>25.31</v>
      </c>
      <c r="D282" s="22">
        <v>2.44</v>
      </c>
      <c r="E282" s="26">
        <v>24.49</v>
      </c>
    </row>
    <row r="283" spans="1:5" x14ac:dyDescent="0.35">
      <c r="A283" s="23">
        <v>197612</v>
      </c>
      <c r="B283" s="24">
        <v>0.36</v>
      </c>
      <c r="C283" s="24">
        <v>25.76</v>
      </c>
      <c r="D283" s="24">
        <v>1.03</v>
      </c>
      <c r="E283" s="25">
        <v>25.76</v>
      </c>
    </row>
    <row r="284" spans="1:5" x14ac:dyDescent="0.35">
      <c r="A284" s="21">
        <v>197701</v>
      </c>
      <c r="B284" s="22">
        <v>0.37</v>
      </c>
      <c r="C284" s="22">
        <v>25.72</v>
      </c>
      <c r="D284" s="22">
        <v>2.25</v>
      </c>
      <c r="E284" s="26">
        <v>2.25</v>
      </c>
    </row>
    <row r="285" spans="1:5" x14ac:dyDescent="0.35">
      <c r="A285" s="23">
        <v>197702</v>
      </c>
      <c r="B285" s="24">
        <v>0.39</v>
      </c>
      <c r="C285" s="24">
        <v>27.53</v>
      </c>
      <c r="D285" s="24">
        <v>3.79</v>
      </c>
      <c r="E285" s="25">
        <v>6.13</v>
      </c>
    </row>
    <row r="286" spans="1:5" x14ac:dyDescent="0.35">
      <c r="A286" s="21">
        <v>197703</v>
      </c>
      <c r="B286" s="22">
        <v>0.4</v>
      </c>
      <c r="C286" s="22">
        <v>29.91</v>
      </c>
      <c r="D286" s="22">
        <v>4.01</v>
      </c>
      <c r="E286" s="26">
        <v>10.38</v>
      </c>
    </row>
    <row r="287" spans="1:5" x14ac:dyDescent="0.35">
      <c r="A287" s="23">
        <v>197704</v>
      </c>
      <c r="B287" s="24">
        <v>0.43</v>
      </c>
      <c r="C287" s="24">
        <v>36.630000000000003</v>
      </c>
      <c r="D287" s="24">
        <v>7.1</v>
      </c>
      <c r="E287" s="25">
        <v>18.22</v>
      </c>
    </row>
    <row r="288" spans="1:5" x14ac:dyDescent="0.35">
      <c r="A288" s="21">
        <v>197705</v>
      </c>
      <c r="B288" s="22">
        <v>0.45</v>
      </c>
      <c r="C288" s="22">
        <v>40.85</v>
      </c>
      <c r="D288" s="22">
        <v>4.38</v>
      </c>
      <c r="E288" s="26">
        <v>23.39</v>
      </c>
    </row>
    <row r="289" spans="1:5" x14ac:dyDescent="0.35">
      <c r="A289" s="23">
        <v>197706</v>
      </c>
      <c r="B289" s="24">
        <v>0.46</v>
      </c>
      <c r="C289" s="24">
        <v>41.65</v>
      </c>
      <c r="D289" s="24">
        <v>3.09</v>
      </c>
      <c r="E289" s="25">
        <v>27.21</v>
      </c>
    </row>
    <row r="290" spans="1:5" x14ac:dyDescent="0.35">
      <c r="A290" s="21">
        <v>197707</v>
      </c>
      <c r="B290" s="22">
        <v>0.47</v>
      </c>
      <c r="C290" s="22">
        <v>39.450000000000003</v>
      </c>
      <c r="D290" s="22">
        <v>1.01</v>
      </c>
      <c r="E290" s="26">
        <v>28.5</v>
      </c>
    </row>
    <row r="291" spans="1:5" x14ac:dyDescent="0.35">
      <c r="A291" s="23">
        <v>197708</v>
      </c>
      <c r="B291" s="24">
        <v>0.47</v>
      </c>
      <c r="C291" s="24">
        <v>37.01</v>
      </c>
      <c r="D291" s="24">
        <v>-0.32</v>
      </c>
      <c r="E291" s="25">
        <v>28.08</v>
      </c>
    </row>
    <row r="292" spans="1:5" x14ac:dyDescent="0.35">
      <c r="A292" s="21">
        <v>197709</v>
      </c>
      <c r="B292" s="22">
        <v>0.47</v>
      </c>
      <c r="C292" s="22">
        <v>34.869999999999997</v>
      </c>
      <c r="D292" s="22">
        <v>0.14000000000000001</v>
      </c>
      <c r="E292" s="26">
        <v>28.26</v>
      </c>
    </row>
    <row r="293" spans="1:5" x14ac:dyDescent="0.35">
      <c r="A293" s="23">
        <v>197710</v>
      </c>
      <c r="B293" s="24">
        <v>0.47</v>
      </c>
      <c r="C293" s="24">
        <v>32.4</v>
      </c>
      <c r="D293" s="24">
        <v>-0.24</v>
      </c>
      <c r="E293" s="25">
        <v>27.94</v>
      </c>
    </row>
    <row r="294" spans="1:5" x14ac:dyDescent="0.35">
      <c r="A294" s="21">
        <v>197711</v>
      </c>
      <c r="B294" s="22">
        <v>0.47</v>
      </c>
      <c r="C294" s="22">
        <v>29.44</v>
      </c>
      <c r="D294" s="22">
        <v>0.14000000000000001</v>
      </c>
      <c r="E294" s="26">
        <v>28.13</v>
      </c>
    </row>
    <row r="295" spans="1:5" x14ac:dyDescent="0.35">
      <c r="A295" s="23">
        <v>197712</v>
      </c>
      <c r="B295" s="24">
        <v>0.47</v>
      </c>
      <c r="C295" s="24">
        <v>28.71</v>
      </c>
      <c r="D295" s="24">
        <v>0.46</v>
      </c>
      <c r="E295" s="25">
        <v>28.71</v>
      </c>
    </row>
    <row r="296" spans="1:5" x14ac:dyDescent="0.35">
      <c r="A296" s="21">
        <v>197801</v>
      </c>
      <c r="B296" s="22">
        <v>0.47</v>
      </c>
      <c r="C296" s="22">
        <v>27.22</v>
      </c>
      <c r="D296" s="22">
        <v>1.07</v>
      </c>
      <c r="E296" s="26">
        <v>1.07</v>
      </c>
    </row>
    <row r="297" spans="1:5" x14ac:dyDescent="0.35">
      <c r="A297" s="23">
        <v>197802</v>
      </c>
      <c r="B297" s="24">
        <v>0.48</v>
      </c>
      <c r="C297" s="24">
        <v>24.36</v>
      </c>
      <c r="D297" s="24">
        <v>1.46</v>
      </c>
      <c r="E297" s="25">
        <v>2.54</v>
      </c>
    </row>
    <row r="298" spans="1:5" x14ac:dyDescent="0.35">
      <c r="A298" s="21">
        <v>197803</v>
      </c>
      <c r="B298" s="22">
        <v>0.5</v>
      </c>
      <c r="C298" s="22">
        <v>23.4</v>
      </c>
      <c r="D298" s="22">
        <v>3.2</v>
      </c>
      <c r="E298" s="26">
        <v>5.83</v>
      </c>
    </row>
    <row r="299" spans="1:5" x14ac:dyDescent="0.35">
      <c r="A299" s="23">
        <v>197804</v>
      </c>
      <c r="B299" s="24">
        <v>0.5</v>
      </c>
      <c r="C299" s="24">
        <v>17.079999999999998</v>
      </c>
      <c r="D299" s="24">
        <v>1.62</v>
      </c>
      <c r="E299" s="25">
        <v>7.54</v>
      </c>
    </row>
    <row r="300" spans="1:5" x14ac:dyDescent="0.35">
      <c r="A300" s="21">
        <v>197805</v>
      </c>
      <c r="B300" s="22">
        <v>0.52</v>
      </c>
      <c r="C300" s="22">
        <v>14.75</v>
      </c>
      <c r="D300" s="22">
        <v>2.2999999999999998</v>
      </c>
      <c r="E300" s="26">
        <v>10.01</v>
      </c>
    </row>
    <row r="301" spans="1:5" x14ac:dyDescent="0.35">
      <c r="A301" s="23">
        <v>197806</v>
      </c>
      <c r="B301" s="24">
        <v>0.53</v>
      </c>
      <c r="C301" s="24">
        <v>14.13</v>
      </c>
      <c r="D301" s="24">
        <v>2.54</v>
      </c>
      <c r="E301" s="25">
        <v>12.8</v>
      </c>
    </row>
    <row r="302" spans="1:5" x14ac:dyDescent="0.35">
      <c r="A302" s="21">
        <v>197807</v>
      </c>
      <c r="B302" s="22">
        <v>0.53</v>
      </c>
      <c r="C302" s="22">
        <v>12.69</v>
      </c>
      <c r="D302" s="22">
        <v>-0.27</v>
      </c>
      <c r="E302" s="26">
        <v>12.5</v>
      </c>
    </row>
    <row r="303" spans="1:5" x14ac:dyDescent="0.35">
      <c r="A303" s="23">
        <v>197808</v>
      </c>
      <c r="B303" s="24">
        <v>0.53</v>
      </c>
      <c r="C303" s="24">
        <v>13.21</v>
      </c>
      <c r="D303" s="24">
        <v>0.14000000000000001</v>
      </c>
      <c r="E303" s="25">
        <v>12.66</v>
      </c>
    </row>
    <row r="304" spans="1:5" x14ac:dyDescent="0.35">
      <c r="A304" s="21">
        <v>197809</v>
      </c>
      <c r="B304" s="22">
        <v>0.53</v>
      </c>
      <c r="C304" s="22">
        <v>13.53</v>
      </c>
      <c r="D304" s="22">
        <v>0.42</v>
      </c>
      <c r="E304" s="26">
        <v>13.13</v>
      </c>
    </row>
    <row r="305" spans="1:5" x14ac:dyDescent="0.35">
      <c r="A305" s="23">
        <v>197810</v>
      </c>
      <c r="B305" s="24">
        <v>0.54</v>
      </c>
      <c r="C305" s="24">
        <v>16.16</v>
      </c>
      <c r="D305" s="24">
        <v>2.0699999999999998</v>
      </c>
      <c r="E305" s="25">
        <v>15.47</v>
      </c>
    </row>
    <row r="306" spans="1:5" x14ac:dyDescent="0.35">
      <c r="A306" s="21">
        <v>197811</v>
      </c>
      <c r="B306" s="22">
        <v>0.55000000000000004</v>
      </c>
      <c r="C306" s="22">
        <v>17.62</v>
      </c>
      <c r="D306" s="22">
        <v>1.4</v>
      </c>
      <c r="E306" s="26">
        <v>17.09</v>
      </c>
    </row>
    <row r="307" spans="1:5" x14ac:dyDescent="0.35">
      <c r="A307" s="23">
        <v>197812</v>
      </c>
      <c r="B307" s="24">
        <v>0.56000000000000005</v>
      </c>
      <c r="C307" s="24">
        <v>18.420000000000002</v>
      </c>
      <c r="D307" s="24">
        <v>1.1399999999999999</v>
      </c>
      <c r="E307" s="25">
        <v>18.420000000000002</v>
      </c>
    </row>
    <row r="308" spans="1:5" x14ac:dyDescent="0.35">
      <c r="A308" s="21">
        <v>197901</v>
      </c>
      <c r="B308" s="22">
        <v>0.56999999999999995</v>
      </c>
      <c r="C308" s="22">
        <v>21.04</v>
      </c>
      <c r="D308" s="22">
        <v>3.3</v>
      </c>
      <c r="E308" s="26">
        <v>3.3</v>
      </c>
    </row>
    <row r="309" spans="1:5" x14ac:dyDescent="0.35">
      <c r="A309" s="23">
        <v>197902</v>
      </c>
      <c r="B309" s="24">
        <v>0.57999999999999996</v>
      </c>
      <c r="C309" s="24">
        <v>21.49</v>
      </c>
      <c r="D309" s="24">
        <v>1.84</v>
      </c>
      <c r="E309" s="25">
        <v>5.2</v>
      </c>
    </row>
    <row r="310" spans="1:5" x14ac:dyDescent="0.35">
      <c r="A310" s="21">
        <v>197903</v>
      </c>
      <c r="B310" s="22">
        <v>0.61</v>
      </c>
      <c r="C310" s="22">
        <v>22.53</v>
      </c>
      <c r="D310" s="22">
        <v>4.09</v>
      </c>
      <c r="E310" s="26">
        <v>9.5</v>
      </c>
    </row>
    <row r="311" spans="1:5" x14ac:dyDescent="0.35">
      <c r="A311" s="23">
        <v>197904</v>
      </c>
      <c r="B311" s="24">
        <v>0.62</v>
      </c>
      <c r="C311" s="24">
        <v>22.79</v>
      </c>
      <c r="D311" s="24">
        <v>1.83</v>
      </c>
      <c r="E311" s="25">
        <v>11.5</v>
      </c>
    </row>
    <row r="312" spans="1:5" x14ac:dyDescent="0.35">
      <c r="A312" s="21">
        <v>197905</v>
      </c>
      <c r="B312" s="22">
        <v>0.63</v>
      </c>
      <c r="C312" s="22">
        <v>22.61</v>
      </c>
      <c r="D312" s="22">
        <v>2.15</v>
      </c>
      <c r="E312" s="26">
        <v>13.9</v>
      </c>
    </row>
    <row r="313" spans="1:5" x14ac:dyDescent="0.35">
      <c r="A313" s="23">
        <v>197906</v>
      </c>
      <c r="B313" s="24">
        <v>0.64</v>
      </c>
      <c r="C313" s="24">
        <v>21.57</v>
      </c>
      <c r="D313" s="24">
        <v>1.67</v>
      </c>
      <c r="E313" s="25">
        <v>15.8</v>
      </c>
    </row>
    <row r="314" spans="1:5" x14ac:dyDescent="0.35">
      <c r="A314" s="21">
        <v>197907</v>
      </c>
      <c r="B314" s="22">
        <v>0.65</v>
      </c>
      <c r="C314" s="22">
        <v>23.47</v>
      </c>
      <c r="D314" s="22">
        <v>1.29</v>
      </c>
      <c r="E314" s="26">
        <v>17.3</v>
      </c>
    </row>
    <row r="315" spans="1:5" x14ac:dyDescent="0.35">
      <c r="A315" s="23">
        <v>197908</v>
      </c>
      <c r="B315" s="24">
        <v>0.66</v>
      </c>
      <c r="C315" s="24">
        <v>25.51</v>
      </c>
      <c r="D315" s="24">
        <v>1.79</v>
      </c>
      <c r="E315" s="25">
        <v>19.399999999999999</v>
      </c>
    </row>
    <row r="316" spans="1:5" x14ac:dyDescent="0.35">
      <c r="A316" s="21">
        <v>197909</v>
      </c>
      <c r="B316" s="22">
        <v>0.68</v>
      </c>
      <c r="C316" s="22">
        <v>27.71</v>
      </c>
      <c r="D316" s="22">
        <v>2.1800000000000002</v>
      </c>
      <c r="E316" s="26">
        <v>22</v>
      </c>
    </row>
    <row r="317" spans="1:5" x14ac:dyDescent="0.35">
      <c r="A317" s="23">
        <v>197910</v>
      </c>
      <c r="B317" s="24">
        <v>0.69</v>
      </c>
      <c r="C317" s="24">
        <v>26.87</v>
      </c>
      <c r="D317" s="24">
        <v>1.39</v>
      </c>
      <c r="E317" s="25">
        <v>23.7</v>
      </c>
    </row>
    <row r="318" spans="1:5" x14ac:dyDescent="0.35">
      <c r="A318" s="21">
        <v>197911</v>
      </c>
      <c r="B318" s="22">
        <v>0.7</v>
      </c>
      <c r="C318" s="22">
        <v>28.15</v>
      </c>
      <c r="D318" s="22">
        <v>2.42</v>
      </c>
      <c r="E318" s="26">
        <v>26.7</v>
      </c>
    </row>
    <row r="319" spans="1:5" x14ac:dyDescent="0.35">
      <c r="A319" s="23">
        <v>197912</v>
      </c>
      <c r="B319" s="24">
        <v>0.72</v>
      </c>
      <c r="C319" s="24">
        <v>28.8</v>
      </c>
      <c r="D319" s="24">
        <v>1.66</v>
      </c>
      <c r="E319" s="25">
        <v>28.8</v>
      </c>
    </row>
    <row r="320" spans="1:5" x14ac:dyDescent="0.35">
      <c r="A320" s="21">
        <v>198001</v>
      </c>
      <c r="B320" s="22">
        <v>0.73</v>
      </c>
      <c r="C320" s="22">
        <v>27.59</v>
      </c>
      <c r="D320" s="22">
        <v>2.33</v>
      </c>
      <c r="E320" s="26">
        <v>2.33</v>
      </c>
    </row>
    <row r="321" spans="1:5" x14ac:dyDescent="0.35">
      <c r="A321" s="23">
        <v>198002</v>
      </c>
      <c r="B321" s="24">
        <v>0.74</v>
      </c>
      <c r="C321" s="24">
        <v>26.62</v>
      </c>
      <c r="D321" s="24">
        <v>1.06</v>
      </c>
      <c r="E321" s="25">
        <v>3.42</v>
      </c>
    </row>
    <row r="322" spans="1:5" x14ac:dyDescent="0.35">
      <c r="A322" s="21">
        <v>198003</v>
      </c>
      <c r="B322" s="22">
        <v>0.76</v>
      </c>
      <c r="C322" s="22">
        <v>24.2</v>
      </c>
      <c r="D322" s="22">
        <v>2.1</v>
      </c>
      <c r="E322" s="26">
        <v>5.59</v>
      </c>
    </row>
    <row r="323" spans="1:5" x14ac:dyDescent="0.35">
      <c r="A323" s="23">
        <v>198004</v>
      </c>
      <c r="B323" s="24">
        <v>0.78</v>
      </c>
      <c r="C323" s="24">
        <v>26.64</v>
      </c>
      <c r="D323" s="24">
        <v>3.82</v>
      </c>
      <c r="E323" s="25">
        <v>9.6300000000000008</v>
      </c>
    </row>
    <row r="324" spans="1:5" x14ac:dyDescent="0.35">
      <c r="A324" s="21">
        <v>198005</v>
      </c>
      <c r="B324" s="22">
        <v>0.81</v>
      </c>
      <c r="C324" s="22">
        <v>28.27</v>
      </c>
      <c r="D324" s="22">
        <v>3.47</v>
      </c>
      <c r="E324" s="26">
        <v>13.43</v>
      </c>
    </row>
    <row r="325" spans="1:5" x14ac:dyDescent="0.35">
      <c r="A325" s="23">
        <v>198006</v>
      </c>
      <c r="B325" s="24">
        <v>0.82</v>
      </c>
      <c r="C325" s="24">
        <v>27.72</v>
      </c>
      <c r="D325" s="24">
        <v>1.23</v>
      </c>
      <c r="E325" s="25">
        <v>14.83</v>
      </c>
    </row>
    <row r="326" spans="1:5" x14ac:dyDescent="0.35">
      <c r="A326" s="21">
        <v>198007</v>
      </c>
      <c r="B326" s="22">
        <v>0.83</v>
      </c>
      <c r="C326" s="22">
        <v>27.37</v>
      </c>
      <c r="D326" s="22">
        <v>1.01</v>
      </c>
      <c r="E326" s="26">
        <v>15.99</v>
      </c>
    </row>
    <row r="327" spans="1:5" x14ac:dyDescent="0.35">
      <c r="A327" s="23">
        <v>198008</v>
      </c>
      <c r="B327" s="24">
        <v>0.84</v>
      </c>
      <c r="C327" s="24">
        <v>26.13</v>
      </c>
      <c r="D327" s="24">
        <v>0.8</v>
      </c>
      <c r="E327" s="25">
        <v>16.920000000000002</v>
      </c>
    </row>
    <row r="328" spans="1:5" x14ac:dyDescent="0.35">
      <c r="A328" s="21">
        <v>198009</v>
      </c>
      <c r="B328" s="22">
        <v>0.85</v>
      </c>
      <c r="C328" s="22">
        <v>25.49</v>
      </c>
      <c r="D328" s="22">
        <v>1.66</v>
      </c>
      <c r="E328" s="26">
        <v>18.87</v>
      </c>
    </row>
    <row r="329" spans="1:5" x14ac:dyDescent="0.35">
      <c r="A329" s="23">
        <v>198010</v>
      </c>
      <c r="B329" s="24">
        <v>0.87</v>
      </c>
      <c r="C329" s="24">
        <v>26.52</v>
      </c>
      <c r="D329" s="24">
        <v>2.2200000000000002</v>
      </c>
      <c r="E329" s="25">
        <v>21.51</v>
      </c>
    </row>
    <row r="330" spans="1:5" x14ac:dyDescent="0.35">
      <c r="A330" s="21">
        <v>198011</v>
      </c>
      <c r="B330" s="22">
        <v>0.89</v>
      </c>
      <c r="C330" s="22">
        <v>26.2</v>
      </c>
      <c r="D330" s="22">
        <v>2.17</v>
      </c>
      <c r="E330" s="26">
        <v>24.15</v>
      </c>
    </row>
    <row r="331" spans="1:5" x14ac:dyDescent="0.35">
      <c r="A331" s="23">
        <v>198012</v>
      </c>
      <c r="B331" s="24">
        <v>0.9</v>
      </c>
      <c r="C331" s="24">
        <v>25.85</v>
      </c>
      <c r="D331" s="24">
        <v>1.37</v>
      </c>
      <c r="E331" s="25">
        <v>25.85</v>
      </c>
    </row>
    <row r="332" spans="1:5" x14ac:dyDescent="0.35">
      <c r="A332" s="21">
        <v>198101</v>
      </c>
      <c r="B332" s="22">
        <v>0.92</v>
      </c>
      <c r="C332" s="22">
        <v>25.67</v>
      </c>
      <c r="D332" s="22">
        <v>2.09</v>
      </c>
      <c r="E332" s="26">
        <v>2.09</v>
      </c>
    </row>
    <row r="333" spans="1:5" x14ac:dyDescent="0.35">
      <c r="A333" s="23">
        <v>198102</v>
      </c>
      <c r="B333" s="24">
        <v>0.95</v>
      </c>
      <c r="C333" s="24">
        <v>28</v>
      </c>
      <c r="D333" s="24">
        <v>2.93</v>
      </c>
      <c r="E333" s="25">
        <v>5.08</v>
      </c>
    </row>
    <row r="334" spans="1:5" x14ac:dyDescent="0.35">
      <c r="A334" s="21">
        <v>198103</v>
      </c>
      <c r="B334" s="22">
        <v>0.97</v>
      </c>
      <c r="C334" s="22">
        <v>28.82</v>
      </c>
      <c r="D334" s="22">
        <v>2.75</v>
      </c>
      <c r="E334" s="26">
        <v>7.98</v>
      </c>
    </row>
    <row r="335" spans="1:5" x14ac:dyDescent="0.35">
      <c r="A335" s="23">
        <v>198104</v>
      </c>
      <c r="B335" s="24">
        <v>1</v>
      </c>
      <c r="C335" s="24">
        <v>27.05</v>
      </c>
      <c r="D335" s="24">
        <v>2.38</v>
      </c>
      <c r="E335" s="25">
        <v>10.57</v>
      </c>
    </row>
    <row r="336" spans="1:5" x14ac:dyDescent="0.35">
      <c r="A336" s="21">
        <v>198105</v>
      </c>
      <c r="B336" s="22">
        <v>1.02</v>
      </c>
      <c r="C336" s="22">
        <v>26.02</v>
      </c>
      <c r="D336" s="22">
        <v>2.63</v>
      </c>
      <c r="E336" s="26">
        <v>13.48</v>
      </c>
    </row>
    <row r="337" spans="1:5" x14ac:dyDescent="0.35">
      <c r="A337" s="23">
        <v>198106</v>
      </c>
      <c r="B337" s="24">
        <v>1.05</v>
      </c>
      <c r="C337" s="24">
        <v>27.87</v>
      </c>
      <c r="D337" s="24">
        <v>2.72</v>
      </c>
      <c r="E337" s="25">
        <v>16.579999999999998</v>
      </c>
    </row>
    <row r="338" spans="1:5" x14ac:dyDescent="0.35">
      <c r="A338" s="21">
        <v>198107</v>
      </c>
      <c r="B338" s="22">
        <v>1.07</v>
      </c>
      <c r="C338" s="22">
        <v>28.93</v>
      </c>
      <c r="D338" s="22">
        <v>1.85</v>
      </c>
      <c r="E338" s="26">
        <v>18.73</v>
      </c>
    </row>
    <row r="339" spans="1:5" x14ac:dyDescent="0.35">
      <c r="A339" s="23">
        <v>198108</v>
      </c>
      <c r="B339" s="24">
        <v>1.08</v>
      </c>
      <c r="C339" s="24">
        <v>29.52</v>
      </c>
      <c r="D339" s="24">
        <v>1.27</v>
      </c>
      <c r="E339" s="25">
        <v>20.239999999999998</v>
      </c>
    </row>
    <row r="340" spans="1:5" x14ac:dyDescent="0.35">
      <c r="A340" s="21">
        <v>198109</v>
      </c>
      <c r="B340" s="22">
        <v>1.0900000000000001</v>
      </c>
      <c r="C340" s="22">
        <v>28.33</v>
      </c>
      <c r="D340" s="22">
        <v>0.72</v>
      </c>
      <c r="E340" s="26">
        <v>21.11</v>
      </c>
    </row>
    <row r="341" spans="1:5" x14ac:dyDescent="0.35">
      <c r="A341" s="23">
        <v>198110</v>
      </c>
      <c r="B341" s="24">
        <v>1.1000000000000001</v>
      </c>
      <c r="C341" s="24">
        <v>27.1</v>
      </c>
      <c r="D341" s="24">
        <v>1.24</v>
      </c>
      <c r="E341" s="25">
        <v>22.61</v>
      </c>
    </row>
    <row r="342" spans="1:5" x14ac:dyDescent="0.35">
      <c r="A342" s="21">
        <v>198111</v>
      </c>
      <c r="B342" s="22">
        <v>1.1200000000000001</v>
      </c>
      <c r="C342" s="22">
        <v>26.35</v>
      </c>
      <c r="D342" s="22">
        <v>1.57</v>
      </c>
      <c r="E342" s="26">
        <v>24.54</v>
      </c>
    </row>
    <row r="343" spans="1:5" x14ac:dyDescent="0.35">
      <c r="A343" s="23">
        <v>198112</v>
      </c>
      <c r="B343" s="24">
        <v>1.1399999999999999</v>
      </c>
      <c r="C343" s="24">
        <v>26.36</v>
      </c>
      <c r="D343" s="24">
        <v>1.46</v>
      </c>
      <c r="E343" s="25">
        <v>26.36</v>
      </c>
    </row>
    <row r="344" spans="1:5" x14ac:dyDescent="0.35">
      <c r="A344" s="21">
        <v>198201</v>
      </c>
      <c r="B344" s="22">
        <v>1.1599999999999999</v>
      </c>
      <c r="C344" s="22">
        <v>26.03</v>
      </c>
      <c r="D344" s="22">
        <v>1.83</v>
      </c>
      <c r="E344" s="26">
        <v>1.83</v>
      </c>
    </row>
    <row r="345" spans="1:5" x14ac:dyDescent="0.35">
      <c r="A345" s="23">
        <v>198202</v>
      </c>
      <c r="B345" s="24">
        <v>1.18</v>
      </c>
      <c r="C345" s="24">
        <v>25.1</v>
      </c>
      <c r="D345" s="24">
        <v>2.17</v>
      </c>
      <c r="E345" s="25">
        <v>4.05</v>
      </c>
    </row>
    <row r="346" spans="1:5" x14ac:dyDescent="0.35">
      <c r="A346" s="21">
        <v>198203</v>
      </c>
      <c r="B346" s="22">
        <v>1.21</v>
      </c>
      <c r="C346" s="22">
        <v>24.55</v>
      </c>
      <c r="D346" s="22">
        <v>2.2999999999999998</v>
      </c>
      <c r="E346" s="26">
        <v>6.44</v>
      </c>
    </row>
    <row r="347" spans="1:5" x14ac:dyDescent="0.35">
      <c r="A347" s="23">
        <v>198204</v>
      </c>
      <c r="B347" s="24">
        <v>1.24</v>
      </c>
      <c r="C347" s="24">
        <v>24.77</v>
      </c>
      <c r="D347" s="24">
        <v>2.58</v>
      </c>
      <c r="E347" s="25">
        <v>9.19</v>
      </c>
    </row>
    <row r="348" spans="1:5" x14ac:dyDescent="0.35">
      <c r="A348" s="21">
        <v>198205</v>
      </c>
      <c r="B348" s="22">
        <v>1.28</v>
      </c>
      <c r="C348" s="22">
        <v>24.78</v>
      </c>
      <c r="D348" s="22">
        <v>2.64</v>
      </c>
      <c r="E348" s="26">
        <v>12.07</v>
      </c>
    </row>
    <row r="349" spans="1:5" x14ac:dyDescent="0.35">
      <c r="A349" s="23">
        <v>198206</v>
      </c>
      <c r="B349" s="24">
        <v>1.3</v>
      </c>
      <c r="C349" s="24">
        <v>24.19</v>
      </c>
      <c r="D349" s="24">
        <v>2.23</v>
      </c>
      <c r="E349" s="25">
        <v>14.58</v>
      </c>
    </row>
    <row r="350" spans="1:5" x14ac:dyDescent="0.35">
      <c r="A350" s="21">
        <v>198207</v>
      </c>
      <c r="B350" s="22">
        <v>1.32</v>
      </c>
      <c r="C350" s="22">
        <v>23.54</v>
      </c>
      <c r="D350" s="22">
        <v>1.32</v>
      </c>
      <c r="E350" s="26">
        <v>16.079999999999998</v>
      </c>
    </row>
    <row r="351" spans="1:5" x14ac:dyDescent="0.35">
      <c r="A351" s="23">
        <v>198208</v>
      </c>
      <c r="B351" s="24">
        <v>1.34</v>
      </c>
      <c r="C351" s="24">
        <v>23.46</v>
      </c>
      <c r="D351" s="24">
        <v>1.2</v>
      </c>
      <c r="E351" s="25">
        <v>17.48</v>
      </c>
    </row>
    <row r="352" spans="1:5" x14ac:dyDescent="0.35">
      <c r="A352" s="21">
        <v>198209</v>
      </c>
      <c r="B352" s="22">
        <v>1.36</v>
      </c>
      <c r="C352" s="22">
        <v>24.52</v>
      </c>
      <c r="D352" s="22">
        <v>1.59</v>
      </c>
      <c r="E352" s="26">
        <v>19.350000000000001</v>
      </c>
    </row>
    <row r="353" spans="1:5" x14ac:dyDescent="0.35">
      <c r="A353" s="23">
        <v>198210</v>
      </c>
      <c r="B353" s="24">
        <v>1.38</v>
      </c>
      <c r="C353" s="24">
        <v>25.26</v>
      </c>
      <c r="D353" s="24">
        <v>1.84</v>
      </c>
      <c r="E353" s="25">
        <v>21.55</v>
      </c>
    </row>
    <row r="354" spans="1:5" x14ac:dyDescent="0.35">
      <c r="A354" s="21">
        <v>198211</v>
      </c>
      <c r="B354" s="22">
        <v>1.4</v>
      </c>
      <c r="C354" s="22">
        <v>24.79</v>
      </c>
      <c r="D354" s="22">
        <v>1.19</v>
      </c>
      <c r="E354" s="26">
        <v>22.99</v>
      </c>
    </row>
    <row r="355" spans="1:5" x14ac:dyDescent="0.35">
      <c r="A355" s="23">
        <v>198212</v>
      </c>
      <c r="B355" s="24">
        <v>1.41</v>
      </c>
      <c r="C355" s="24">
        <v>24.03</v>
      </c>
      <c r="D355" s="24">
        <v>0.84</v>
      </c>
      <c r="E355" s="25">
        <v>24.03</v>
      </c>
    </row>
    <row r="356" spans="1:5" x14ac:dyDescent="0.35">
      <c r="A356" s="21">
        <v>198301</v>
      </c>
      <c r="B356" s="22">
        <v>1.43</v>
      </c>
      <c r="C356" s="22">
        <v>23.08</v>
      </c>
      <c r="D356" s="22">
        <v>1.05</v>
      </c>
      <c r="E356" s="26">
        <v>1.05</v>
      </c>
    </row>
    <row r="357" spans="1:5" x14ac:dyDescent="0.35">
      <c r="A357" s="23">
        <v>198302</v>
      </c>
      <c r="B357" s="24">
        <v>1.44</v>
      </c>
      <c r="C357" s="24">
        <v>21.88</v>
      </c>
      <c r="D357" s="24">
        <v>1.18</v>
      </c>
      <c r="E357" s="25">
        <v>2.25</v>
      </c>
    </row>
    <row r="358" spans="1:5" x14ac:dyDescent="0.35">
      <c r="A358" s="21">
        <v>198303</v>
      </c>
      <c r="B358" s="22">
        <v>1.48</v>
      </c>
      <c r="C358" s="22">
        <v>21.85</v>
      </c>
      <c r="D358" s="22">
        <v>2.27</v>
      </c>
      <c r="E358" s="26">
        <v>4.57</v>
      </c>
    </row>
    <row r="359" spans="1:5" x14ac:dyDescent="0.35">
      <c r="A359" s="23">
        <v>198304</v>
      </c>
      <c r="B359" s="24">
        <v>1.52</v>
      </c>
      <c r="C359" s="24">
        <v>22.42</v>
      </c>
      <c r="D359" s="24">
        <v>3.06</v>
      </c>
      <c r="E359" s="25">
        <v>7.77</v>
      </c>
    </row>
    <row r="360" spans="1:5" x14ac:dyDescent="0.35">
      <c r="A360" s="21">
        <v>198305</v>
      </c>
      <c r="B360" s="22">
        <v>1.56</v>
      </c>
      <c r="C360" s="22">
        <v>22.28</v>
      </c>
      <c r="D360" s="22">
        <v>2.52</v>
      </c>
      <c r="E360" s="26">
        <v>10.49</v>
      </c>
    </row>
    <row r="361" spans="1:5" x14ac:dyDescent="0.35">
      <c r="A361" s="23">
        <v>198306</v>
      </c>
      <c r="B361" s="24">
        <v>1.57</v>
      </c>
      <c r="C361" s="24">
        <v>20.46</v>
      </c>
      <c r="D361" s="24">
        <v>0.72</v>
      </c>
      <c r="E361" s="25">
        <v>11.28</v>
      </c>
    </row>
    <row r="362" spans="1:5" x14ac:dyDescent="0.35">
      <c r="A362" s="21">
        <v>198307</v>
      </c>
      <c r="B362" s="22">
        <v>1.58</v>
      </c>
      <c r="C362" s="22">
        <v>19.82</v>
      </c>
      <c r="D362" s="22">
        <v>0.79</v>
      </c>
      <c r="E362" s="26">
        <v>12.15</v>
      </c>
    </row>
    <row r="363" spans="1:5" x14ac:dyDescent="0.35">
      <c r="A363" s="23">
        <v>198308</v>
      </c>
      <c r="B363" s="24">
        <v>1.58</v>
      </c>
      <c r="C363" s="24">
        <v>18.32</v>
      </c>
      <c r="D363" s="24">
        <v>-0.08</v>
      </c>
      <c r="E363" s="25">
        <v>12.07</v>
      </c>
    </row>
    <row r="364" spans="1:5" x14ac:dyDescent="0.35">
      <c r="A364" s="21">
        <v>198309</v>
      </c>
      <c r="B364" s="22">
        <v>1.59</v>
      </c>
      <c r="C364" s="22">
        <v>17.420000000000002</v>
      </c>
      <c r="D364" s="22">
        <v>0.82</v>
      </c>
      <c r="E364" s="26">
        <v>12.09</v>
      </c>
    </row>
    <row r="365" spans="1:5" x14ac:dyDescent="0.35">
      <c r="A365" s="23">
        <v>198310</v>
      </c>
      <c r="B365" s="24">
        <v>1.62</v>
      </c>
      <c r="C365" s="24">
        <v>17.2</v>
      </c>
      <c r="D365" s="24">
        <v>1.65</v>
      </c>
      <c r="E365" s="25">
        <v>14.86</v>
      </c>
    </row>
    <row r="366" spans="1:5" x14ac:dyDescent="0.35">
      <c r="A366" s="21">
        <v>198311</v>
      </c>
      <c r="B366" s="22">
        <v>1.64</v>
      </c>
      <c r="C366" s="22">
        <v>17.04</v>
      </c>
      <c r="D366" s="22">
        <v>1.05</v>
      </c>
      <c r="E366" s="26">
        <v>16.059999999999999</v>
      </c>
    </row>
    <row r="367" spans="1:5" x14ac:dyDescent="0.35">
      <c r="A367" s="23">
        <v>198312</v>
      </c>
      <c r="B367" s="24">
        <v>1.65</v>
      </c>
      <c r="C367" s="24">
        <v>16.64</v>
      </c>
      <c r="D367" s="24">
        <v>0.49</v>
      </c>
      <c r="E367" s="25">
        <v>16.64</v>
      </c>
    </row>
    <row r="368" spans="1:5" x14ac:dyDescent="0.35">
      <c r="A368" s="21">
        <v>198401</v>
      </c>
      <c r="B368" s="22">
        <v>1.67</v>
      </c>
      <c r="C368" s="22">
        <v>17.02</v>
      </c>
      <c r="D368" s="22">
        <v>1.39</v>
      </c>
      <c r="E368" s="26">
        <v>1.39</v>
      </c>
    </row>
    <row r="369" spans="1:5" x14ac:dyDescent="0.35">
      <c r="A369" s="23">
        <v>198402</v>
      </c>
      <c r="B369" s="24">
        <v>1.69</v>
      </c>
      <c r="C369" s="24">
        <v>17.2</v>
      </c>
      <c r="D369" s="24">
        <v>1.34</v>
      </c>
      <c r="E369" s="25">
        <v>2.74</v>
      </c>
    </row>
    <row r="370" spans="1:5" x14ac:dyDescent="0.35">
      <c r="A370" s="21">
        <v>198403</v>
      </c>
      <c r="B370" s="22">
        <v>1.72</v>
      </c>
      <c r="C370" s="22">
        <v>16.64</v>
      </c>
      <c r="D370" s="22">
        <v>1.78</v>
      </c>
      <c r="E370" s="26">
        <v>4.57</v>
      </c>
    </row>
    <row r="371" spans="1:5" x14ac:dyDescent="0.35">
      <c r="A371" s="23">
        <v>198404</v>
      </c>
      <c r="B371" s="24">
        <v>1.76</v>
      </c>
      <c r="C371" s="24">
        <v>15.42</v>
      </c>
      <c r="D371" s="24">
        <v>1.99</v>
      </c>
      <c r="E371" s="25">
        <v>6.65</v>
      </c>
    </row>
    <row r="372" spans="1:5" x14ac:dyDescent="0.35">
      <c r="A372" s="21">
        <v>198405</v>
      </c>
      <c r="B372" s="22">
        <v>1.78</v>
      </c>
      <c r="C372" s="22">
        <v>14.16</v>
      </c>
      <c r="D372" s="22">
        <v>1.4</v>
      </c>
      <c r="E372" s="26">
        <v>8.14</v>
      </c>
    </row>
    <row r="373" spans="1:5" x14ac:dyDescent="0.35">
      <c r="A373" s="23">
        <v>198406</v>
      </c>
      <c r="B373" s="24">
        <v>1.81</v>
      </c>
      <c r="C373" s="24">
        <v>15.17</v>
      </c>
      <c r="D373" s="24">
        <v>1.61</v>
      </c>
      <c r="E373" s="25">
        <v>9.8800000000000008</v>
      </c>
    </row>
    <row r="374" spans="1:5" x14ac:dyDescent="0.35">
      <c r="A374" s="21">
        <v>198407</v>
      </c>
      <c r="B374" s="22">
        <v>1.83</v>
      </c>
      <c r="C374" s="22">
        <v>15.67</v>
      </c>
      <c r="D374" s="22">
        <v>1.22</v>
      </c>
      <c r="E374" s="26">
        <v>11.22</v>
      </c>
    </row>
    <row r="375" spans="1:5" x14ac:dyDescent="0.35">
      <c r="A375" s="23">
        <v>198408</v>
      </c>
      <c r="B375" s="24">
        <v>1.84</v>
      </c>
      <c r="C375" s="24">
        <v>16.190000000000001</v>
      </c>
      <c r="D375" s="24">
        <v>0.38</v>
      </c>
      <c r="E375" s="25">
        <v>11.64</v>
      </c>
    </row>
    <row r="376" spans="1:5" x14ac:dyDescent="0.35">
      <c r="A376" s="21">
        <v>198409</v>
      </c>
      <c r="B376" s="22">
        <v>1.86</v>
      </c>
      <c r="C376" s="22">
        <v>16.510000000000002</v>
      </c>
      <c r="D376" s="22">
        <v>1.1000000000000001</v>
      </c>
      <c r="E376" s="26">
        <v>12.87</v>
      </c>
    </row>
    <row r="377" spans="1:5" x14ac:dyDescent="0.35">
      <c r="A377" s="23">
        <v>198410</v>
      </c>
      <c r="B377" s="24">
        <v>1.87</v>
      </c>
      <c r="C377" s="24">
        <v>15.27</v>
      </c>
      <c r="D377" s="24">
        <v>0.56999999999999995</v>
      </c>
      <c r="E377" s="25">
        <v>13.51</v>
      </c>
    </row>
    <row r="378" spans="1:5" x14ac:dyDescent="0.35">
      <c r="A378" s="21">
        <v>198411</v>
      </c>
      <c r="B378" s="22">
        <v>1.91</v>
      </c>
      <c r="C378" s="22">
        <v>16.39</v>
      </c>
      <c r="D378" s="22">
        <v>2.04</v>
      </c>
      <c r="E378" s="26">
        <v>15.82</v>
      </c>
    </row>
    <row r="379" spans="1:5" x14ac:dyDescent="0.35">
      <c r="A379" s="23">
        <v>198412</v>
      </c>
      <c r="B379" s="24">
        <v>1.95</v>
      </c>
      <c r="C379" s="24">
        <v>18.28</v>
      </c>
      <c r="D379" s="24">
        <v>2.13</v>
      </c>
      <c r="E379" s="25">
        <v>18.28</v>
      </c>
    </row>
    <row r="380" spans="1:5" x14ac:dyDescent="0.35">
      <c r="A380" s="21">
        <v>198501</v>
      </c>
      <c r="B380" s="22">
        <v>1.99</v>
      </c>
      <c r="C380" s="22">
        <v>19.27</v>
      </c>
      <c r="D380" s="22">
        <v>2.2400000000000002</v>
      </c>
      <c r="E380" s="26">
        <v>2.2400000000000002</v>
      </c>
    </row>
    <row r="381" spans="1:5" x14ac:dyDescent="0.35">
      <c r="A381" s="23">
        <v>198502</v>
      </c>
      <c r="B381" s="24">
        <v>2.0499999999999998</v>
      </c>
      <c r="C381" s="24">
        <v>21.24</v>
      </c>
      <c r="D381" s="24">
        <v>3</v>
      </c>
      <c r="E381" s="25">
        <v>5.31</v>
      </c>
    </row>
    <row r="382" spans="1:5" x14ac:dyDescent="0.35">
      <c r="A382" s="21">
        <v>198503</v>
      </c>
      <c r="B382" s="22">
        <v>2.11</v>
      </c>
      <c r="C382" s="22">
        <v>22.82</v>
      </c>
      <c r="D382" s="22">
        <v>3.11</v>
      </c>
      <c r="E382" s="26">
        <v>8.58</v>
      </c>
    </row>
    <row r="383" spans="1:5" x14ac:dyDescent="0.35">
      <c r="A383" s="23">
        <v>198504</v>
      </c>
      <c r="B383" s="24">
        <v>2.17</v>
      </c>
      <c r="C383" s="24">
        <v>23.81</v>
      </c>
      <c r="D383" s="24">
        <v>2.81</v>
      </c>
      <c r="E383" s="25">
        <v>11.63</v>
      </c>
    </row>
    <row r="384" spans="1:5" x14ac:dyDescent="0.35">
      <c r="A384" s="21">
        <v>198505</v>
      </c>
      <c r="B384" s="22">
        <v>2.27</v>
      </c>
      <c r="C384" s="22">
        <v>27.61</v>
      </c>
      <c r="D384" s="22">
        <v>4.5199999999999996</v>
      </c>
      <c r="E384" s="26">
        <v>16.670000000000002</v>
      </c>
    </row>
    <row r="385" spans="1:5" x14ac:dyDescent="0.35">
      <c r="A385" s="23">
        <v>198506</v>
      </c>
      <c r="B385" s="24">
        <v>2.31</v>
      </c>
      <c r="C385" s="24">
        <v>27.91</v>
      </c>
      <c r="D385" s="24">
        <v>1.84</v>
      </c>
      <c r="E385" s="25">
        <v>18.82</v>
      </c>
    </row>
    <row r="386" spans="1:5" x14ac:dyDescent="0.35">
      <c r="A386" s="21">
        <v>198507</v>
      </c>
      <c r="B386" s="22">
        <v>2.2999999999999998</v>
      </c>
      <c r="C386" s="22">
        <v>25.64</v>
      </c>
      <c r="D386" s="22">
        <v>-0.57999999999999996</v>
      </c>
      <c r="E386" s="26">
        <v>18.13</v>
      </c>
    </row>
    <row r="387" spans="1:5" x14ac:dyDescent="0.35">
      <c r="A387" s="23">
        <v>198508</v>
      </c>
      <c r="B387" s="24">
        <v>2.29</v>
      </c>
      <c r="C387" s="24">
        <v>24.67</v>
      </c>
      <c r="D387" s="24">
        <v>-0.4</v>
      </c>
      <c r="E387" s="25">
        <v>17.66</v>
      </c>
    </row>
    <row r="388" spans="1:5" x14ac:dyDescent="0.35">
      <c r="A388" s="21">
        <v>198509</v>
      </c>
      <c r="B388" s="22">
        <v>2.31</v>
      </c>
      <c r="C388" s="22">
        <v>24.4</v>
      </c>
      <c r="D388" s="22">
        <v>0.89</v>
      </c>
      <c r="E388" s="26">
        <v>18.7</v>
      </c>
    </row>
    <row r="389" spans="1:5" x14ac:dyDescent="0.35">
      <c r="A389" s="23">
        <v>198510</v>
      </c>
      <c r="B389" s="24">
        <v>2.33</v>
      </c>
      <c r="C389" s="24">
        <v>24.77</v>
      </c>
      <c r="D389" s="24">
        <v>0.87</v>
      </c>
      <c r="E389" s="25">
        <v>19.73</v>
      </c>
    </row>
    <row r="390" spans="1:5" x14ac:dyDescent="0.35">
      <c r="A390" s="21">
        <v>198511</v>
      </c>
      <c r="B390" s="22">
        <v>2.35</v>
      </c>
      <c r="C390" s="22">
        <v>23.49</v>
      </c>
      <c r="D390" s="22">
        <v>0.99</v>
      </c>
      <c r="E390" s="26">
        <v>20.92</v>
      </c>
    </row>
    <row r="391" spans="1:5" x14ac:dyDescent="0.35">
      <c r="A391" s="23">
        <v>198512</v>
      </c>
      <c r="B391" s="24">
        <v>2.38</v>
      </c>
      <c r="C391" s="24">
        <v>22.45</v>
      </c>
      <c r="D391" s="24">
        <v>1.26</v>
      </c>
      <c r="E391" s="25">
        <v>22.45</v>
      </c>
    </row>
    <row r="392" spans="1:5" x14ac:dyDescent="0.35">
      <c r="A392" s="21">
        <v>198601</v>
      </c>
      <c r="B392" s="22">
        <v>2.46</v>
      </c>
      <c r="C392" s="22">
        <v>23.55</v>
      </c>
      <c r="D392" s="22">
        <v>3.15</v>
      </c>
      <c r="E392" s="26">
        <v>3.15</v>
      </c>
    </row>
    <row r="393" spans="1:5" x14ac:dyDescent="0.35">
      <c r="A393" s="23">
        <v>198602</v>
      </c>
      <c r="B393" s="24">
        <v>2.54</v>
      </c>
      <c r="C393" s="24">
        <v>23.72</v>
      </c>
      <c r="D393" s="24">
        <v>3.15</v>
      </c>
      <c r="E393" s="25">
        <v>6.4</v>
      </c>
    </row>
    <row r="394" spans="1:5" x14ac:dyDescent="0.35">
      <c r="A394" s="21">
        <v>198603</v>
      </c>
      <c r="B394" s="22">
        <v>2.59</v>
      </c>
      <c r="C394" s="22">
        <v>22.65</v>
      </c>
      <c r="D394" s="22">
        <v>2.21</v>
      </c>
      <c r="E394" s="26">
        <v>8.75</v>
      </c>
    </row>
    <row r="395" spans="1:5" x14ac:dyDescent="0.35">
      <c r="A395" s="23">
        <v>198604</v>
      </c>
      <c r="B395" s="24">
        <v>2.66</v>
      </c>
      <c r="C395" s="24">
        <v>22.54</v>
      </c>
      <c r="D395" s="24">
        <v>2.73</v>
      </c>
      <c r="E395" s="25">
        <v>11.72</v>
      </c>
    </row>
    <row r="396" spans="1:5" x14ac:dyDescent="0.35">
      <c r="A396" s="21">
        <v>198605</v>
      </c>
      <c r="B396" s="22">
        <v>2.64</v>
      </c>
      <c r="C396" s="22">
        <v>16.399999999999999</v>
      </c>
      <c r="D396" s="22">
        <v>-0.72</v>
      </c>
      <c r="E396" s="26">
        <v>10.91</v>
      </c>
    </row>
    <row r="397" spans="1:5" x14ac:dyDescent="0.35">
      <c r="A397" s="23">
        <v>198606</v>
      </c>
      <c r="B397" s="24">
        <v>2.63</v>
      </c>
      <c r="C397" s="24">
        <v>13.46</v>
      </c>
      <c r="D397" s="24">
        <v>-0.73</v>
      </c>
      <c r="E397" s="25">
        <v>10.1</v>
      </c>
    </row>
    <row r="398" spans="1:5" x14ac:dyDescent="0.35">
      <c r="A398" s="21">
        <v>198607</v>
      </c>
      <c r="B398" s="22">
        <v>2.62</v>
      </c>
      <c r="C398" s="22">
        <v>14.11</v>
      </c>
      <c r="D398" s="22">
        <v>-0.01</v>
      </c>
      <c r="E398" s="26">
        <v>10.08</v>
      </c>
    </row>
    <row r="399" spans="1:5" x14ac:dyDescent="0.35">
      <c r="A399" s="23">
        <v>198608</v>
      </c>
      <c r="B399" s="24">
        <v>2.66</v>
      </c>
      <c r="C399" s="24">
        <v>16.170000000000002</v>
      </c>
      <c r="D399" s="24">
        <v>1.4</v>
      </c>
      <c r="E399" s="25">
        <v>11.62</v>
      </c>
    </row>
    <row r="400" spans="1:5" x14ac:dyDescent="0.35">
      <c r="A400" s="21">
        <v>198609</v>
      </c>
      <c r="B400" s="22">
        <v>2.7</v>
      </c>
      <c r="C400" s="22">
        <v>16.79</v>
      </c>
      <c r="D400" s="22">
        <v>1.43</v>
      </c>
      <c r="E400" s="26">
        <v>13.22</v>
      </c>
    </row>
    <row r="401" spans="1:5" x14ac:dyDescent="0.35">
      <c r="A401" s="23">
        <v>198610</v>
      </c>
      <c r="B401" s="24">
        <v>2.76</v>
      </c>
      <c r="C401" s="24">
        <v>18.170000000000002</v>
      </c>
      <c r="D401" s="24">
        <v>2.06</v>
      </c>
      <c r="E401" s="25">
        <v>15.55</v>
      </c>
    </row>
    <row r="402" spans="1:5" x14ac:dyDescent="0.35">
      <c r="A402" s="21">
        <v>198611</v>
      </c>
      <c r="B402" s="22">
        <v>2.81</v>
      </c>
      <c r="C402" s="22">
        <v>19.54</v>
      </c>
      <c r="D402" s="22">
        <v>2.17</v>
      </c>
      <c r="E402" s="26">
        <v>18.05</v>
      </c>
    </row>
    <row r="403" spans="1:5" x14ac:dyDescent="0.35">
      <c r="A403" s="23">
        <v>198612</v>
      </c>
      <c r="B403" s="24">
        <v>2.88</v>
      </c>
      <c r="C403" s="24">
        <v>20.95</v>
      </c>
      <c r="D403" s="24">
        <v>2.4500000000000002</v>
      </c>
      <c r="E403" s="25">
        <v>20.95</v>
      </c>
    </row>
    <row r="404" spans="1:5" x14ac:dyDescent="0.35">
      <c r="A404" s="21">
        <v>198701</v>
      </c>
      <c r="B404" s="22">
        <v>2.98</v>
      </c>
      <c r="C404" s="22">
        <v>21.09</v>
      </c>
      <c r="D404" s="22">
        <v>3.27</v>
      </c>
      <c r="E404" s="26">
        <v>3.27</v>
      </c>
    </row>
    <row r="405" spans="1:5" x14ac:dyDescent="0.35">
      <c r="A405" s="23">
        <v>198702</v>
      </c>
      <c r="B405" s="24">
        <v>3.04</v>
      </c>
      <c r="C405" s="24">
        <v>19.77</v>
      </c>
      <c r="D405" s="24">
        <v>2.0299999999999998</v>
      </c>
      <c r="E405" s="25">
        <v>5.37</v>
      </c>
    </row>
    <row r="406" spans="1:5" x14ac:dyDescent="0.35">
      <c r="A406" s="21">
        <v>198703</v>
      </c>
      <c r="B406" s="22">
        <v>3.12</v>
      </c>
      <c r="C406" s="22">
        <v>20.36</v>
      </c>
      <c r="D406" s="22">
        <v>2.71</v>
      </c>
      <c r="E406" s="26">
        <v>8.2200000000000006</v>
      </c>
    </row>
    <row r="407" spans="1:5" x14ac:dyDescent="0.35">
      <c r="A407" s="23">
        <v>198704</v>
      </c>
      <c r="B407" s="24">
        <v>3.19</v>
      </c>
      <c r="C407" s="24">
        <v>19.8</v>
      </c>
      <c r="D407" s="24">
        <v>2.25</v>
      </c>
      <c r="E407" s="25">
        <v>10.66</v>
      </c>
    </row>
    <row r="408" spans="1:5" x14ac:dyDescent="0.35">
      <c r="A408" s="21">
        <v>198705</v>
      </c>
      <c r="B408" s="22">
        <v>3.25</v>
      </c>
      <c r="C408" s="22">
        <v>22.73</v>
      </c>
      <c r="D408" s="22">
        <v>1.7</v>
      </c>
      <c r="E408" s="26">
        <v>12.54</v>
      </c>
    </row>
    <row r="409" spans="1:5" x14ac:dyDescent="0.35">
      <c r="A409" s="23">
        <v>198706</v>
      </c>
      <c r="B409" s="24">
        <v>3.28</v>
      </c>
      <c r="C409" s="24">
        <v>24.81</v>
      </c>
      <c r="D409" s="24">
        <v>0.96</v>
      </c>
      <c r="E409" s="25">
        <v>13.62</v>
      </c>
    </row>
    <row r="410" spans="1:5" x14ac:dyDescent="0.35">
      <c r="A410" s="21">
        <v>198707</v>
      </c>
      <c r="B410" s="22">
        <v>3.32</v>
      </c>
      <c r="C410" s="22">
        <v>26.65</v>
      </c>
      <c r="D410" s="22">
        <v>1.46</v>
      </c>
      <c r="E410" s="26">
        <v>15.28</v>
      </c>
    </row>
    <row r="411" spans="1:5" x14ac:dyDescent="0.35">
      <c r="A411" s="23">
        <v>198708</v>
      </c>
      <c r="B411" s="24">
        <v>3.33</v>
      </c>
      <c r="C411" s="24">
        <v>25.27</v>
      </c>
      <c r="D411" s="24">
        <v>0.28999999999999998</v>
      </c>
      <c r="E411" s="25">
        <v>15.62</v>
      </c>
    </row>
    <row r="412" spans="1:5" x14ac:dyDescent="0.35">
      <c r="A412" s="21">
        <v>198709</v>
      </c>
      <c r="B412" s="22">
        <v>3.37</v>
      </c>
      <c r="C412" s="22">
        <v>25.01</v>
      </c>
      <c r="D412" s="22">
        <v>1.22</v>
      </c>
      <c r="E412" s="26">
        <v>17.02</v>
      </c>
    </row>
    <row r="413" spans="1:5" x14ac:dyDescent="0.35">
      <c r="A413" s="23">
        <v>198710</v>
      </c>
      <c r="B413" s="24">
        <v>3.44</v>
      </c>
      <c r="C413" s="24">
        <v>24.8</v>
      </c>
      <c r="D413" s="24">
        <v>1.88</v>
      </c>
      <c r="E413" s="25">
        <v>19.23</v>
      </c>
    </row>
    <row r="414" spans="1:5" x14ac:dyDescent="0.35">
      <c r="A414" s="21">
        <v>198711</v>
      </c>
      <c r="B414" s="22">
        <v>3.51</v>
      </c>
      <c r="C414" s="22">
        <v>24.73</v>
      </c>
      <c r="D414" s="22">
        <v>2.11</v>
      </c>
      <c r="E414" s="26">
        <v>21.74</v>
      </c>
    </row>
    <row r="415" spans="1:5" x14ac:dyDescent="0.35">
      <c r="A415" s="23">
        <v>198712</v>
      </c>
      <c r="B415" s="24">
        <v>3.58</v>
      </c>
      <c r="C415" s="24">
        <v>24.02</v>
      </c>
      <c r="D415" s="24">
        <v>1.87</v>
      </c>
      <c r="E415" s="25">
        <v>24.02</v>
      </c>
    </row>
    <row r="416" spans="1:5" x14ac:dyDescent="0.35">
      <c r="A416" s="21">
        <v>198801</v>
      </c>
      <c r="B416" s="22">
        <v>3.68</v>
      </c>
      <c r="C416" s="22">
        <v>23.7</v>
      </c>
      <c r="D416" s="22">
        <v>3</v>
      </c>
      <c r="E416" s="26">
        <v>3</v>
      </c>
    </row>
    <row r="417" spans="1:5" x14ac:dyDescent="0.35">
      <c r="A417" s="23">
        <v>198802</v>
      </c>
      <c r="B417" s="24">
        <v>3.83</v>
      </c>
      <c r="C417" s="24">
        <v>26.13</v>
      </c>
      <c r="D417" s="24">
        <v>4.03</v>
      </c>
      <c r="E417" s="25">
        <v>7.16</v>
      </c>
    </row>
    <row r="418" spans="1:5" x14ac:dyDescent="0.35">
      <c r="A418" s="21">
        <v>198803</v>
      </c>
      <c r="B418" s="22">
        <v>3.94</v>
      </c>
      <c r="C418" s="22">
        <v>26.36</v>
      </c>
      <c r="D418" s="22">
        <v>2.89</v>
      </c>
      <c r="E418" s="26">
        <v>10.26</v>
      </c>
    </row>
    <row r="419" spans="1:5" x14ac:dyDescent="0.35">
      <c r="A419" s="23">
        <v>198804</v>
      </c>
      <c r="B419" s="24">
        <v>4.0999999999999996</v>
      </c>
      <c r="C419" s="24">
        <v>28.41</v>
      </c>
      <c r="D419" s="24">
        <v>3.91</v>
      </c>
      <c r="E419" s="25">
        <v>14.57</v>
      </c>
    </row>
    <row r="420" spans="1:5" x14ac:dyDescent="0.35">
      <c r="A420" s="21">
        <v>198805</v>
      </c>
      <c r="B420" s="22">
        <v>4.17</v>
      </c>
      <c r="C420" s="22">
        <v>28.44</v>
      </c>
      <c r="D420" s="22">
        <v>1.73</v>
      </c>
      <c r="E420" s="26">
        <v>16.55</v>
      </c>
    </row>
    <row r="421" spans="1:5" x14ac:dyDescent="0.35">
      <c r="A421" s="23">
        <v>198806</v>
      </c>
      <c r="B421" s="24">
        <v>4.2699999999999996</v>
      </c>
      <c r="C421" s="24">
        <v>30.27</v>
      </c>
      <c r="D421" s="24">
        <v>2.4</v>
      </c>
      <c r="E421" s="25">
        <v>19.350000000000001</v>
      </c>
    </row>
    <row r="422" spans="1:5" x14ac:dyDescent="0.35">
      <c r="A422" s="21">
        <v>198807</v>
      </c>
      <c r="B422" s="22">
        <v>4.33</v>
      </c>
      <c r="C422" s="22">
        <v>30.26</v>
      </c>
      <c r="D422" s="22">
        <v>1.45</v>
      </c>
      <c r="E422" s="26">
        <v>21.07</v>
      </c>
    </row>
    <row r="423" spans="1:5" x14ac:dyDescent="0.35">
      <c r="A423" s="23">
        <v>198808</v>
      </c>
      <c r="B423" s="24">
        <v>4.32</v>
      </c>
      <c r="C423" s="24">
        <v>29.65</v>
      </c>
      <c r="D423" s="24">
        <v>-0.18</v>
      </c>
      <c r="E423" s="25">
        <v>20.86</v>
      </c>
    </row>
    <row r="424" spans="1:5" x14ac:dyDescent="0.35">
      <c r="A424" s="21">
        <v>198809</v>
      </c>
      <c r="B424" s="22">
        <v>4.3499999999999996</v>
      </c>
      <c r="C424" s="22">
        <v>29</v>
      </c>
      <c r="D424" s="22">
        <v>0.71</v>
      </c>
      <c r="E424" s="26">
        <v>21.72</v>
      </c>
    </row>
    <row r="425" spans="1:5" x14ac:dyDescent="0.35">
      <c r="A425" s="23">
        <v>198810</v>
      </c>
      <c r="B425" s="24">
        <v>4.42</v>
      </c>
      <c r="C425" s="24">
        <v>28.59</v>
      </c>
      <c r="D425" s="24">
        <v>1.56</v>
      </c>
      <c r="E425" s="25">
        <v>23.62</v>
      </c>
    </row>
    <row r="426" spans="1:5" x14ac:dyDescent="0.35">
      <c r="A426" s="21">
        <v>198811</v>
      </c>
      <c r="B426" s="22">
        <v>4.4800000000000004</v>
      </c>
      <c r="C426" s="22">
        <v>27.68</v>
      </c>
      <c r="D426" s="22">
        <v>1.39</v>
      </c>
      <c r="E426" s="26">
        <v>25.33</v>
      </c>
    </row>
    <row r="427" spans="1:5" x14ac:dyDescent="0.35">
      <c r="A427" s="23">
        <v>198812</v>
      </c>
      <c r="B427" s="24">
        <v>4.58</v>
      </c>
      <c r="C427" s="24">
        <v>28.12</v>
      </c>
      <c r="D427" s="24">
        <v>2.23</v>
      </c>
      <c r="E427" s="25">
        <v>28.12</v>
      </c>
    </row>
    <row r="428" spans="1:5" x14ac:dyDescent="0.35">
      <c r="A428" s="21">
        <v>198901</v>
      </c>
      <c r="B428" s="22">
        <v>4.71</v>
      </c>
      <c r="C428" s="22">
        <v>27.91</v>
      </c>
      <c r="D428" s="22">
        <v>2.83</v>
      </c>
      <c r="E428" s="26">
        <v>2.83</v>
      </c>
    </row>
    <row r="429" spans="1:5" x14ac:dyDescent="0.35">
      <c r="A429" s="23">
        <v>198902</v>
      </c>
      <c r="B429" s="24">
        <v>4.87</v>
      </c>
      <c r="C429" s="24">
        <v>27.03</v>
      </c>
      <c r="D429" s="24">
        <v>3.32</v>
      </c>
      <c r="E429" s="25">
        <v>6.25</v>
      </c>
    </row>
    <row r="430" spans="1:5" x14ac:dyDescent="0.35">
      <c r="A430" s="21">
        <v>198903</v>
      </c>
      <c r="B430" s="22">
        <v>4.99</v>
      </c>
      <c r="C430" s="22">
        <v>26.53</v>
      </c>
      <c r="D430" s="22">
        <v>2.48</v>
      </c>
      <c r="E430" s="26">
        <v>8.89</v>
      </c>
    </row>
    <row r="431" spans="1:5" x14ac:dyDescent="0.35">
      <c r="A431" s="23">
        <v>198904</v>
      </c>
      <c r="B431" s="24">
        <v>5.12</v>
      </c>
      <c r="C431" s="24">
        <v>24.85</v>
      </c>
      <c r="D431" s="24">
        <v>2.5299999999999998</v>
      </c>
      <c r="E431" s="25">
        <v>11.64</v>
      </c>
    </row>
    <row r="432" spans="1:5" x14ac:dyDescent="0.35">
      <c r="A432" s="21">
        <v>198905</v>
      </c>
      <c r="B432" s="22">
        <v>5.21</v>
      </c>
      <c r="C432" s="22">
        <v>24.88</v>
      </c>
      <c r="D432" s="22">
        <v>1.75</v>
      </c>
      <c r="E432" s="26">
        <v>13.6</v>
      </c>
    </row>
    <row r="433" spans="1:5" x14ac:dyDescent="0.35">
      <c r="A433" s="23">
        <v>198906</v>
      </c>
      <c r="B433" s="24">
        <v>5.28</v>
      </c>
      <c r="C433" s="24">
        <v>23.63</v>
      </c>
      <c r="D433" s="24">
        <v>1.37</v>
      </c>
      <c r="E433" s="25">
        <v>15.16</v>
      </c>
    </row>
    <row r="434" spans="1:5" x14ac:dyDescent="0.35">
      <c r="A434" s="21">
        <v>198907</v>
      </c>
      <c r="B434" s="22">
        <v>5.36</v>
      </c>
      <c r="C434" s="22">
        <v>23.76</v>
      </c>
      <c r="D434" s="22">
        <v>1.54</v>
      </c>
      <c r="E434" s="26">
        <v>16.95</v>
      </c>
    </row>
    <row r="435" spans="1:5" x14ac:dyDescent="0.35">
      <c r="A435" s="23">
        <v>198908</v>
      </c>
      <c r="B435" s="24">
        <v>5.43</v>
      </c>
      <c r="C435" s="24">
        <v>25.69</v>
      </c>
      <c r="D435" s="24">
        <v>1.38</v>
      </c>
      <c r="E435" s="25">
        <v>18.559999999999999</v>
      </c>
    </row>
    <row r="436" spans="1:5" x14ac:dyDescent="0.35">
      <c r="A436" s="21">
        <v>198909</v>
      </c>
      <c r="B436" s="22">
        <v>5.51</v>
      </c>
      <c r="C436" s="22">
        <v>26.55</v>
      </c>
      <c r="D436" s="22">
        <v>1.39</v>
      </c>
      <c r="E436" s="26">
        <v>20.22</v>
      </c>
    </row>
    <row r="437" spans="1:5" x14ac:dyDescent="0.35">
      <c r="A437" s="23">
        <v>198910</v>
      </c>
      <c r="B437" s="24">
        <v>5.6</v>
      </c>
      <c r="C437" s="24">
        <v>26.61</v>
      </c>
      <c r="D437" s="24">
        <v>1.6</v>
      </c>
      <c r="E437" s="25">
        <v>22.15</v>
      </c>
    </row>
    <row r="438" spans="1:5" x14ac:dyDescent="0.35">
      <c r="A438" s="21">
        <v>198911</v>
      </c>
      <c r="B438" s="22">
        <v>5.7</v>
      </c>
      <c r="C438" s="22">
        <v>27.09</v>
      </c>
      <c r="D438" s="22">
        <v>1.78</v>
      </c>
      <c r="E438" s="26">
        <v>24.32</v>
      </c>
    </row>
    <row r="439" spans="1:5" x14ac:dyDescent="0.35">
      <c r="A439" s="23">
        <v>198912</v>
      </c>
      <c r="B439" s="24">
        <v>5.78</v>
      </c>
      <c r="C439" s="24">
        <v>26.12</v>
      </c>
      <c r="D439" s="24">
        <v>1.44</v>
      </c>
      <c r="E439" s="25">
        <v>26.12</v>
      </c>
    </row>
    <row r="440" spans="1:5" x14ac:dyDescent="0.35">
      <c r="A440" s="21">
        <v>199001</v>
      </c>
      <c r="B440" s="22">
        <v>5.97</v>
      </c>
      <c r="C440" s="22">
        <v>26.69</v>
      </c>
      <c r="D440" s="22">
        <v>3.3</v>
      </c>
      <c r="E440" s="26">
        <v>3.3</v>
      </c>
    </row>
    <row r="441" spans="1:5" x14ac:dyDescent="0.35">
      <c r="A441" s="23">
        <v>199002</v>
      </c>
      <c r="B441" s="24">
        <v>6.19</v>
      </c>
      <c r="C441" s="24">
        <v>27.12</v>
      </c>
      <c r="D441" s="24">
        <v>3.66</v>
      </c>
      <c r="E441" s="25">
        <v>7.09</v>
      </c>
    </row>
    <row r="442" spans="1:5" x14ac:dyDescent="0.35">
      <c r="A442" s="21">
        <v>199003</v>
      </c>
      <c r="B442" s="22">
        <v>6.37</v>
      </c>
      <c r="C442" s="22">
        <v>27.63</v>
      </c>
      <c r="D442" s="22">
        <v>2.89</v>
      </c>
      <c r="E442" s="26">
        <v>10.19</v>
      </c>
    </row>
    <row r="443" spans="1:5" x14ac:dyDescent="0.35">
      <c r="A443" s="23">
        <v>199004</v>
      </c>
      <c r="B443" s="24">
        <v>6.55</v>
      </c>
      <c r="C443" s="24">
        <v>27.98</v>
      </c>
      <c r="D443" s="24">
        <v>2.81</v>
      </c>
      <c r="E443" s="25">
        <v>13.29</v>
      </c>
    </row>
    <row r="444" spans="1:5" x14ac:dyDescent="0.35">
      <c r="A444" s="21">
        <v>199005</v>
      </c>
      <c r="B444" s="22">
        <v>6.68</v>
      </c>
      <c r="C444" s="22">
        <v>28.24</v>
      </c>
      <c r="D444" s="22">
        <v>1.95</v>
      </c>
      <c r="E444" s="26">
        <v>15.51</v>
      </c>
    </row>
    <row r="445" spans="1:5" x14ac:dyDescent="0.35">
      <c r="A445" s="23">
        <v>199006</v>
      </c>
      <c r="B445" s="24">
        <v>6.81</v>
      </c>
      <c r="C445" s="24">
        <v>28.97</v>
      </c>
      <c r="D445" s="24">
        <v>1.95</v>
      </c>
      <c r="E445" s="25">
        <v>17.77</v>
      </c>
    </row>
    <row r="446" spans="1:5" x14ac:dyDescent="0.35">
      <c r="A446" s="21">
        <v>199007</v>
      </c>
      <c r="B446" s="22">
        <v>6.9</v>
      </c>
      <c r="C446" s="22">
        <v>28.72</v>
      </c>
      <c r="D446" s="22">
        <v>1.35</v>
      </c>
      <c r="E446" s="26">
        <v>19.36</v>
      </c>
    </row>
    <row r="447" spans="1:5" x14ac:dyDescent="0.35">
      <c r="A447" s="23">
        <v>199008</v>
      </c>
      <c r="B447" s="24">
        <v>7.01</v>
      </c>
      <c r="C447" s="24">
        <v>28.98</v>
      </c>
      <c r="D447" s="24">
        <v>1.58</v>
      </c>
      <c r="E447" s="25">
        <v>21.26</v>
      </c>
    </row>
    <row r="448" spans="1:5" x14ac:dyDescent="0.35">
      <c r="A448" s="21">
        <v>199009</v>
      </c>
      <c r="B448" s="22">
        <v>7.18</v>
      </c>
      <c r="C448" s="22">
        <v>30.24</v>
      </c>
      <c r="D448" s="22">
        <v>2.37</v>
      </c>
      <c r="E448" s="26">
        <v>24.14</v>
      </c>
    </row>
    <row r="449" spans="1:5" x14ac:dyDescent="0.35">
      <c r="A449" s="23">
        <v>199010</v>
      </c>
      <c r="B449" s="24">
        <v>7.31</v>
      </c>
      <c r="C449" s="24">
        <v>30.65</v>
      </c>
      <c r="D449" s="24">
        <v>1.92</v>
      </c>
      <c r="E449" s="25">
        <v>26.54</v>
      </c>
    </row>
    <row r="450" spans="1:5" x14ac:dyDescent="0.35">
      <c r="A450" s="21">
        <v>199011</v>
      </c>
      <c r="B450" s="22">
        <v>7.46</v>
      </c>
      <c r="C450" s="22">
        <v>30.97</v>
      </c>
      <c r="D450" s="22">
        <v>2.0299999999999998</v>
      </c>
      <c r="E450" s="26">
        <v>29.11</v>
      </c>
    </row>
    <row r="451" spans="1:5" x14ac:dyDescent="0.35">
      <c r="A451" s="23">
        <v>199012</v>
      </c>
      <c r="B451" s="24">
        <v>7.65</v>
      </c>
      <c r="C451" s="24">
        <v>32.36</v>
      </c>
      <c r="D451" s="24">
        <v>2.52</v>
      </c>
      <c r="E451" s="25">
        <v>32.36</v>
      </c>
    </row>
    <row r="452" spans="1:5" x14ac:dyDescent="0.35">
      <c r="A452" s="21">
        <v>199101</v>
      </c>
      <c r="B452" s="22">
        <v>7.88</v>
      </c>
      <c r="C452" s="22">
        <v>31.98</v>
      </c>
      <c r="D452" s="22">
        <v>3</v>
      </c>
      <c r="E452" s="26">
        <v>3</v>
      </c>
    </row>
    <row r="453" spans="1:5" x14ac:dyDescent="0.35">
      <c r="A453" s="23">
        <v>199102</v>
      </c>
      <c r="B453" s="24">
        <v>8.15</v>
      </c>
      <c r="C453" s="24">
        <v>31.65</v>
      </c>
      <c r="D453" s="24">
        <v>3.41</v>
      </c>
      <c r="E453" s="25">
        <v>6.51</v>
      </c>
    </row>
    <row r="454" spans="1:5" x14ac:dyDescent="0.35">
      <c r="A454" s="21">
        <v>199103</v>
      </c>
      <c r="B454" s="22">
        <v>8.36</v>
      </c>
      <c r="C454" s="22">
        <v>31.18</v>
      </c>
      <c r="D454" s="22">
        <v>2.52</v>
      </c>
      <c r="E454" s="26">
        <v>9.2100000000000009</v>
      </c>
    </row>
    <row r="455" spans="1:5" x14ac:dyDescent="0.35">
      <c r="A455" s="23">
        <v>199104</v>
      </c>
      <c r="B455" s="24">
        <v>8.59</v>
      </c>
      <c r="C455" s="24">
        <v>31.16</v>
      </c>
      <c r="D455" s="24">
        <v>2.8</v>
      </c>
      <c r="E455" s="25">
        <v>12.27</v>
      </c>
    </row>
    <row r="456" spans="1:5" x14ac:dyDescent="0.35">
      <c r="A456" s="21">
        <v>199105</v>
      </c>
      <c r="B456" s="22">
        <v>8.7799999999999994</v>
      </c>
      <c r="C456" s="22">
        <v>31.49</v>
      </c>
      <c r="D456" s="22">
        <v>2.2000000000000002</v>
      </c>
      <c r="E456" s="26">
        <v>14.74</v>
      </c>
    </row>
    <row r="457" spans="1:5" x14ac:dyDescent="0.35">
      <c r="A457" s="23">
        <v>199106</v>
      </c>
      <c r="B457" s="24">
        <v>8.92</v>
      </c>
      <c r="C457" s="24">
        <v>31</v>
      </c>
      <c r="D457" s="24">
        <v>1.58</v>
      </c>
      <c r="E457" s="25">
        <v>16.559999999999999</v>
      </c>
    </row>
    <row r="458" spans="1:5" x14ac:dyDescent="0.35">
      <c r="A458" s="21">
        <v>199107</v>
      </c>
      <c r="B458" s="22">
        <v>9.08</v>
      </c>
      <c r="C458" s="22">
        <v>31.6</v>
      </c>
      <c r="D458" s="22">
        <v>1.81</v>
      </c>
      <c r="E458" s="26">
        <v>18.68</v>
      </c>
    </row>
    <row r="459" spans="1:5" x14ac:dyDescent="0.35">
      <c r="A459" s="23">
        <v>199108</v>
      </c>
      <c r="B459" s="24">
        <v>9.1999999999999993</v>
      </c>
      <c r="C459" s="24">
        <v>31.2</v>
      </c>
      <c r="D459" s="24">
        <v>1.27</v>
      </c>
      <c r="E459" s="25">
        <v>20.190000000000001</v>
      </c>
    </row>
    <row r="460" spans="1:5" x14ac:dyDescent="0.35">
      <c r="A460" s="21">
        <v>199109</v>
      </c>
      <c r="B460" s="22">
        <v>9.33</v>
      </c>
      <c r="C460" s="22">
        <v>30.01</v>
      </c>
      <c r="D460" s="22">
        <v>1.45</v>
      </c>
      <c r="E460" s="26">
        <v>21.94</v>
      </c>
    </row>
    <row r="461" spans="1:5" x14ac:dyDescent="0.35">
      <c r="A461" s="23">
        <v>199110</v>
      </c>
      <c r="B461" s="24">
        <v>9.4499999999999993</v>
      </c>
      <c r="C461" s="24">
        <v>29.25</v>
      </c>
      <c r="D461" s="24">
        <v>1.32</v>
      </c>
      <c r="E461" s="25">
        <v>23.56</v>
      </c>
    </row>
    <row r="462" spans="1:5" x14ac:dyDescent="0.35">
      <c r="A462" s="21">
        <v>199111</v>
      </c>
      <c r="B462" s="22">
        <v>9.57</v>
      </c>
      <c r="C462" s="22">
        <v>28.22</v>
      </c>
      <c r="D462" s="22">
        <v>1.22</v>
      </c>
      <c r="E462" s="26">
        <v>25.06</v>
      </c>
    </row>
    <row r="463" spans="1:5" x14ac:dyDescent="0.35">
      <c r="A463" s="23">
        <v>199112</v>
      </c>
      <c r="B463" s="24">
        <v>9.6999999999999993</v>
      </c>
      <c r="C463" s="24">
        <v>26.82</v>
      </c>
      <c r="D463" s="24">
        <v>1.4</v>
      </c>
      <c r="E463" s="25">
        <v>26.82</v>
      </c>
    </row>
    <row r="464" spans="1:5" x14ac:dyDescent="0.35">
      <c r="A464" s="21">
        <v>199201</v>
      </c>
      <c r="B464" s="22">
        <v>10.039999999999999</v>
      </c>
      <c r="C464" s="22">
        <v>27.43</v>
      </c>
      <c r="D464" s="22">
        <v>3.49</v>
      </c>
      <c r="E464" s="26">
        <v>3.49</v>
      </c>
    </row>
    <row r="465" spans="1:5" x14ac:dyDescent="0.35">
      <c r="A465" s="23">
        <v>199202</v>
      </c>
      <c r="B465" s="24">
        <v>10.38</v>
      </c>
      <c r="C465" s="24">
        <v>27.35</v>
      </c>
      <c r="D465" s="24">
        <v>3.34</v>
      </c>
      <c r="E465" s="25">
        <v>6.96</v>
      </c>
    </row>
    <row r="466" spans="1:5" x14ac:dyDescent="0.35">
      <c r="A466" s="21">
        <v>199203</v>
      </c>
      <c r="B466" s="22">
        <v>10.62</v>
      </c>
      <c r="C466" s="22">
        <v>27.08</v>
      </c>
      <c r="D466" s="22">
        <v>2.31</v>
      </c>
      <c r="E466" s="26">
        <v>9.43</v>
      </c>
    </row>
    <row r="467" spans="1:5" x14ac:dyDescent="0.35">
      <c r="A467" s="23">
        <v>199204</v>
      </c>
      <c r="B467" s="24">
        <v>10.92</v>
      </c>
      <c r="C467" s="24">
        <v>27.15</v>
      </c>
      <c r="D467" s="24">
        <v>2.85</v>
      </c>
      <c r="E467" s="25">
        <v>12.56</v>
      </c>
    </row>
    <row r="468" spans="1:5" x14ac:dyDescent="0.35">
      <c r="A468" s="21">
        <v>199205</v>
      </c>
      <c r="B468" s="22">
        <v>11.18</v>
      </c>
      <c r="C468" s="22">
        <v>27.3</v>
      </c>
      <c r="D468" s="22">
        <v>2.3199999999999998</v>
      </c>
      <c r="E468" s="26">
        <v>15.18</v>
      </c>
    </row>
    <row r="469" spans="1:5" x14ac:dyDescent="0.35">
      <c r="A469" s="23">
        <v>199206</v>
      </c>
      <c r="B469" s="24">
        <v>11.43</v>
      </c>
      <c r="C469" s="24">
        <v>28.13</v>
      </c>
      <c r="D469" s="24">
        <v>2.2400000000000002</v>
      </c>
      <c r="E469" s="25">
        <v>17.760000000000002</v>
      </c>
    </row>
    <row r="470" spans="1:5" x14ac:dyDescent="0.35">
      <c r="A470" s="21">
        <v>199207</v>
      </c>
      <c r="B470" s="22">
        <v>11.66</v>
      </c>
      <c r="C470" s="22">
        <v>28.36</v>
      </c>
      <c r="D470" s="22">
        <v>1.99</v>
      </c>
      <c r="E470" s="26">
        <v>20.12</v>
      </c>
    </row>
    <row r="471" spans="1:5" x14ac:dyDescent="0.35">
      <c r="A471" s="23">
        <v>199208</v>
      </c>
      <c r="B471" s="24">
        <v>11.74</v>
      </c>
      <c r="C471" s="24">
        <v>27.7</v>
      </c>
      <c r="D471" s="24">
        <v>0.75</v>
      </c>
      <c r="E471" s="25">
        <v>21.02</v>
      </c>
    </row>
    <row r="472" spans="1:5" x14ac:dyDescent="0.35">
      <c r="A472" s="21">
        <v>199209</v>
      </c>
      <c r="B472" s="22">
        <v>11.84</v>
      </c>
      <c r="C472" s="22">
        <v>26.92</v>
      </c>
      <c r="D472" s="22">
        <v>0.83</v>
      </c>
      <c r="E472" s="26">
        <v>22.03</v>
      </c>
    </row>
    <row r="473" spans="1:5" x14ac:dyDescent="0.35">
      <c r="A473" s="23">
        <v>199210</v>
      </c>
      <c r="B473" s="24">
        <v>11.94</v>
      </c>
      <c r="C473" s="24">
        <v>26.32</v>
      </c>
      <c r="D473" s="24">
        <v>0.85</v>
      </c>
      <c r="E473" s="25">
        <v>23.07</v>
      </c>
    </row>
    <row r="474" spans="1:5" x14ac:dyDescent="0.35">
      <c r="A474" s="21">
        <v>199211</v>
      </c>
      <c r="B474" s="22">
        <v>12.03</v>
      </c>
      <c r="C474" s="22">
        <v>25.7</v>
      </c>
      <c r="D474" s="22">
        <v>0.72</v>
      </c>
      <c r="E474" s="26">
        <v>23.96</v>
      </c>
    </row>
    <row r="475" spans="1:5" x14ac:dyDescent="0.35">
      <c r="A475" s="23">
        <v>199212</v>
      </c>
      <c r="B475" s="24">
        <v>12.14</v>
      </c>
      <c r="C475" s="24">
        <v>25.13</v>
      </c>
      <c r="D475" s="24">
        <v>0.94</v>
      </c>
      <c r="E475" s="25">
        <v>25.13</v>
      </c>
    </row>
    <row r="476" spans="1:5" x14ac:dyDescent="0.35">
      <c r="A476" s="21">
        <v>199301</v>
      </c>
      <c r="B476" s="22">
        <v>12.54</v>
      </c>
      <c r="C476" s="22">
        <v>24.82</v>
      </c>
      <c r="D476" s="22">
        <v>3.24</v>
      </c>
      <c r="E476" s="26">
        <v>3.24</v>
      </c>
    </row>
    <row r="477" spans="1:5" x14ac:dyDescent="0.35">
      <c r="A477" s="23">
        <v>199302</v>
      </c>
      <c r="B477" s="24">
        <v>12.94</v>
      </c>
      <c r="C477" s="24">
        <v>24.71</v>
      </c>
      <c r="D477" s="24">
        <v>3.25</v>
      </c>
      <c r="E477" s="25">
        <v>6.6</v>
      </c>
    </row>
    <row r="478" spans="1:5" x14ac:dyDescent="0.35">
      <c r="A478" s="21">
        <v>199303</v>
      </c>
      <c r="B478" s="22">
        <v>13.19</v>
      </c>
      <c r="C478" s="22">
        <v>24.18</v>
      </c>
      <c r="D478" s="22">
        <v>1.87</v>
      </c>
      <c r="E478" s="26">
        <v>8.6</v>
      </c>
    </row>
    <row r="479" spans="1:5" x14ac:dyDescent="0.35">
      <c r="A479" s="23">
        <v>199304</v>
      </c>
      <c r="B479" s="24">
        <v>13.44</v>
      </c>
      <c r="C479" s="24">
        <v>23.08</v>
      </c>
      <c r="D479" s="24">
        <v>1.94</v>
      </c>
      <c r="E479" s="25">
        <v>10.71</v>
      </c>
    </row>
    <row r="480" spans="1:5" x14ac:dyDescent="0.35">
      <c r="A480" s="21">
        <v>199305</v>
      </c>
      <c r="B480" s="22">
        <v>13.66</v>
      </c>
      <c r="C480" s="22">
        <v>22.21</v>
      </c>
      <c r="D480" s="22">
        <v>1.6</v>
      </c>
      <c r="E480" s="26">
        <v>12.49</v>
      </c>
    </row>
    <row r="481" spans="1:5" x14ac:dyDescent="0.35">
      <c r="A481" s="23">
        <v>199306</v>
      </c>
      <c r="B481" s="24">
        <v>13.87</v>
      </c>
      <c r="C481" s="24">
        <v>21.38</v>
      </c>
      <c r="D481" s="24">
        <v>1.54</v>
      </c>
      <c r="E481" s="25">
        <v>14.23</v>
      </c>
    </row>
    <row r="482" spans="1:5" x14ac:dyDescent="0.35">
      <c r="A482" s="21">
        <v>199307</v>
      </c>
      <c r="B482" s="22">
        <v>14.04</v>
      </c>
      <c r="C482" s="22">
        <v>20.46</v>
      </c>
      <c r="D482" s="22">
        <v>1.23</v>
      </c>
      <c r="E482" s="26">
        <v>15.64</v>
      </c>
    </row>
    <row r="483" spans="1:5" x14ac:dyDescent="0.35">
      <c r="A483" s="23">
        <v>199308</v>
      </c>
      <c r="B483" s="24">
        <v>14.22</v>
      </c>
      <c r="C483" s="24">
        <v>21.07</v>
      </c>
      <c r="D483" s="24">
        <v>1.25</v>
      </c>
      <c r="E483" s="25">
        <v>17.100000000000001</v>
      </c>
    </row>
    <row r="484" spans="1:5" x14ac:dyDescent="0.35">
      <c r="A484" s="21">
        <v>199309</v>
      </c>
      <c r="B484" s="22">
        <v>14.38</v>
      </c>
      <c r="C484" s="22">
        <v>21.43</v>
      </c>
      <c r="D484" s="22">
        <v>1.1200000000000001</v>
      </c>
      <c r="E484" s="26">
        <v>18.420000000000002</v>
      </c>
    </row>
    <row r="485" spans="1:5" x14ac:dyDescent="0.35">
      <c r="A485" s="23">
        <v>199310</v>
      </c>
      <c r="B485" s="24">
        <v>14.53</v>
      </c>
      <c r="C485" s="24">
        <v>21.69</v>
      </c>
      <c r="D485" s="24">
        <v>1.06</v>
      </c>
      <c r="E485" s="25">
        <v>19.68</v>
      </c>
    </row>
    <row r="486" spans="1:5" x14ac:dyDescent="0.35">
      <c r="A486" s="21">
        <v>199311</v>
      </c>
      <c r="B486" s="22">
        <v>14.72</v>
      </c>
      <c r="C486" s="22">
        <v>22.37</v>
      </c>
      <c r="D486" s="22">
        <v>1.29</v>
      </c>
      <c r="E486" s="26">
        <v>21.23</v>
      </c>
    </row>
    <row r="487" spans="1:5" x14ac:dyDescent="0.35">
      <c r="A487" s="23">
        <v>199312</v>
      </c>
      <c r="B487" s="24">
        <v>14.89</v>
      </c>
      <c r="C487" s="24">
        <v>22.6</v>
      </c>
      <c r="D487" s="24">
        <v>1.1299999999999999</v>
      </c>
      <c r="E487" s="25">
        <v>22.6</v>
      </c>
    </row>
    <row r="488" spans="1:5" x14ac:dyDescent="0.35">
      <c r="A488" s="21">
        <v>199401</v>
      </c>
      <c r="B488" s="22">
        <v>15.36</v>
      </c>
      <c r="C488" s="22">
        <v>22.5</v>
      </c>
      <c r="D488" s="22">
        <v>3.15</v>
      </c>
      <c r="E488" s="26">
        <v>3.15</v>
      </c>
    </row>
    <row r="489" spans="1:5" x14ac:dyDescent="0.35">
      <c r="A489" s="23">
        <v>199402</v>
      </c>
      <c r="B489" s="24">
        <v>15.92</v>
      </c>
      <c r="C489" s="24">
        <v>23.01</v>
      </c>
      <c r="D489" s="24">
        <v>3.68</v>
      </c>
      <c r="E489" s="25">
        <v>6.95</v>
      </c>
    </row>
    <row r="490" spans="1:5" x14ac:dyDescent="0.35">
      <c r="A490" s="21">
        <v>199403</v>
      </c>
      <c r="B490" s="22">
        <v>16.27</v>
      </c>
      <c r="C490" s="22">
        <v>23.41</v>
      </c>
      <c r="D490" s="22">
        <v>2.21</v>
      </c>
      <c r="E490" s="26">
        <v>9.32</v>
      </c>
    </row>
    <row r="491" spans="1:5" x14ac:dyDescent="0.35">
      <c r="A491" s="23">
        <v>199404</v>
      </c>
      <c r="B491" s="24">
        <v>16.66</v>
      </c>
      <c r="C491" s="24">
        <v>23.94</v>
      </c>
      <c r="D491" s="24">
        <v>2.37</v>
      </c>
      <c r="E491" s="25">
        <v>11.92</v>
      </c>
    </row>
    <row r="492" spans="1:5" x14ac:dyDescent="0.35">
      <c r="A492" s="21">
        <v>199405</v>
      </c>
      <c r="B492" s="22">
        <v>16.920000000000002</v>
      </c>
      <c r="C492" s="22">
        <v>23.86</v>
      </c>
      <c r="D492" s="22">
        <v>1.54</v>
      </c>
      <c r="E492" s="26">
        <v>13.65</v>
      </c>
    </row>
    <row r="493" spans="1:5" x14ac:dyDescent="0.35">
      <c r="A493" s="23">
        <v>199406</v>
      </c>
      <c r="B493" s="24">
        <v>17.07</v>
      </c>
      <c r="C493" s="24">
        <v>23.08</v>
      </c>
      <c r="D493" s="24">
        <v>0.9</v>
      </c>
      <c r="E493" s="25">
        <v>14.68</v>
      </c>
    </row>
    <row r="494" spans="1:5" x14ac:dyDescent="0.35">
      <c r="A494" s="21">
        <v>199407</v>
      </c>
      <c r="B494" s="22">
        <v>17.23</v>
      </c>
      <c r="C494" s="22">
        <v>22.69</v>
      </c>
      <c r="D494" s="22">
        <v>0.91</v>
      </c>
      <c r="E494" s="26">
        <v>15.73</v>
      </c>
    </row>
    <row r="495" spans="1:5" x14ac:dyDescent="0.35">
      <c r="A495" s="23">
        <v>199408</v>
      </c>
      <c r="B495" s="24">
        <v>17.399999999999999</v>
      </c>
      <c r="C495" s="24">
        <v>22.35</v>
      </c>
      <c r="D495" s="24">
        <v>0.97</v>
      </c>
      <c r="E495" s="25">
        <v>16.86</v>
      </c>
    </row>
    <row r="496" spans="1:5" x14ac:dyDescent="0.35">
      <c r="A496" s="21">
        <v>199409</v>
      </c>
      <c r="B496" s="22">
        <v>17.59</v>
      </c>
      <c r="C496" s="22">
        <v>22.31</v>
      </c>
      <c r="D496" s="22">
        <v>1.0900000000000001</v>
      </c>
      <c r="E496" s="26">
        <v>18.14</v>
      </c>
    </row>
    <row r="497" spans="1:5" x14ac:dyDescent="0.35">
      <c r="A497" s="23">
        <v>199410</v>
      </c>
      <c r="B497" s="24">
        <v>17.78</v>
      </c>
      <c r="C497" s="24">
        <v>22.37</v>
      </c>
      <c r="D497" s="24">
        <v>1.1100000000000001</v>
      </c>
      <c r="E497" s="25">
        <v>19.46</v>
      </c>
    </row>
    <row r="498" spans="1:5" x14ac:dyDescent="0.35">
      <c r="A498" s="21">
        <v>199411</v>
      </c>
      <c r="B498" s="22">
        <v>17.98</v>
      </c>
      <c r="C498" s="22">
        <v>22.16</v>
      </c>
      <c r="D498" s="22">
        <v>1.1100000000000001</v>
      </c>
      <c r="E498" s="26">
        <v>20.79</v>
      </c>
    </row>
    <row r="499" spans="1:5" x14ac:dyDescent="0.35">
      <c r="A499" s="23">
        <v>199412</v>
      </c>
      <c r="B499" s="24">
        <v>18.25</v>
      </c>
      <c r="C499" s="24">
        <v>22.59</v>
      </c>
      <c r="D499" s="24">
        <v>1.49</v>
      </c>
      <c r="E499" s="25">
        <v>22.59</v>
      </c>
    </row>
    <row r="500" spans="1:5" x14ac:dyDescent="0.35">
      <c r="A500" s="21">
        <v>199501</v>
      </c>
      <c r="B500" s="22">
        <v>18.59</v>
      </c>
      <c r="C500" s="22">
        <v>21.04</v>
      </c>
      <c r="D500" s="22">
        <v>1.84</v>
      </c>
      <c r="E500" s="26">
        <v>1.84</v>
      </c>
    </row>
    <row r="501" spans="1:5" x14ac:dyDescent="0.35">
      <c r="A501" s="23">
        <v>199502</v>
      </c>
      <c r="B501" s="24">
        <v>19.239999999999998</v>
      </c>
      <c r="C501" s="24">
        <v>20.86</v>
      </c>
      <c r="D501" s="24">
        <v>3.52</v>
      </c>
      <c r="E501" s="25">
        <v>5.44</v>
      </c>
    </row>
    <row r="502" spans="1:5" x14ac:dyDescent="0.35">
      <c r="A502" s="21">
        <v>199503</v>
      </c>
      <c r="B502" s="22">
        <v>19.75</v>
      </c>
      <c r="C502" s="22">
        <v>21.33</v>
      </c>
      <c r="D502" s="22">
        <v>2.61</v>
      </c>
      <c r="E502" s="26">
        <v>8.1999999999999993</v>
      </c>
    </row>
    <row r="503" spans="1:5" x14ac:dyDescent="0.35">
      <c r="A503" s="23">
        <v>199504</v>
      </c>
      <c r="B503" s="24">
        <v>20.190000000000001</v>
      </c>
      <c r="C503" s="24">
        <v>21.17</v>
      </c>
      <c r="D503" s="24">
        <v>2.23</v>
      </c>
      <c r="E503" s="25">
        <v>10.62</v>
      </c>
    </row>
    <row r="504" spans="1:5" x14ac:dyDescent="0.35">
      <c r="A504" s="21">
        <v>199505</v>
      </c>
      <c r="B504" s="22">
        <v>20.52</v>
      </c>
      <c r="C504" s="22">
        <v>21.3</v>
      </c>
      <c r="D504" s="22">
        <v>1.65</v>
      </c>
      <c r="E504" s="26">
        <v>12.45</v>
      </c>
    </row>
    <row r="505" spans="1:5" x14ac:dyDescent="0.35">
      <c r="A505" s="23">
        <v>199506</v>
      </c>
      <c r="B505" s="24">
        <v>20.77</v>
      </c>
      <c r="C505" s="24">
        <v>21.66</v>
      </c>
      <c r="D505" s="24">
        <v>1.2</v>
      </c>
      <c r="E505" s="25">
        <v>13.81</v>
      </c>
    </row>
    <row r="506" spans="1:5" x14ac:dyDescent="0.35">
      <c r="A506" s="21">
        <v>199507</v>
      </c>
      <c r="B506" s="22">
        <v>20.93</v>
      </c>
      <c r="C506" s="22">
        <v>21.5</v>
      </c>
      <c r="D506" s="22">
        <v>0.77</v>
      </c>
      <c r="E506" s="26">
        <v>14.7</v>
      </c>
    </row>
    <row r="507" spans="1:5" x14ac:dyDescent="0.35">
      <c r="A507" s="23">
        <v>199508</v>
      </c>
      <c r="B507" s="24">
        <v>21.07</v>
      </c>
      <c r="C507" s="24">
        <v>21.09</v>
      </c>
      <c r="D507" s="24">
        <v>0.63</v>
      </c>
      <c r="E507" s="25">
        <v>15.43</v>
      </c>
    </row>
    <row r="508" spans="1:5" x14ac:dyDescent="0.35">
      <c r="A508" s="21">
        <v>199509</v>
      </c>
      <c r="B508" s="22">
        <v>21.24</v>
      </c>
      <c r="C508" s="22">
        <v>20.79</v>
      </c>
      <c r="D508" s="22">
        <v>0.84</v>
      </c>
      <c r="E508" s="26">
        <v>16.399999999999999</v>
      </c>
    </row>
    <row r="509" spans="1:5" x14ac:dyDescent="0.35">
      <c r="A509" s="23">
        <v>199510</v>
      </c>
      <c r="B509" s="24">
        <v>21.43</v>
      </c>
      <c r="C509" s="24">
        <v>20.52</v>
      </c>
      <c r="D509" s="24">
        <v>0.88</v>
      </c>
      <c r="E509" s="25">
        <v>17.440000000000001</v>
      </c>
    </row>
    <row r="510" spans="1:5" x14ac:dyDescent="0.35">
      <c r="A510" s="21">
        <v>199511</v>
      </c>
      <c r="B510" s="22">
        <v>21.6</v>
      </c>
      <c r="C510" s="22">
        <v>20.13</v>
      </c>
      <c r="D510" s="22">
        <v>0.79</v>
      </c>
      <c r="E510" s="26">
        <v>18.37</v>
      </c>
    </row>
    <row r="511" spans="1:5" x14ac:dyDescent="0.35">
      <c r="A511" s="23">
        <v>199512</v>
      </c>
      <c r="B511" s="24">
        <v>21.8</v>
      </c>
      <c r="C511" s="24">
        <v>19.46</v>
      </c>
      <c r="D511" s="24">
        <v>0.92</v>
      </c>
      <c r="E511" s="25">
        <v>19.46</v>
      </c>
    </row>
    <row r="512" spans="1:5" x14ac:dyDescent="0.35">
      <c r="A512" s="21">
        <v>199601</v>
      </c>
      <c r="B512" s="22">
        <v>22.35</v>
      </c>
      <c r="C512" s="22">
        <v>20.239999999999998</v>
      </c>
      <c r="D512" s="22">
        <v>2.5099999999999998</v>
      </c>
      <c r="E512" s="26">
        <v>2.5099999999999998</v>
      </c>
    </row>
    <row r="513" spans="1:5" x14ac:dyDescent="0.35">
      <c r="A513" s="23">
        <v>199602</v>
      </c>
      <c r="B513" s="24">
        <v>23.25</v>
      </c>
      <c r="C513" s="24">
        <v>20.81</v>
      </c>
      <c r="D513" s="24">
        <v>4.01</v>
      </c>
      <c r="E513" s="25">
        <v>6.62</v>
      </c>
    </row>
    <row r="514" spans="1:5" x14ac:dyDescent="0.35">
      <c r="A514" s="21">
        <v>199603</v>
      </c>
      <c r="B514" s="22">
        <v>23.74</v>
      </c>
      <c r="C514" s="22">
        <v>20.2</v>
      </c>
      <c r="D514" s="22">
        <v>2.1</v>
      </c>
      <c r="E514" s="26">
        <v>8.8699999999999992</v>
      </c>
    </row>
    <row r="515" spans="1:5" x14ac:dyDescent="0.35">
      <c r="A515" s="23">
        <v>199604</v>
      </c>
      <c r="B515" s="24">
        <v>24.21</v>
      </c>
      <c r="C515" s="24">
        <v>19.899999999999999</v>
      </c>
      <c r="D515" s="24">
        <v>1.97</v>
      </c>
      <c r="E515" s="25">
        <v>11.02</v>
      </c>
    </row>
    <row r="516" spans="1:5" x14ac:dyDescent="0.35">
      <c r="A516" s="21">
        <v>199605</v>
      </c>
      <c r="B516" s="22">
        <v>24.58</v>
      </c>
      <c r="C516" s="22">
        <v>19.78</v>
      </c>
      <c r="D516" s="22">
        <v>1.55</v>
      </c>
      <c r="E516" s="26">
        <v>12.75</v>
      </c>
    </row>
    <row r="517" spans="1:5" x14ac:dyDescent="0.35">
      <c r="A517" s="23">
        <v>199606</v>
      </c>
      <c r="B517" s="24">
        <v>24.87</v>
      </c>
      <c r="C517" s="24">
        <v>19.7</v>
      </c>
      <c r="D517" s="24">
        <v>1.1399999999999999</v>
      </c>
      <c r="E517" s="25">
        <v>14.04</v>
      </c>
    </row>
    <row r="518" spans="1:5" x14ac:dyDescent="0.35">
      <c r="A518" s="21">
        <v>199607</v>
      </c>
      <c r="B518" s="22">
        <v>25.24</v>
      </c>
      <c r="C518" s="22">
        <v>20.57</v>
      </c>
      <c r="D518" s="22">
        <v>1.51</v>
      </c>
      <c r="E518" s="26">
        <v>15.76</v>
      </c>
    </row>
    <row r="519" spans="1:5" x14ac:dyDescent="0.35">
      <c r="A519" s="23">
        <v>199608</v>
      </c>
      <c r="B519" s="24">
        <v>25.52</v>
      </c>
      <c r="C519" s="24">
        <v>21.13</v>
      </c>
      <c r="D519" s="24">
        <v>1.1000000000000001</v>
      </c>
      <c r="E519" s="25">
        <v>17.04</v>
      </c>
    </row>
    <row r="520" spans="1:5" x14ac:dyDescent="0.35">
      <c r="A520" s="21">
        <v>199609</v>
      </c>
      <c r="B520" s="22">
        <v>25.82</v>
      </c>
      <c r="C520" s="22">
        <v>21.55</v>
      </c>
      <c r="D520" s="22">
        <v>1.19</v>
      </c>
      <c r="E520" s="26">
        <v>18.43</v>
      </c>
    </row>
    <row r="521" spans="1:5" x14ac:dyDescent="0.35">
      <c r="A521" s="23">
        <v>199610</v>
      </c>
      <c r="B521" s="24">
        <v>26.12</v>
      </c>
      <c r="C521" s="24">
        <v>21.87</v>
      </c>
      <c r="D521" s="24">
        <v>1.1499999999999999</v>
      </c>
      <c r="E521" s="25">
        <v>19.8</v>
      </c>
    </row>
    <row r="522" spans="1:5" x14ac:dyDescent="0.35">
      <c r="A522" s="21">
        <v>199611</v>
      </c>
      <c r="B522" s="22">
        <v>26.33</v>
      </c>
      <c r="C522" s="22">
        <v>21.88</v>
      </c>
      <c r="D522" s="22">
        <v>0.8</v>
      </c>
      <c r="E522" s="26">
        <v>20.76</v>
      </c>
    </row>
    <row r="523" spans="1:5" x14ac:dyDescent="0.35">
      <c r="A523" s="23">
        <v>199612</v>
      </c>
      <c r="B523" s="24">
        <v>26.52</v>
      </c>
      <c r="C523" s="24">
        <v>21.63</v>
      </c>
      <c r="D523" s="24">
        <v>0.72</v>
      </c>
      <c r="E523" s="25">
        <v>21.63</v>
      </c>
    </row>
    <row r="524" spans="1:5" x14ac:dyDescent="0.35">
      <c r="A524" s="21">
        <v>199701</v>
      </c>
      <c r="B524" s="22">
        <v>26.96</v>
      </c>
      <c r="C524" s="22">
        <v>20.62</v>
      </c>
      <c r="D524" s="22">
        <v>1.65</v>
      </c>
      <c r="E524" s="26">
        <v>1.65</v>
      </c>
    </row>
    <row r="525" spans="1:5" x14ac:dyDescent="0.35">
      <c r="A525" s="23">
        <v>199702</v>
      </c>
      <c r="B525" s="24">
        <v>27.8</v>
      </c>
      <c r="C525" s="24">
        <v>19.579999999999998</v>
      </c>
      <c r="D525" s="24">
        <v>3.11</v>
      </c>
      <c r="E525" s="25">
        <v>4.82</v>
      </c>
    </row>
    <row r="526" spans="1:5" x14ac:dyDescent="0.35">
      <c r="A526" s="21">
        <v>199703</v>
      </c>
      <c r="B526" s="22">
        <v>28.23</v>
      </c>
      <c r="C526" s="22">
        <v>18.93</v>
      </c>
      <c r="D526" s="22">
        <v>1.55</v>
      </c>
      <c r="E526" s="26">
        <v>6.45</v>
      </c>
    </row>
    <row r="527" spans="1:5" x14ac:dyDescent="0.35">
      <c r="A527" s="23">
        <v>199704</v>
      </c>
      <c r="B527" s="24">
        <v>28.69</v>
      </c>
      <c r="C527" s="24">
        <v>18.52</v>
      </c>
      <c r="D527" s="24">
        <v>1.62</v>
      </c>
      <c r="E527" s="25">
        <v>8.18</v>
      </c>
    </row>
    <row r="528" spans="1:5" x14ac:dyDescent="0.35">
      <c r="A528" s="21">
        <v>199705</v>
      </c>
      <c r="B528" s="22">
        <v>29.16</v>
      </c>
      <c r="C528" s="22">
        <v>18.600000000000001</v>
      </c>
      <c r="D528" s="22">
        <v>1.62</v>
      </c>
      <c r="E528" s="26">
        <v>9.94</v>
      </c>
    </row>
    <row r="529" spans="1:5" x14ac:dyDescent="0.35">
      <c r="A529" s="23">
        <v>199706</v>
      </c>
      <c r="B529" s="24">
        <v>29.51</v>
      </c>
      <c r="C529" s="24">
        <v>18.670000000000002</v>
      </c>
      <c r="D529" s="24">
        <v>1.2</v>
      </c>
      <c r="E529" s="25">
        <v>11.26</v>
      </c>
    </row>
    <row r="530" spans="1:5" x14ac:dyDescent="0.35">
      <c r="A530" s="21">
        <v>199707</v>
      </c>
      <c r="B530" s="22">
        <v>29.76</v>
      </c>
      <c r="C530" s="22">
        <v>17.88</v>
      </c>
      <c r="D530" s="22">
        <v>0.83</v>
      </c>
      <c r="E530" s="26">
        <v>12.19</v>
      </c>
    </row>
    <row r="531" spans="1:5" x14ac:dyDescent="0.35">
      <c r="A531" s="23">
        <v>199708</v>
      </c>
      <c r="B531" s="24">
        <v>30.1</v>
      </c>
      <c r="C531" s="24">
        <v>17.93</v>
      </c>
      <c r="D531" s="24">
        <v>1.1399999999999999</v>
      </c>
      <c r="E531" s="25">
        <v>13.48</v>
      </c>
    </row>
    <row r="532" spans="1:5" x14ac:dyDescent="0.35">
      <c r="A532" s="21">
        <v>199709</v>
      </c>
      <c r="B532" s="22">
        <v>30.48</v>
      </c>
      <c r="C532" s="22">
        <v>18.010000000000002</v>
      </c>
      <c r="D532" s="22">
        <v>1.26</v>
      </c>
      <c r="E532" s="26">
        <v>14.91</v>
      </c>
    </row>
    <row r="533" spans="1:5" x14ac:dyDescent="0.35">
      <c r="A533" s="23">
        <v>199710</v>
      </c>
      <c r="B533" s="24">
        <v>30.77</v>
      </c>
      <c r="C533" s="24">
        <v>17.8</v>
      </c>
      <c r="D533" s="24">
        <v>0.96</v>
      </c>
      <c r="E533" s="25">
        <v>16.02</v>
      </c>
    </row>
    <row r="534" spans="1:5" x14ac:dyDescent="0.35">
      <c r="A534" s="21">
        <v>199711</v>
      </c>
      <c r="B534" s="22">
        <v>31.02</v>
      </c>
      <c r="C534" s="22">
        <v>17.809999999999999</v>
      </c>
      <c r="D534" s="22">
        <v>0.81</v>
      </c>
      <c r="E534" s="26">
        <v>16.96</v>
      </c>
    </row>
    <row r="535" spans="1:5" x14ac:dyDescent="0.35">
      <c r="A535" s="23">
        <v>199712</v>
      </c>
      <c r="B535" s="24">
        <v>31.21</v>
      </c>
      <c r="C535" s="24">
        <v>17.68</v>
      </c>
      <c r="D535" s="24">
        <v>0.61</v>
      </c>
      <c r="E535" s="25">
        <v>17.68</v>
      </c>
    </row>
    <row r="536" spans="1:5" x14ac:dyDescent="0.35">
      <c r="A536" s="21">
        <v>199801</v>
      </c>
      <c r="B536" s="22">
        <v>31.77</v>
      </c>
      <c r="C536" s="22">
        <v>17.84</v>
      </c>
      <c r="D536" s="22">
        <v>1.79</v>
      </c>
      <c r="E536" s="26">
        <v>1.79</v>
      </c>
    </row>
    <row r="537" spans="1:5" x14ac:dyDescent="0.35">
      <c r="A537" s="23">
        <v>199802</v>
      </c>
      <c r="B537" s="24">
        <v>32.81</v>
      </c>
      <c r="C537" s="24">
        <v>18.03</v>
      </c>
      <c r="D537" s="24">
        <v>3.28</v>
      </c>
      <c r="E537" s="25">
        <v>5.13</v>
      </c>
    </row>
    <row r="538" spans="1:5" x14ac:dyDescent="0.35">
      <c r="A538" s="21">
        <v>199803</v>
      </c>
      <c r="B538" s="22">
        <v>33.67</v>
      </c>
      <c r="C538" s="22">
        <v>19.239999999999998</v>
      </c>
      <c r="D538" s="22">
        <v>2.6</v>
      </c>
      <c r="E538" s="26">
        <v>7.87</v>
      </c>
    </row>
    <row r="539" spans="1:5" x14ac:dyDescent="0.35">
      <c r="A539" s="23">
        <v>199804</v>
      </c>
      <c r="B539" s="24">
        <v>34.65</v>
      </c>
      <c r="C539" s="24">
        <v>20.74</v>
      </c>
      <c r="D539" s="24">
        <v>2.9</v>
      </c>
      <c r="E539" s="25">
        <v>11</v>
      </c>
    </row>
    <row r="540" spans="1:5" x14ac:dyDescent="0.35">
      <c r="A540" s="21">
        <v>199805</v>
      </c>
      <c r="B540" s="22">
        <v>35.19</v>
      </c>
      <c r="C540" s="22">
        <v>20.67</v>
      </c>
      <c r="D540" s="22">
        <v>1.56</v>
      </c>
      <c r="E540" s="26">
        <v>12.73</v>
      </c>
    </row>
    <row r="541" spans="1:5" x14ac:dyDescent="0.35">
      <c r="A541" s="23">
        <v>199806</v>
      </c>
      <c r="B541" s="24">
        <v>35.619999999999997</v>
      </c>
      <c r="C541" s="24">
        <v>20.69</v>
      </c>
      <c r="D541" s="24">
        <v>1.22</v>
      </c>
      <c r="E541" s="25">
        <v>14.11</v>
      </c>
    </row>
    <row r="542" spans="1:5" x14ac:dyDescent="0.35">
      <c r="A542" s="21">
        <v>199807</v>
      </c>
      <c r="B542" s="22">
        <v>35.79</v>
      </c>
      <c r="C542" s="22">
        <v>20.27</v>
      </c>
      <c r="D542" s="22">
        <v>0.47</v>
      </c>
      <c r="E542" s="26">
        <v>14.66</v>
      </c>
    </row>
    <row r="543" spans="1:5" x14ac:dyDescent="0.35">
      <c r="A543" s="23">
        <v>199808</v>
      </c>
      <c r="B543" s="24">
        <v>35.799999999999997</v>
      </c>
      <c r="C543" s="24">
        <v>18.940000000000001</v>
      </c>
      <c r="D543" s="24">
        <v>0.03</v>
      </c>
      <c r="E543" s="25">
        <v>14.69</v>
      </c>
    </row>
    <row r="544" spans="1:5" x14ac:dyDescent="0.35">
      <c r="A544" s="21">
        <v>199809</v>
      </c>
      <c r="B544" s="22">
        <v>35.9</v>
      </c>
      <c r="C544" s="22">
        <v>17.8</v>
      </c>
      <c r="D544" s="22">
        <v>0.28999999999999998</v>
      </c>
      <c r="E544" s="26">
        <v>15.03</v>
      </c>
    </row>
    <row r="545" spans="1:5" x14ac:dyDescent="0.35">
      <c r="A545" s="23">
        <v>199810</v>
      </c>
      <c r="B545" s="24">
        <v>36.03</v>
      </c>
      <c r="C545" s="24">
        <v>17.09</v>
      </c>
      <c r="D545" s="24">
        <v>0.35</v>
      </c>
      <c r="E545" s="25">
        <v>15.44</v>
      </c>
    </row>
    <row r="546" spans="1:5" x14ac:dyDescent="0.35">
      <c r="A546" s="21">
        <v>199811</v>
      </c>
      <c r="B546" s="22">
        <v>36.1</v>
      </c>
      <c r="C546" s="22">
        <v>16.350000000000001</v>
      </c>
      <c r="D546" s="22">
        <v>0.17</v>
      </c>
      <c r="E546" s="26">
        <v>15.64</v>
      </c>
    </row>
    <row r="547" spans="1:5" x14ac:dyDescent="0.35">
      <c r="A547" s="23">
        <v>199812</v>
      </c>
      <c r="B547" s="24">
        <v>36.42</v>
      </c>
      <c r="C547" s="24">
        <v>16.7</v>
      </c>
      <c r="D547" s="24">
        <v>0.91</v>
      </c>
      <c r="E547" s="25">
        <v>16.7</v>
      </c>
    </row>
    <row r="548" spans="1:5" x14ac:dyDescent="0.35">
      <c r="A548" s="21">
        <v>199901</v>
      </c>
      <c r="B548" s="22">
        <v>37.229999999999997</v>
      </c>
      <c r="C548" s="22">
        <v>17.18</v>
      </c>
      <c r="D548" s="22">
        <v>2.21</v>
      </c>
      <c r="E548" s="26">
        <v>2.21</v>
      </c>
    </row>
    <row r="549" spans="1:5" x14ac:dyDescent="0.35">
      <c r="A549" s="23">
        <v>199902</v>
      </c>
      <c r="B549" s="24">
        <v>37.86</v>
      </c>
      <c r="C549" s="24">
        <v>15.38</v>
      </c>
      <c r="D549" s="24">
        <v>1.7</v>
      </c>
      <c r="E549" s="25">
        <v>3.94</v>
      </c>
    </row>
    <row r="550" spans="1:5" x14ac:dyDescent="0.35">
      <c r="A550" s="21">
        <v>199903</v>
      </c>
      <c r="B550" s="22">
        <v>38.22</v>
      </c>
      <c r="C550" s="22">
        <v>13.51</v>
      </c>
      <c r="D550" s="22">
        <v>0.94</v>
      </c>
      <c r="E550" s="26">
        <v>4.92</v>
      </c>
    </row>
    <row r="551" spans="1:5" x14ac:dyDescent="0.35">
      <c r="A551" s="23">
        <v>199904</v>
      </c>
      <c r="B551" s="24">
        <v>38.520000000000003</v>
      </c>
      <c r="C551" s="24">
        <v>11.17</v>
      </c>
      <c r="D551" s="24">
        <v>0.78</v>
      </c>
      <c r="E551" s="25">
        <v>5.74</v>
      </c>
    </row>
    <row r="552" spans="1:5" x14ac:dyDescent="0.35">
      <c r="A552" s="21">
        <v>199905</v>
      </c>
      <c r="B552" s="22">
        <v>38.700000000000003</v>
      </c>
      <c r="C552" s="22">
        <v>9.98</v>
      </c>
      <c r="D552" s="22">
        <v>0.48</v>
      </c>
      <c r="E552" s="26">
        <v>6.25</v>
      </c>
    </row>
    <row r="553" spans="1:5" x14ac:dyDescent="0.35">
      <c r="A553" s="23">
        <v>199906</v>
      </c>
      <c r="B553" s="24">
        <v>38.81</v>
      </c>
      <c r="C553" s="24">
        <v>8.9600000000000009</v>
      </c>
      <c r="D553" s="24">
        <v>0.28000000000000003</v>
      </c>
      <c r="E553" s="25">
        <v>6.55</v>
      </c>
    </row>
    <row r="554" spans="1:5" x14ac:dyDescent="0.35">
      <c r="A554" s="21">
        <v>199907</v>
      </c>
      <c r="B554" s="22">
        <v>38.93</v>
      </c>
      <c r="C554" s="22">
        <v>8.7799999999999994</v>
      </c>
      <c r="D554" s="22">
        <v>0.31</v>
      </c>
      <c r="E554" s="26">
        <v>6.88</v>
      </c>
    </row>
    <row r="555" spans="1:5" x14ac:dyDescent="0.35">
      <c r="A555" s="23">
        <v>199908</v>
      </c>
      <c r="B555" s="24">
        <v>39.119999999999997</v>
      </c>
      <c r="C555" s="24">
        <v>9.2799999999999994</v>
      </c>
      <c r="D555" s="24">
        <v>0.5</v>
      </c>
      <c r="E555" s="25">
        <v>7.41</v>
      </c>
    </row>
    <row r="556" spans="1:5" x14ac:dyDescent="0.35">
      <c r="A556" s="21">
        <v>199909</v>
      </c>
      <c r="B556" s="22">
        <v>39.25</v>
      </c>
      <c r="C556" s="22">
        <v>9.33</v>
      </c>
      <c r="D556" s="22">
        <v>0.33</v>
      </c>
      <c r="E556" s="26">
        <v>7.76</v>
      </c>
    </row>
    <row r="557" spans="1:5" x14ac:dyDescent="0.35">
      <c r="A557" s="23">
        <v>199910</v>
      </c>
      <c r="B557" s="24">
        <v>39.39</v>
      </c>
      <c r="C557" s="24">
        <v>9.32</v>
      </c>
      <c r="D557" s="24">
        <v>0.35</v>
      </c>
      <c r="E557" s="25">
        <v>8.14</v>
      </c>
    </row>
    <row r="558" spans="1:5" x14ac:dyDescent="0.35">
      <c r="A558" s="21">
        <v>199911</v>
      </c>
      <c r="B558" s="22">
        <v>39.58</v>
      </c>
      <c r="C558" s="22">
        <v>9.65</v>
      </c>
      <c r="D558" s="22">
        <v>0.48</v>
      </c>
      <c r="E558" s="26">
        <v>8.66</v>
      </c>
    </row>
    <row r="559" spans="1:5" x14ac:dyDescent="0.35">
      <c r="A559" s="23">
        <v>199912</v>
      </c>
      <c r="B559" s="24">
        <v>39.79</v>
      </c>
      <c r="C559" s="24">
        <v>9.23</v>
      </c>
      <c r="D559" s="24">
        <v>0.53</v>
      </c>
      <c r="E559" s="25">
        <v>9.23</v>
      </c>
    </row>
    <row r="560" spans="1:5" x14ac:dyDescent="0.35">
      <c r="A560" s="21">
        <v>200001</v>
      </c>
      <c r="B560" s="22">
        <v>40.299999999999997</v>
      </c>
      <c r="C560" s="22">
        <v>8.25</v>
      </c>
      <c r="D560" s="22">
        <v>1.29</v>
      </c>
      <c r="E560" s="26">
        <v>1.29</v>
      </c>
    </row>
    <row r="561" spans="1:5" x14ac:dyDescent="0.35">
      <c r="A561" s="23">
        <v>200002</v>
      </c>
      <c r="B561" s="24">
        <v>41.23</v>
      </c>
      <c r="C561" s="24">
        <v>8.89</v>
      </c>
      <c r="D561" s="24">
        <v>2.2999999999999998</v>
      </c>
      <c r="E561" s="25">
        <v>3.62</v>
      </c>
    </row>
    <row r="562" spans="1:5" x14ac:dyDescent="0.35">
      <c r="A562" s="21">
        <v>200003</v>
      </c>
      <c r="B562" s="22">
        <v>41.93</v>
      </c>
      <c r="C562" s="22">
        <v>9.73</v>
      </c>
      <c r="D562" s="22">
        <v>1.71</v>
      </c>
      <c r="E562" s="26">
        <v>5.39</v>
      </c>
    </row>
    <row r="563" spans="1:5" x14ac:dyDescent="0.35">
      <c r="A563" s="23">
        <v>200004</v>
      </c>
      <c r="B563" s="24">
        <v>42.35</v>
      </c>
      <c r="C563" s="24">
        <v>9.9600000000000009</v>
      </c>
      <c r="D563" s="24">
        <v>1</v>
      </c>
      <c r="E563" s="25">
        <v>6.44</v>
      </c>
    </row>
    <row r="564" spans="1:5" x14ac:dyDescent="0.35">
      <c r="A564" s="21">
        <v>200005</v>
      </c>
      <c r="B564" s="22">
        <v>42.57</v>
      </c>
      <c r="C564" s="22">
        <v>10</v>
      </c>
      <c r="D564" s="22">
        <v>0.52</v>
      </c>
      <c r="E564" s="26">
        <v>7</v>
      </c>
    </row>
    <row r="565" spans="1:5" x14ac:dyDescent="0.35">
      <c r="A565" s="23">
        <v>200006</v>
      </c>
      <c r="B565" s="24">
        <v>42.56</v>
      </c>
      <c r="C565" s="24">
        <v>9.68</v>
      </c>
      <c r="D565" s="24">
        <v>-0.02</v>
      </c>
      <c r="E565" s="25">
        <v>6.98</v>
      </c>
    </row>
    <row r="566" spans="1:5" x14ac:dyDescent="0.35">
      <c r="A566" s="21">
        <v>200007</v>
      </c>
      <c r="B566" s="22">
        <v>42.55</v>
      </c>
      <c r="C566" s="22">
        <v>9.2899999999999991</v>
      </c>
      <c r="D566" s="22">
        <v>-0.04</v>
      </c>
      <c r="E566" s="26">
        <v>6.94</v>
      </c>
    </row>
    <row r="567" spans="1:5" x14ac:dyDescent="0.35">
      <c r="A567" s="23">
        <v>200008</v>
      </c>
      <c r="B567" s="24">
        <v>42.68</v>
      </c>
      <c r="C567" s="24">
        <v>9.1</v>
      </c>
      <c r="D567" s="24">
        <v>0.32</v>
      </c>
      <c r="E567" s="25">
        <v>7.27</v>
      </c>
    </row>
    <row r="568" spans="1:5" x14ac:dyDescent="0.35">
      <c r="A568" s="21">
        <v>200009</v>
      </c>
      <c r="B568" s="22">
        <v>42.86</v>
      </c>
      <c r="C568" s="22">
        <v>9.1999999999999993</v>
      </c>
      <c r="D568" s="22">
        <v>0.43</v>
      </c>
      <c r="E568" s="26">
        <v>7.73</v>
      </c>
    </row>
    <row r="569" spans="1:5" x14ac:dyDescent="0.35">
      <c r="A569" s="23">
        <v>200010</v>
      </c>
      <c r="B569" s="24">
        <v>42.93</v>
      </c>
      <c r="C569" s="24">
        <v>8.99</v>
      </c>
      <c r="D569" s="24">
        <v>0.15</v>
      </c>
      <c r="E569" s="25">
        <v>7.9</v>
      </c>
    </row>
    <row r="570" spans="1:5" x14ac:dyDescent="0.35">
      <c r="A570" s="21">
        <v>200011</v>
      </c>
      <c r="B570" s="22">
        <v>43.07</v>
      </c>
      <c r="C570" s="22">
        <v>8.82</v>
      </c>
      <c r="D570" s="22">
        <v>0.33</v>
      </c>
      <c r="E570" s="26">
        <v>8.25</v>
      </c>
    </row>
    <row r="571" spans="1:5" x14ac:dyDescent="0.35">
      <c r="A571" s="23">
        <v>200012</v>
      </c>
      <c r="B571" s="24">
        <v>43.27</v>
      </c>
      <c r="C571" s="24">
        <v>8.75</v>
      </c>
      <c r="D571" s="24">
        <v>0.46</v>
      </c>
      <c r="E571" s="25">
        <v>8.75</v>
      </c>
    </row>
    <row r="572" spans="1:5" x14ac:dyDescent="0.35">
      <c r="A572" s="21">
        <v>200101</v>
      </c>
      <c r="B572" s="22">
        <v>43.72</v>
      </c>
      <c r="C572" s="22">
        <v>8.49</v>
      </c>
      <c r="D572" s="22">
        <v>1.05</v>
      </c>
      <c r="E572" s="26">
        <v>1.05</v>
      </c>
    </row>
    <row r="573" spans="1:5" x14ac:dyDescent="0.35">
      <c r="A573" s="23">
        <v>200102</v>
      </c>
      <c r="B573" s="24">
        <v>44.55</v>
      </c>
      <c r="C573" s="24">
        <v>8.06</v>
      </c>
      <c r="D573" s="24">
        <v>1.89</v>
      </c>
      <c r="E573" s="25">
        <v>2.96</v>
      </c>
    </row>
    <row r="574" spans="1:5" x14ac:dyDescent="0.35">
      <c r="A574" s="21">
        <v>200103</v>
      </c>
      <c r="B574" s="22">
        <v>45.21</v>
      </c>
      <c r="C574" s="22">
        <v>7.81</v>
      </c>
      <c r="D574" s="22">
        <v>1.48</v>
      </c>
      <c r="E574" s="26">
        <v>4.49</v>
      </c>
    </row>
    <row r="575" spans="1:5" x14ac:dyDescent="0.35">
      <c r="A575" s="23">
        <v>200104</v>
      </c>
      <c r="B575" s="24">
        <v>45.73</v>
      </c>
      <c r="C575" s="24">
        <v>7.98</v>
      </c>
      <c r="D575" s="24">
        <v>1.1499999999999999</v>
      </c>
      <c r="E575" s="25">
        <v>5.69</v>
      </c>
    </row>
    <row r="576" spans="1:5" x14ac:dyDescent="0.35">
      <c r="A576" s="21">
        <v>200105</v>
      </c>
      <c r="B576" s="22">
        <v>45.92</v>
      </c>
      <c r="C576" s="22">
        <v>7.87</v>
      </c>
      <c r="D576" s="22">
        <v>0.42</v>
      </c>
      <c r="E576" s="26">
        <v>6.13</v>
      </c>
    </row>
    <row r="577" spans="1:5" x14ac:dyDescent="0.35">
      <c r="A577" s="23">
        <v>200106</v>
      </c>
      <c r="B577" s="24">
        <v>45.94</v>
      </c>
      <c r="C577" s="24">
        <v>7.93</v>
      </c>
      <c r="D577" s="24">
        <v>0.04</v>
      </c>
      <c r="E577" s="25">
        <v>6.17</v>
      </c>
    </row>
    <row r="578" spans="1:5" x14ac:dyDescent="0.35">
      <c r="A578" s="21">
        <v>200107</v>
      </c>
      <c r="B578" s="22">
        <v>45.99</v>
      </c>
      <c r="C578" s="22">
        <v>8.09</v>
      </c>
      <c r="D578" s="22">
        <v>0.11</v>
      </c>
      <c r="E578" s="26">
        <v>6.29</v>
      </c>
    </row>
    <row r="579" spans="1:5" x14ac:dyDescent="0.35">
      <c r="A579" s="23">
        <v>200108</v>
      </c>
      <c r="B579" s="24">
        <v>46.11</v>
      </c>
      <c r="C579" s="24">
        <v>8.0299999999999994</v>
      </c>
      <c r="D579" s="24">
        <v>0.26</v>
      </c>
      <c r="E579" s="25">
        <v>6.57</v>
      </c>
    </row>
    <row r="580" spans="1:5" x14ac:dyDescent="0.35">
      <c r="A580" s="21">
        <v>200109</v>
      </c>
      <c r="B580" s="22">
        <v>46.28</v>
      </c>
      <c r="C580" s="22">
        <v>7.97</v>
      </c>
      <c r="D580" s="22">
        <v>0.37</v>
      </c>
      <c r="E580" s="26">
        <v>6.96</v>
      </c>
    </row>
    <row r="581" spans="1:5" x14ac:dyDescent="0.35">
      <c r="A581" s="23">
        <v>200110</v>
      </c>
      <c r="B581" s="24">
        <v>46.37</v>
      </c>
      <c r="C581" s="24">
        <v>8.01</v>
      </c>
      <c r="D581" s="24">
        <v>0.19</v>
      </c>
      <c r="E581" s="25">
        <v>7.16</v>
      </c>
    </row>
    <row r="582" spans="1:5" x14ac:dyDescent="0.35">
      <c r="A582" s="21">
        <v>200111</v>
      </c>
      <c r="B582" s="22">
        <v>46.42</v>
      </c>
      <c r="C582" s="22">
        <v>7.78</v>
      </c>
      <c r="D582" s="22">
        <v>0.12</v>
      </c>
      <c r="E582" s="26">
        <v>7.28</v>
      </c>
    </row>
    <row r="583" spans="1:5" x14ac:dyDescent="0.35">
      <c r="A583" s="23">
        <v>200112</v>
      </c>
      <c r="B583" s="24">
        <v>46.58</v>
      </c>
      <c r="C583" s="24">
        <v>7.65</v>
      </c>
      <c r="D583" s="24">
        <v>0.34</v>
      </c>
      <c r="E583" s="25">
        <v>7.65</v>
      </c>
    </row>
    <row r="584" spans="1:5" x14ac:dyDescent="0.35">
      <c r="A584" s="21">
        <v>200201</v>
      </c>
      <c r="B584" s="22">
        <v>46.95</v>
      </c>
      <c r="C584" s="22">
        <v>7.37</v>
      </c>
      <c r="D584" s="22">
        <v>0.8</v>
      </c>
      <c r="E584" s="26">
        <v>0.8</v>
      </c>
    </row>
    <row r="585" spans="1:5" x14ac:dyDescent="0.35">
      <c r="A585" s="23">
        <v>200202</v>
      </c>
      <c r="B585" s="24">
        <v>47.54</v>
      </c>
      <c r="C585" s="24">
        <v>6.7</v>
      </c>
      <c r="D585" s="24">
        <v>1.26</v>
      </c>
      <c r="E585" s="25">
        <v>2.06</v>
      </c>
    </row>
    <row r="586" spans="1:5" x14ac:dyDescent="0.35">
      <c r="A586" s="21">
        <v>200203</v>
      </c>
      <c r="B586" s="22">
        <v>47.87</v>
      </c>
      <c r="C586" s="22">
        <v>5.89</v>
      </c>
      <c r="D586" s="22">
        <v>0.71</v>
      </c>
      <c r="E586" s="26">
        <v>2.79</v>
      </c>
    </row>
    <row r="587" spans="1:5" x14ac:dyDescent="0.35">
      <c r="A587" s="23">
        <v>200204</v>
      </c>
      <c r="B587" s="24">
        <v>48.31</v>
      </c>
      <c r="C587" s="24">
        <v>5.65</v>
      </c>
      <c r="D587" s="24">
        <v>0.92</v>
      </c>
      <c r="E587" s="25">
        <v>3.73</v>
      </c>
    </row>
    <row r="588" spans="1:5" x14ac:dyDescent="0.35">
      <c r="A588" s="21">
        <v>200205</v>
      </c>
      <c r="B588" s="22">
        <v>48.6</v>
      </c>
      <c r="C588" s="22">
        <v>5.84</v>
      </c>
      <c r="D588" s="22">
        <v>0.6</v>
      </c>
      <c r="E588" s="26">
        <v>4.3499999999999996</v>
      </c>
    </row>
    <row r="589" spans="1:5" x14ac:dyDescent="0.35">
      <c r="A589" s="23">
        <v>200206</v>
      </c>
      <c r="B589" s="24">
        <v>48.81</v>
      </c>
      <c r="C589" s="24">
        <v>6.25</v>
      </c>
      <c r="D589" s="24">
        <v>0.43</v>
      </c>
      <c r="E589" s="25">
        <v>4.79</v>
      </c>
    </row>
    <row r="590" spans="1:5" x14ac:dyDescent="0.35">
      <c r="A590" s="21">
        <v>200207</v>
      </c>
      <c r="B590" s="22">
        <v>48.82</v>
      </c>
      <c r="C590" s="22">
        <v>6.16</v>
      </c>
      <c r="D590" s="22">
        <v>0.02</v>
      </c>
      <c r="E590" s="26">
        <v>4.82</v>
      </c>
    </row>
    <row r="591" spans="1:5" x14ac:dyDescent="0.35">
      <c r="A591" s="23">
        <v>200208</v>
      </c>
      <c r="B591" s="24">
        <v>48.87</v>
      </c>
      <c r="C591" s="24">
        <v>5.98</v>
      </c>
      <c r="D591" s="24">
        <v>0.09</v>
      </c>
      <c r="E591" s="25">
        <v>4.92</v>
      </c>
    </row>
    <row r="592" spans="1:5" x14ac:dyDescent="0.35">
      <c r="A592" s="21">
        <v>200209</v>
      </c>
      <c r="B592" s="22">
        <v>49.04</v>
      </c>
      <c r="C592" s="22">
        <v>5.97</v>
      </c>
      <c r="D592" s="22">
        <v>0.36</v>
      </c>
      <c r="E592" s="26">
        <v>5.3</v>
      </c>
    </row>
    <row r="593" spans="1:5" x14ac:dyDescent="0.35">
      <c r="A593" s="23">
        <v>200210</v>
      </c>
      <c r="B593" s="24">
        <v>49.32</v>
      </c>
      <c r="C593" s="24">
        <v>6.37</v>
      </c>
      <c r="D593" s="24">
        <v>0.56000000000000005</v>
      </c>
      <c r="E593" s="25">
        <v>5.88</v>
      </c>
    </row>
    <row r="594" spans="1:5" x14ac:dyDescent="0.35">
      <c r="A594" s="21">
        <v>200211</v>
      </c>
      <c r="B594" s="22">
        <v>49.7</v>
      </c>
      <c r="C594" s="22">
        <v>7.07</v>
      </c>
      <c r="D594" s="22">
        <v>0.78</v>
      </c>
      <c r="E594" s="26">
        <v>6.71</v>
      </c>
    </row>
    <row r="595" spans="1:5" x14ac:dyDescent="0.35">
      <c r="A595" s="23">
        <v>200212</v>
      </c>
      <c r="B595" s="24">
        <v>49.83</v>
      </c>
      <c r="C595" s="24">
        <v>6.99</v>
      </c>
      <c r="D595" s="24">
        <v>0.27</v>
      </c>
      <c r="E595" s="25">
        <v>6.99</v>
      </c>
    </row>
    <row r="596" spans="1:5" x14ac:dyDescent="0.35">
      <c r="A596" s="21">
        <v>200301</v>
      </c>
      <c r="B596" s="22">
        <v>50.42</v>
      </c>
      <c r="C596" s="22">
        <v>7.39</v>
      </c>
      <c r="D596" s="22">
        <v>1.17</v>
      </c>
      <c r="E596" s="26">
        <v>1.17</v>
      </c>
    </row>
    <row r="597" spans="1:5" x14ac:dyDescent="0.35">
      <c r="A597" s="23">
        <v>200302</v>
      </c>
      <c r="B597" s="24">
        <v>50.98</v>
      </c>
      <c r="C597" s="24">
        <v>7.24</v>
      </c>
      <c r="D597" s="24">
        <v>1.1100000000000001</v>
      </c>
      <c r="E597" s="25">
        <v>2.2999999999999998</v>
      </c>
    </row>
    <row r="598" spans="1:5" x14ac:dyDescent="0.35">
      <c r="A598" s="21">
        <v>200303</v>
      </c>
      <c r="B598" s="22">
        <v>51.51</v>
      </c>
      <c r="C598" s="22">
        <v>7.6</v>
      </c>
      <c r="D598" s="22">
        <v>1.05</v>
      </c>
      <c r="E598" s="26">
        <v>3.37</v>
      </c>
    </row>
    <row r="599" spans="1:5" x14ac:dyDescent="0.35">
      <c r="A599" s="23">
        <v>200304</v>
      </c>
      <c r="B599" s="24">
        <v>52.1</v>
      </c>
      <c r="C599" s="24">
        <v>7.85</v>
      </c>
      <c r="D599" s="24">
        <v>1.1499999999999999</v>
      </c>
      <c r="E599" s="25">
        <v>4.5599999999999996</v>
      </c>
    </row>
    <row r="600" spans="1:5" x14ac:dyDescent="0.35">
      <c r="A600" s="21">
        <v>200305</v>
      </c>
      <c r="B600" s="22">
        <v>52.36</v>
      </c>
      <c r="C600" s="22">
        <v>7.73</v>
      </c>
      <c r="D600" s="22">
        <v>0.49</v>
      </c>
      <c r="E600" s="26">
        <v>5.07</v>
      </c>
    </row>
    <row r="601" spans="1:5" x14ac:dyDescent="0.35">
      <c r="A601" s="23">
        <v>200306</v>
      </c>
      <c r="B601" s="24">
        <v>52.33</v>
      </c>
      <c r="C601" s="24">
        <v>7.21</v>
      </c>
      <c r="D601" s="24">
        <v>-0.05</v>
      </c>
      <c r="E601" s="25">
        <v>5.01</v>
      </c>
    </row>
    <row r="602" spans="1:5" x14ac:dyDescent="0.35">
      <c r="A602" s="21">
        <v>200307</v>
      </c>
      <c r="B602" s="22">
        <v>52.26</v>
      </c>
      <c r="C602" s="22">
        <v>7.04</v>
      </c>
      <c r="D602" s="22">
        <v>-0.14000000000000001</v>
      </c>
      <c r="E602" s="26">
        <v>4.8600000000000003</v>
      </c>
    </row>
    <row r="603" spans="1:5" x14ac:dyDescent="0.35">
      <c r="A603" s="23">
        <v>200308</v>
      </c>
      <c r="B603" s="24">
        <v>52.42</v>
      </c>
      <c r="C603" s="24">
        <v>7.26</v>
      </c>
      <c r="D603" s="24">
        <v>0.31</v>
      </c>
      <c r="E603" s="25">
        <v>5.18</v>
      </c>
    </row>
    <row r="604" spans="1:5" x14ac:dyDescent="0.35">
      <c r="A604" s="21">
        <v>200309</v>
      </c>
      <c r="B604" s="22">
        <v>52.53</v>
      </c>
      <c r="C604" s="22">
        <v>7.11</v>
      </c>
      <c r="D604" s="22">
        <v>0.22</v>
      </c>
      <c r="E604" s="26">
        <v>5.42</v>
      </c>
    </row>
    <row r="605" spans="1:5" x14ac:dyDescent="0.35">
      <c r="A605" s="23">
        <v>200310</v>
      </c>
      <c r="B605" s="24">
        <v>52.56</v>
      </c>
      <c r="C605" s="24">
        <v>6.58</v>
      </c>
      <c r="D605" s="24">
        <v>0.06</v>
      </c>
      <c r="E605" s="25">
        <v>5.48</v>
      </c>
    </row>
    <row r="606" spans="1:5" x14ac:dyDescent="0.35">
      <c r="A606" s="21">
        <v>200311</v>
      </c>
      <c r="B606" s="22">
        <v>52.75</v>
      </c>
      <c r="C606" s="22">
        <v>6.13</v>
      </c>
      <c r="D606" s="22">
        <v>0.35</v>
      </c>
      <c r="E606" s="26">
        <v>5.85</v>
      </c>
    </row>
    <row r="607" spans="1:5" x14ac:dyDescent="0.35">
      <c r="A607" s="23">
        <v>200312</v>
      </c>
      <c r="B607" s="24">
        <v>53.07</v>
      </c>
      <c r="C607" s="24">
        <v>6.49</v>
      </c>
      <c r="D607" s="24">
        <v>0.61</v>
      </c>
      <c r="E607" s="25">
        <v>6.49</v>
      </c>
    </row>
    <row r="608" spans="1:5" x14ac:dyDescent="0.35">
      <c r="A608" s="21">
        <v>200401</v>
      </c>
      <c r="B608" s="22">
        <v>53.54</v>
      </c>
      <c r="C608" s="22">
        <v>6.19</v>
      </c>
      <c r="D608" s="22">
        <v>0.89</v>
      </c>
      <c r="E608" s="26">
        <v>0.89</v>
      </c>
    </row>
    <row r="609" spans="1:5" x14ac:dyDescent="0.35">
      <c r="A609" s="23">
        <v>200402</v>
      </c>
      <c r="B609" s="24">
        <v>54.18</v>
      </c>
      <c r="C609" s="24">
        <v>6.28</v>
      </c>
      <c r="D609" s="24">
        <v>1.2</v>
      </c>
      <c r="E609" s="25">
        <v>2.1</v>
      </c>
    </row>
    <row r="610" spans="1:5" x14ac:dyDescent="0.35">
      <c r="A610" s="21">
        <v>200403</v>
      </c>
      <c r="B610" s="22">
        <v>54.71</v>
      </c>
      <c r="C610" s="22">
        <v>6.21</v>
      </c>
      <c r="D610" s="22">
        <v>0.98</v>
      </c>
      <c r="E610" s="26">
        <v>3.1</v>
      </c>
    </row>
    <row r="611" spans="1:5" x14ac:dyDescent="0.35">
      <c r="A611" s="23">
        <v>200404</v>
      </c>
      <c r="B611" s="24">
        <v>54.96</v>
      </c>
      <c r="C611" s="24">
        <v>5.49</v>
      </c>
      <c r="D611" s="24">
        <v>0.46</v>
      </c>
      <c r="E611" s="25">
        <v>3.57</v>
      </c>
    </row>
    <row r="612" spans="1:5" x14ac:dyDescent="0.35">
      <c r="A612" s="21">
        <v>200405</v>
      </c>
      <c r="B612" s="22">
        <v>55.17</v>
      </c>
      <c r="C612" s="22">
        <v>5.37</v>
      </c>
      <c r="D612" s="22">
        <v>0.38</v>
      </c>
      <c r="E612" s="26">
        <v>3.97</v>
      </c>
    </row>
    <row r="613" spans="1:5" x14ac:dyDescent="0.35">
      <c r="A613" s="23">
        <v>200406</v>
      </c>
      <c r="B613" s="24">
        <v>55.51</v>
      </c>
      <c r="C613" s="24">
        <v>6.07</v>
      </c>
      <c r="D613" s="24">
        <v>0.6</v>
      </c>
      <c r="E613" s="25">
        <v>4.59</v>
      </c>
    </row>
    <row r="614" spans="1:5" x14ac:dyDescent="0.35">
      <c r="A614" s="21">
        <v>200407</v>
      </c>
      <c r="B614" s="22">
        <v>55.49</v>
      </c>
      <c r="C614" s="22">
        <v>6.19</v>
      </c>
      <c r="D614" s="22">
        <v>-0.03</v>
      </c>
      <c r="E614" s="26">
        <v>4.5599999999999996</v>
      </c>
    </row>
    <row r="615" spans="1:5" x14ac:dyDescent="0.35">
      <c r="A615" s="23">
        <v>200408</v>
      </c>
      <c r="B615" s="24">
        <v>55.51</v>
      </c>
      <c r="C615" s="24">
        <v>5.89</v>
      </c>
      <c r="D615" s="24">
        <v>0.03</v>
      </c>
      <c r="E615" s="25">
        <v>4.59</v>
      </c>
    </row>
    <row r="616" spans="1:5" x14ac:dyDescent="0.35">
      <c r="A616" s="21">
        <v>200409</v>
      </c>
      <c r="B616" s="22">
        <v>55.67</v>
      </c>
      <c r="C616" s="22">
        <v>5.97</v>
      </c>
      <c r="D616" s="22">
        <v>0.3</v>
      </c>
      <c r="E616" s="26">
        <v>4.9000000000000004</v>
      </c>
    </row>
    <row r="617" spans="1:5" x14ac:dyDescent="0.35">
      <c r="A617" s="23">
        <v>200410</v>
      </c>
      <c r="B617" s="24">
        <v>55.66</v>
      </c>
      <c r="C617" s="24">
        <v>5.9</v>
      </c>
      <c r="D617" s="24">
        <v>-0.01</v>
      </c>
      <c r="E617" s="25">
        <v>4.8899999999999997</v>
      </c>
    </row>
    <row r="618" spans="1:5" x14ac:dyDescent="0.35">
      <c r="A618" s="21">
        <v>200411</v>
      </c>
      <c r="B618" s="22">
        <v>55.82</v>
      </c>
      <c r="C618" s="22">
        <v>5.82</v>
      </c>
      <c r="D618" s="22">
        <v>0.28000000000000003</v>
      </c>
      <c r="E618" s="26">
        <v>5.18</v>
      </c>
    </row>
    <row r="619" spans="1:5" x14ac:dyDescent="0.35">
      <c r="A619" s="23">
        <v>200412</v>
      </c>
      <c r="B619" s="24">
        <v>55.99</v>
      </c>
      <c r="C619" s="24">
        <v>5.5</v>
      </c>
      <c r="D619" s="24">
        <v>0.3</v>
      </c>
      <c r="E619" s="25">
        <v>5.5</v>
      </c>
    </row>
    <row r="620" spans="1:5" x14ac:dyDescent="0.35">
      <c r="A620" s="21">
        <v>200501</v>
      </c>
      <c r="B620" s="22">
        <v>56.45</v>
      </c>
      <c r="C620" s="22">
        <v>5.43</v>
      </c>
      <c r="D620" s="22">
        <v>0.82</v>
      </c>
      <c r="E620" s="26">
        <v>0.82</v>
      </c>
    </row>
    <row r="621" spans="1:5" x14ac:dyDescent="0.35">
      <c r="A621" s="23">
        <v>200502</v>
      </c>
      <c r="B621" s="24">
        <v>57.02</v>
      </c>
      <c r="C621" s="24">
        <v>5.25</v>
      </c>
      <c r="D621" s="24">
        <v>1.02</v>
      </c>
      <c r="E621" s="25">
        <v>1.85</v>
      </c>
    </row>
    <row r="622" spans="1:5" x14ac:dyDescent="0.35">
      <c r="A622" s="21">
        <v>200503</v>
      </c>
      <c r="B622" s="22">
        <v>57.46</v>
      </c>
      <c r="C622" s="22">
        <v>5.03</v>
      </c>
      <c r="D622" s="22">
        <v>0.77</v>
      </c>
      <c r="E622" s="26">
        <v>2.64</v>
      </c>
    </row>
    <row r="623" spans="1:5" x14ac:dyDescent="0.35">
      <c r="A623" s="23">
        <v>200504</v>
      </c>
      <c r="B623" s="24">
        <v>57.72</v>
      </c>
      <c r="C623" s="24">
        <v>5.01</v>
      </c>
      <c r="D623" s="24">
        <v>0.44</v>
      </c>
      <c r="E623" s="25">
        <v>3.09</v>
      </c>
    </row>
    <row r="624" spans="1:5" x14ac:dyDescent="0.35">
      <c r="A624" s="21">
        <v>200505</v>
      </c>
      <c r="B624" s="22">
        <v>57.95</v>
      </c>
      <c r="C624" s="22">
        <v>5.04</v>
      </c>
      <c r="D624" s="22">
        <v>0.41</v>
      </c>
      <c r="E624" s="26">
        <v>3.51</v>
      </c>
    </row>
    <row r="625" spans="1:5" x14ac:dyDescent="0.35">
      <c r="A625" s="23">
        <v>200506</v>
      </c>
      <c r="B625" s="24">
        <v>58.18</v>
      </c>
      <c r="C625" s="24">
        <v>4.83</v>
      </c>
      <c r="D625" s="24">
        <v>0.4</v>
      </c>
      <c r="E625" s="25">
        <v>3.93</v>
      </c>
    </row>
    <row r="626" spans="1:5" x14ac:dyDescent="0.35">
      <c r="A626" s="21">
        <v>200507</v>
      </c>
      <c r="B626" s="22">
        <v>58.21</v>
      </c>
      <c r="C626" s="22">
        <v>4.91</v>
      </c>
      <c r="D626" s="22">
        <v>0.05</v>
      </c>
      <c r="E626" s="26">
        <v>3.98</v>
      </c>
    </row>
    <row r="627" spans="1:5" x14ac:dyDescent="0.35">
      <c r="A627" s="23">
        <v>200508</v>
      </c>
      <c r="B627" s="24">
        <v>58.21</v>
      </c>
      <c r="C627" s="24">
        <v>4.88</v>
      </c>
      <c r="D627" s="24">
        <v>0</v>
      </c>
      <c r="E627" s="25">
        <v>3.98</v>
      </c>
    </row>
    <row r="628" spans="1:5" x14ac:dyDescent="0.35">
      <c r="A628" s="21">
        <v>200509</v>
      </c>
      <c r="B628" s="22">
        <v>58.46</v>
      </c>
      <c r="C628" s="22">
        <v>5.0199999999999996</v>
      </c>
      <c r="D628" s="22">
        <v>0.43</v>
      </c>
      <c r="E628" s="26">
        <v>4.42</v>
      </c>
    </row>
    <row r="629" spans="1:5" x14ac:dyDescent="0.35">
      <c r="A629" s="23">
        <v>200510</v>
      </c>
      <c r="B629" s="24">
        <v>58.6</v>
      </c>
      <c r="C629" s="24">
        <v>5.27</v>
      </c>
      <c r="D629" s="24">
        <v>0.23</v>
      </c>
      <c r="E629" s="25">
        <v>4.66</v>
      </c>
    </row>
    <row r="630" spans="1:5" x14ac:dyDescent="0.35">
      <c r="A630" s="21">
        <v>200511</v>
      </c>
      <c r="B630" s="22">
        <v>58.66</v>
      </c>
      <c r="C630" s="22">
        <v>5.0999999999999996</v>
      </c>
      <c r="D630" s="22">
        <v>0.11</v>
      </c>
      <c r="E630" s="26">
        <v>4.78</v>
      </c>
    </row>
    <row r="631" spans="1:5" x14ac:dyDescent="0.35">
      <c r="A631" s="23">
        <v>200512</v>
      </c>
      <c r="B631" s="24">
        <v>58.7</v>
      </c>
      <c r="C631" s="24">
        <v>4.8499999999999996</v>
      </c>
      <c r="D631" s="24">
        <v>7.0000000000000007E-2</v>
      </c>
      <c r="E631" s="25">
        <v>4.8499999999999996</v>
      </c>
    </row>
    <row r="632" spans="1:5" x14ac:dyDescent="0.35">
      <c r="A632" s="21">
        <v>200601</v>
      </c>
      <c r="B632" s="22">
        <v>59.02</v>
      </c>
      <c r="C632" s="22">
        <v>4.5599999999999996</v>
      </c>
      <c r="D632" s="22">
        <v>0.54</v>
      </c>
      <c r="E632" s="26">
        <v>0.54</v>
      </c>
    </row>
    <row r="633" spans="1:5" x14ac:dyDescent="0.35">
      <c r="A633" s="23">
        <v>200602</v>
      </c>
      <c r="B633" s="24">
        <v>59.41</v>
      </c>
      <c r="C633" s="24">
        <v>4.1900000000000004</v>
      </c>
      <c r="D633" s="24">
        <v>0.66</v>
      </c>
      <c r="E633" s="25">
        <v>1.2</v>
      </c>
    </row>
    <row r="634" spans="1:5" x14ac:dyDescent="0.35">
      <c r="A634" s="21">
        <v>200603</v>
      </c>
      <c r="B634" s="22">
        <v>59.83</v>
      </c>
      <c r="C634" s="22">
        <v>4.1100000000000003</v>
      </c>
      <c r="D634" s="22">
        <v>0.7</v>
      </c>
      <c r="E634" s="26">
        <v>1.91</v>
      </c>
    </row>
    <row r="635" spans="1:5" x14ac:dyDescent="0.35">
      <c r="A635" s="23">
        <v>200604</v>
      </c>
      <c r="B635" s="24">
        <v>60.09</v>
      </c>
      <c r="C635" s="24">
        <v>4.12</v>
      </c>
      <c r="D635" s="24">
        <v>0.45</v>
      </c>
      <c r="E635" s="25">
        <v>2.37</v>
      </c>
    </row>
    <row r="636" spans="1:5" x14ac:dyDescent="0.35">
      <c r="A636" s="21">
        <v>200605</v>
      </c>
      <c r="B636" s="22">
        <v>60.29</v>
      </c>
      <c r="C636" s="22">
        <v>4.04</v>
      </c>
      <c r="D636" s="22">
        <v>0.33</v>
      </c>
      <c r="E636" s="26">
        <v>2.71</v>
      </c>
    </row>
    <row r="637" spans="1:5" x14ac:dyDescent="0.35">
      <c r="A637" s="23">
        <v>200606</v>
      </c>
      <c r="B637" s="24">
        <v>60.48</v>
      </c>
      <c r="C637" s="24">
        <v>3.94</v>
      </c>
      <c r="D637" s="24">
        <v>0.3</v>
      </c>
      <c r="E637" s="25">
        <v>3.02</v>
      </c>
    </row>
    <row r="638" spans="1:5" x14ac:dyDescent="0.35">
      <c r="A638" s="21">
        <v>200607</v>
      </c>
      <c r="B638" s="22">
        <v>60.73</v>
      </c>
      <c r="C638" s="22">
        <v>4.32</v>
      </c>
      <c r="D638" s="22">
        <v>0.41</v>
      </c>
      <c r="E638" s="26">
        <v>3.44</v>
      </c>
    </row>
    <row r="639" spans="1:5" x14ac:dyDescent="0.35">
      <c r="A639" s="23">
        <v>200608</v>
      </c>
      <c r="B639" s="24">
        <v>60.96</v>
      </c>
      <c r="C639" s="24">
        <v>4.72</v>
      </c>
      <c r="D639" s="24">
        <v>0.39</v>
      </c>
      <c r="E639" s="25">
        <v>3.85</v>
      </c>
    </row>
    <row r="640" spans="1:5" x14ac:dyDescent="0.35">
      <c r="A640" s="21">
        <v>200609</v>
      </c>
      <c r="B640" s="22">
        <v>61.14</v>
      </c>
      <c r="C640" s="22">
        <v>4.58</v>
      </c>
      <c r="D640" s="22">
        <v>0.28999999999999998</v>
      </c>
      <c r="E640" s="26">
        <v>4.1500000000000004</v>
      </c>
    </row>
    <row r="641" spans="1:5" x14ac:dyDescent="0.35">
      <c r="A641" s="23">
        <v>200610</v>
      </c>
      <c r="B641" s="24">
        <v>61.05</v>
      </c>
      <c r="C641" s="24">
        <v>4.1900000000000004</v>
      </c>
      <c r="D641" s="24">
        <v>-0.14000000000000001</v>
      </c>
      <c r="E641" s="25">
        <v>4</v>
      </c>
    </row>
    <row r="642" spans="1:5" x14ac:dyDescent="0.35">
      <c r="A642" s="21">
        <v>200611</v>
      </c>
      <c r="B642" s="22">
        <v>61.19</v>
      </c>
      <c r="C642" s="22">
        <v>4.3099999999999996</v>
      </c>
      <c r="D642" s="22">
        <v>0.24</v>
      </c>
      <c r="E642" s="26">
        <v>4.24</v>
      </c>
    </row>
    <row r="643" spans="1:5" x14ac:dyDescent="0.35">
      <c r="A643" s="23">
        <v>200612</v>
      </c>
      <c r="B643" s="24">
        <v>61.33</v>
      </c>
      <c r="C643" s="24">
        <v>4.4800000000000004</v>
      </c>
      <c r="D643" s="24">
        <v>0.23</v>
      </c>
      <c r="E643" s="25">
        <v>4.4800000000000004</v>
      </c>
    </row>
    <row r="644" spans="1:5" x14ac:dyDescent="0.35">
      <c r="A644" s="21">
        <v>200701</v>
      </c>
      <c r="B644" s="22">
        <v>61.8</v>
      </c>
      <c r="C644" s="22">
        <v>4.71</v>
      </c>
      <c r="D644" s="22">
        <v>0.77</v>
      </c>
      <c r="E644" s="26">
        <v>0.77</v>
      </c>
    </row>
    <row r="645" spans="1:5" x14ac:dyDescent="0.35">
      <c r="A645" s="23">
        <v>200702</v>
      </c>
      <c r="B645" s="24">
        <v>62.53</v>
      </c>
      <c r="C645" s="24">
        <v>5.25</v>
      </c>
      <c r="D645" s="24">
        <v>1.17</v>
      </c>
      <c r="E645" s="25">
        <v>1.95</v>
      </c>
    </row>
    <row r="646" spans="1:5" x14ac:dyDescent="0.35">
      <c r="A646" s="21">
        <v>200703</v>
      </c>
      <c r="B646" s="22">
        <v>63.29</v>
      </c>
      <c r="C646" s="22">
        <v>5.78</v>
      </c>
      <c r="D646" s="22">
        <v>1.21</v>
      </c>
      <c r="E646" s="26">
        <v>3.18</v>
      </c>
    </row>
    <row r="647" spans="1:5" x14ac:dyDescent="0.35">
      <c r="A647" s="23">
        <v>200704</v>
      </c>
      <c r="B647" s="24">
        <v>63.85</v>
      </c>
      <c r="C647" s="24">
        <v>6.26</v>
      </c>
      <c r="D647" s="24">
        <v>0.9</v>
      </c>
      <c r="E647" s="25">
        <v>4.1100000000000003</v>
      </c>
    </row>
    <row r="648" spans="1:5" x14ac:dyDescent="0.35">
      <c r="A648" s="21">
        <v>200705</v>
      </c>
      <c r="B648" s="22">
        <v>64.05</v>
      </c>
      <c r="C648" s="22">
        <v>6.23</v>
      </c>
      <c r="D648" s="22">
        <v>0.3</v>
      </c>
      <c r="E648" s="26">
        <v>4.42</v>
      </c>
    </row>
    <row r="649" spans="1:5" x14ac:dyDescent="0.35">
      <c r="A649" s="23">
        <v>200706</v>
      </c>
      <c r="B649" s="24">
        <v>64.12</v>
      </c>
      <c r="C649" s="24">
        <v>6.03</v>
      </c>
      <c r="D649" s="24">
        <v>0.12</v>
      </c>
      <c r="E649" s="25">
        <v>4.55</v>
      </c>
    </row>
    <row r="650" spans="1:5" x14ac:dyDescent="0.35">
      <c r="A650" s="21">
        <v>200707</v>
      </c>
      <c r="B650" s="22">
        <v>64.23</v>
      </c>
      <c r="C650" s="22">
        <v>5.77</v>
      </c>
      <c r="D650" s="22">
        <v>0.17</v>
      </c>
      <c r="E650" s="26">
        <v>4.72</v>
      </c>
    </row>
    <row r="651" spans="1:5" x14ac:dyDescent="0.35">
      <c r="A651" s="23">
        <v>200708</v>
      </c>
      <c r="B651" s="24">
        <v>64.14</v>
      </c>
      <c r="C651" s="24">
        <v>5.22</v>
      </c>
      <c r="D651" s="24">
        <v>-0.13</v>
      </c>
      <c r="E651" s="25">
        <v>4.58</v>
      </c>
    </row>
    <row r="652" spans="1:5" x14ac:dyDescent="0.35">
      <c r="A652" s="21">
        <v>200709</v>
      </c>
      <c r="B652" s="22">
        <v>64.2</v>
      </c>
      <c r="C652" s="22">
        <v>5.01</v>
      </c>
      <c r="D652" s="22">
        <v>0.08</v>
      </c>
      <c r="E652" s="26">
        <v>4.67</v>
      </c>
    </row>
    <row r="653" spans="1:5" x14ac:dyDescent="0.35">
      <c r="A653" s="23">
        <v>200710</v>
      </c>
      <c r="B653" s="24">
        <v>64.2</v>
      </c>
      <c r="C653" s="24">
        <v>5.16</v>
      </c>
      <c r="D653" s="24">
        <v>0.01</v>
      </c>
      <c r="E653" s="25">
        <v>4.68</v>
      </c>
    </row>
    <row r="654" spans="1:5" x14ac:dyDescent="0.35">
      <c r="A654" s="21">
        <v>200711</v>
      </c>
      <c r="B654" s="22">
        <v>64.510000000000005</v>
      </c>
      <c r="C654" s="22">
        <v>5.41</v>
      </c>
      <c r="D654" s="22">
        <v>0.47</v>
      </c>
      <c r="E654" s="26">
        <v>5.17</v>
      </c>
    </row>
    <row r="655" spans="1:5" x14ac:dyDescent="0.35">
      <c r="A655" s="23">
        <v>200712</v>
      </c>
      <c r="B655" s="24">
        <v>64.819999999999993</v>
      </c>
      <c r="C655" s="24">
        <v>5.69</v>
      </c>
      <c r="D655" s="24">
        <v>0.49</v>
      </c>
      <c r="E655" s="25">
        <v>5.69</v>
      </c>
    </row>
    <row r="656" spans="1:5" x14ac:dyDescent="0.35">
      <c r="A656" s="21">
        <v>200801</v>
      </c>
      <c r="B656" s="22">
        <v>65.510000000000005</v>
      </c>
      <c r="C656" s="22">
        <v>6</v>
      </c>
      <c r="D656" s="22">
        <v>1.06</v>
      </c>
      <c r="E656" s="26">
        <v>1.06</v>
      </c>
    </row>
    <row r="657" spans="1:5" x14ac:dyDescent="0.35">
      <c r="A657" s="23">
        <v>200802</v>
      </c>
      <c r="B657" s="24">
        <v>66.5</v>
      </c>
      <c r="C657" s="24">
        <v>6.35</v>
      </c>
      <c r="D657" s="24">
        <v>1.51</v>
      </c>
      <c r="E657" s="25">
        <v>2.58</v>
      </c>
    </row>
    <row r="658" spans="1:5" x14ac:dyDescent="0.35">
      <c r="A658" s="21">
        <v>200803</v>
      </c>
      <c r="B658" s="22">
        <v>67.040000000000006</v>
      </c>
      <c r="C658" s="22">
        <v>5.93</v>
      </c>
      <c r="D658" s="22">
        <v>0.81</v>
      </c>
      <c r="E658" s="26">
        <v>3.41</v>
      </c>
    </row>
    <row r="659" spans="1:5" x14ac:dyDescent="0.35">
      <c r="A659" s="23">
        <v>200804</v>
      </c>
      <c r="B659" s="24">
        <v>67.510000000000005</v>
      </c>
      <c r="C659" s="24">
        <v>5.73</v>
      </c>
      <c r="D659" s="24">
        <v>0.71</v>
      </c>
      <c r="E659" s="25">
        <v>4.1500000000000004</v>
      </c>
    </row>
    <row r="660" spans="1:5" x14ac:dyDescent="0.35">
      <c r="A660" s="21">
        <v>200805</v>
      </c>
      <c r="B660" s="22">
        <v>68.14</v>
      </c>
      <c r="C660" s="22">
        <v>6.39</v>
      </c>
      <c r="D660" s="22">
        <v>0.93</v>
      </c>
      <c r="E660" s="26">
        <v>5.12</v>
      </c>
    </row>
    <row r="661" spans="1:5" x14ac:dyDescent="0.35">
      <c r="A661" s="23">
        <v>200806</v>
      </c>
      <c r="B661" s="24">
        <v>68.73</v>
      </c>
      <c r="C661" s="24">
        <v>7.18</v>
      </c>
      <c r="D661" s="24">
        <v>0.86</v>
      </c>
      <c r="E661" s="25">
        <v>6.02</v>
      </c>
    </row>
    <row r="662" spans="1:5" x14ac:dyDescent="0.35">
      <c r="A662" s="21">
        <v>200807</v>
      </c>
      <c r="B662" s="22">
        <v>69.06</v>
      </c>
      <c r="C662" s="22">
        <v>7.52</v>
      </c>
      <c r="D662" s="22">
        <v>0.48</v>
      </c>
      <c r="E662" s="26">
        <v>6.53</v>
      </c>
    </row>
    <row r="663" spans="1:5" x14ac:dyDescent="0.35">
      <c r="A663" s="23">
        <v>200808</v>
      </c>
      <c r="B663" s="24">
        <v>69.19</v>
      </c>
      <c r="C663" s="24">
        <v>7.87</v>
      </c>
      <c r="D663" s="24">
        <v>0.19</v>
      </c>
      <c r="E663" s="25">
        <v>6.74</v>
      </c>
    </row>
    <row r="664" spans="1:5" x14ac:dyDescent="0.35">
      <c r="A664" s="21">
        <v>200809</v>
      </c>
      <c r="B664" s="22">
        <v>69.06</v>
      </c>
      <c r="C664" s="22">
        <v>7.57</v>
      </c>
      <c r="D664" s="22">
        <v>-0.19</v>
      </c>
      <c r="E664" s="26">
        <v>6.53</v>
      </c>
    </row>
    <row r="665" spans="1:5" x14ac:dyDescent="0.35">
      <c r="A665" s="23">
        <v>200810</v>
      </c>
      <c r="B665" s="24">
        <v>69.3</v>
      </c>
      <c r="C665" s="24">
        <v>7.94</v>
      </c>
      <c r="D665" s="24">
        <v>0.35</v>
      </c>
      <c r="E665" s="25">
        <v>6.9</v>
      </c>
    </row>
    <row r="666" spans="1:5" x14ac:dyDescent="0.35">
      <c r="A666" s="21">
        <v>200811</v>
      </c>
      <c r="B666" s="22">
        <v>69.489999999999995</v>
      </c>
      <c r="C666" s="22">
        <v>7.73</v>
      </c>
      <c r="D666" s="22">
        <v>0.28000000000000003</v>
      </c>
      <c r="E666" s="26">
        <v>7.2</v>
      </c>
    </row>
    <row r="667" spans="1:5" x14ac:dyDescent="0.35">
      <c r="A667" s="23">
        <v>200812</v>
      </c>
      <c r="B667" s="24">
        <v>69.8</v>
      </c>
      <c r="C667" s="24">
        <v>7.67</v>
      </c>
      <c r="D667" s="24">
        <v>0.44</v>
      </c>
      <c r="E667" s="25">
        <v>7.67</v>
      </c>
    </row>
    <row r="668" spans="1:5" x14ac:dyDescent="0.35">
      <c r="A668" s="21">
        <v>200901</v>
      </c>
      <c r="B668" s="22">
        <v>70.209999999999994</v>
      </c>
      <c r="C668" s="22">
        <v>7.18</v>
      </c>
      <c r="D668" s="22">
        <v>0.59</v>
      </c>
      <c r="E668" s="26">
        <v>0.59</v>
      </c>
    </row>
    <row r="669" spans="1:5" x14ac:dyDescent="0.35">
      <c r="A669" s="23">
        <v>200902</v>
      </c>
      <c r="B669" s="24">
        <v>70.8</v>
      </c>
      <c r="C669" s="24">
        <v>6.47</v>
      </c>
      <c r="D669" s="24">
        <v>0.84</v>
      </c>
      <c r="E669" s="25">
        <v>1.43</v>
      </c>
    </row>
    <row r="670" spans="1:5" x14ac:dyDescent="0.35">
      <c r="A670" s="21">
        <v>200903</v>
      </c>
      <c r="B670" s="22">
        <v>71.150000000000006</v>
      </c>
      <c r="C670" s="22">
        <v>6.14</v>
      </c>
      <c r="D670" s="22">
        <v>0.5</v>
      </c>
      <c r="E670" s="26">
        <v>1.94</v>
      </c>
    </row>
    <row r="671" spans="1:5" x14ac:dyDescent="0.35">
      <c r="A671" s="23">
        <v>200904</v>
      </c>
      <c r="B671" s="24">
        <v>71.38</v>
      </c>
      <c r="C671" s="24">
        <v>5.73</v>
      </c>
      <c r="D671" s="24">
        <v>0.32</v>
      </c>
      <c r="E671" s="25">
        <v>2.2599999999999998</v>
      </c>
    </row>
    <row r="672" spans="1:5" x14ac:dyDescent="0.35">
      <c r="A672" s="21">
        <v>200905</v>
      </c>
      <c r="B672" s="22">
        <v>71.39</v>
      </c>
      <c r="C672" s="22">
        <v>4.7699999999999996</v>
      </c>
      <c r="D672" s="22">
        <v>0.01</v>
      </c>
      <c r="E672" s="26">
        <v>2.2799999999999998</v>
      </c>
    </row>
    <row r="673" spans="1:5" x14ac:dyDescent="0.35">
      <c r="A673" s="23">
        <v>200906</v>
      </c>
      <c r="B673" s="24">
        <v>71.349999999999994</v>
      </c>
      <c r="C673" s="24">
        <v>3.81</v>
      </c>
      <c r="D673" s="24">
        <v>-0.06</v>
      </c>
      <c r="E673" s="25">
        <v>2.2200000000000002</v>
      </c>
    </row>
    <row r="674" spans="1:5" x14ac:dyDescent="0.35">
      <c r="A674" s="21">
        <v>200907</v>
      </c>
      <c r="B674" s="22">
        <v>71.319999999999993</v>
      </c>
      <c r="C674" s="22">
        <v>3.28</v>
      </c>
      <c r="D674" s="22">
        <v>-0.04</v>
      </c>
      <c r="E674" s="26">
        <v>2.1800000000000002</v>
      </c>
    </row>
    <row r="675" spans="1:5" x14ac:dyDescent="0.35">
      <c r="A675" s="23">
        <v>200908</v>
      </c>
      <c r="B675" s="24">
        <v>71.349999999999994</v>
      </c>
      <c r="C675" s="24">
        <v>3.13</v>
      </c>
      <c r="D675" s="24">
        <v>0.04</v>
      </c>
      <c r="E675" s="25">
        <v>2.23</v>
      </c>
    </row>
    <row r="676" spans="1:5" x14ac:dyDescent="0.35">
      <c r="A676" s="21">
        <v>200909</v>
      </c>
      <c r="B676" s="22">
        <v>71.28</v>
      </c>
      <c r="C676" s="22">
        <v>3.21</v>
      </c>
      <c r="D676" s="22">
        <v>-0.11</v>
      </c>
      <c r="E676" s="26">
        <v>2.12</v>
      </c>
    </row>
    <row r="677" spans="1:5" x14ac:dyDescent="0.35">
      <c r="A677" s="23">
        <v>200910</v>
      </c>
      <c r="B677" s="24">
        <v>71.19</v>
      </c>
      <c r="C677" s="24">
        <v>2.72</v>
      </c>
      <c r="D677" s="24">
        <v>-0.13</v>
      </c>
      <c r="E677" s="25">
        <v>1.98</v>
      </c>
    </row>
    <row r="678" spans="1:5" x14ac:dyDescent="0.35">
      <c r="A678" s="21">
        <v>200911</v>
      </c>
      <c r="B678" s="22">
        <v>71.14</v>
      </c>
      <c r="C678" s="22">
        <v>2.37</v>
      </c>
      <c r="D678" s="22">
        <v>-7.0000000000000007E-2</v>
      </c>
      <c r="E678" s="26">
        <v>1.92</v>
      </c>
    </row>
    <row r="679" spans="1:5" x14ac:dyDescent="0.35">
      <c r="A679" s="23">
        <v>200912</v>
      </c>
      <c r="B679" s="24">
        <v>71.2</v>
      </c>
      <c r="C679" s="24">
        <v>2</v>
      </c>
      <c r="D679" s="24">
        <v>0.08</v>
      </c>
      <c r="E679" s="25">
        <v>2</v>
      </c>
    </row>
    <row r="680" spans="1:5" x14ac:dyDescent="0.35">
      <c r="A680" s="21">
        <v>201001</v>
      </c>
      <c r="B680" s="22">
        <v>71.69</v>
      </c>
      <c r="C680" s="22">
        <v>2.1</v>
      </c>
      <c r="D680" s="22">
        <v>0.69</v>
      </c>
      <c r="E680" s="26">
        <v>0.69</v>
      </c>
    </row>
    <row r="681" spans="1:5" x14ac:dyDescent="0.35">
      <c r="A681" s="23">
        <v>201002</v>
      </c>
      <c r="B681" s="24">
        <v>72.28</v>
      </c>
      <c r="C681" s="24">
        <v>2.09</v>
      </c>
      <c r="D681" s="24">
        <v>0.83</v>
      </c>
      <c r="E681" s="25">
        <v>1.52</v>
      </c>
    </row>
    <row r="682" spans="1:5" x14ac:dyDescent="0.35">
      <c r="A682" s="21">
        <v>201003</v>
      </c>
      <c r="B682" s="22">
        <v>72.459999999999994</v>
      </c>
      <c r="C682" s="22">
        <v>1.84</v>
      </c>
      <c r="D682" s="22">
        <v>0.25</v>
      </c>
      <c r="E682" s="26">
        <v>1.78</v>
      </c>
    </row>
    <row r="683" spans="1:5" x14ac:dyDescent="0.35">
      <c r="A683" s="23">
        <v>201004</v>
      </c>
      <c r="B683" s="24">
        <v>72.790000000000006</v>
      </c>
      <c r="C683" s="24">
        <v>1.98</v>
      </c>
      <c r="D683" s="24">
        <v>0.46</v>
      </c>
      <c r="E683" s="25">
        <v>2.2400000000000002</v>
      </c>
    </row>
    <row r="684" spans="1:5" x14ac:dyDescent="0.35">
      <c r="A684" s="21">
        <v>201005</v>
      </c>
      <c r="B684" s="22">
        <v>72.87</v>
      </c>
      <c r="C684" s="22">
        <v>2.0699999999999998</v>
      </c>
      <c r="D684" s="22">
        <v>0.1</v>
      </c>
      <c r="E684" s="26">
        <v>2.35</v>
      </c>
    </row>
    <row r="685" spans="1:5" x14ac:dyDescent="0.35">
      <c r="A685" s="23">
        <v>201006</v>
      </c>
      <c r="B685" s="24">
        <v>72.95</v>
      </c>
      <c r="C685" s="24">
        <v>2.25</v>
      </c>
      <c r="D685" s="24">
        <v>0.11</v>
      </c>
      <c r="E685" s="25">
        <v>2.4700000000000002</v>
      </c>
    </row>
    <row r="686" spans="1:5" x14ac:dyDescent="0.35">
      <c r="A686" s="21">
        <v>201007</v>
      </c>
      <c r="B686" s="22">
        <v>72.92</v>
      </c>
      <c r="C686" s="22">
        <v>2.2400000000000002</v>
      </c>
      <c r="D686" s="22">
        <v>-0.04</v>
      </c>
      <c r="E686" s="26">
        <v>2.42</v>
      </c>
    </row>
    <row r="687" spans="1:5" x14ac:dyDescent="0.35">
      <c r="A687" s="23">
        <v>201008</v>
      </c>
      <c r="B687" s="24">
        <v>73</v>
      </c>
      <c r="C687" s="24">
        <v>2.31</v>
      </c>
      <c r="D687" s="24">
        <v>0.11</v>
      </c>
      <c r="E687" s="25">
        <v>2.54</v>
      </c>
    </row>
    <row r="688" spans="1:5" x14ac:dyDescent="0.35">
      <c r="A688" s="21">
        <v>201009</v>
      </c>
      <c r="B688" s="22">
        <v>72.900000000000006</v>
      </c>
      <c r="C688" s="22">
        <v>2.2799999999999998</v>
      </c>
      <c r="D688" s="22">
        <v>-0.14000000000000001</v>
      </c>
      <c r="E688" s="26">
        <v>2.4</v>
      </c>
    </row>
    <row r="689" spans="1:5" x14ac:dyDescent="0.35">
      <c r="A689" s="23">
        <v>201010</v>
      </c>
      <c r="B689" s="24">
        <v>72.84</v>
      </c>
      <c r="C689" s="24">
        <v>2.33</v>
      </c>
      <c r="D689" s="24">
        <v>-0.09</v>
      </c>
      <c r="E689" s="25">
        <v>2.31</v>
      </c>
    </row>
    <row r="690" spans="1:5" x14ac:dyDescent="0.35">
      <c r="A690" s="21">
        <v>201011</v>
      </c>
      <c r="B690" s="22">
        <v>72.98</v>
      </c>
      <c r="C690" s="22">
        <v>2.59</v>
      </c>
      <c r="D690" s="22">
        <v>0.19</v>
      </c>
      <c r="E690" s="26">
        <v>2.5099999999999998</v>
      </c>
    </row>
    <row r="691" spans="1:5" x14ac:dyDescent="0.35">
      <c r="A691" s="23">
        <v>201012</v>
      </c>
      <c r="B691" s="24">
        <v>73.45</v>
      </c>
      <c r="C691" s="24">
        <v>3.17</v>
      </c>
      <c r="D691" s="24">
        <v>0.65</v>
      </c>
      <c r="E691" s="25">
        <v>3.17</v>
      </c>
    </row>
    <row r="692" spans="1:5" x14ac:dyDescent="0.35">
      <c r="A692" s="21">
        <v>201101</v>
      </c>
      <c r="B692" s="22">
        <v>74.12</v>
      </c>
      <c r="C692" s="22">
        <v>3.4</v>
      </c>
      <c r="D692" s="22">
        <v>0.91</v>
      </c>
      <c r="E692" s="26">
        <v>0.91</v>
      </c>
    </row>
    <row r="693" spans="1:5" x14ac:dyDescent="0.35">
      <c r="A693" s="23">
        <v>201102</v>
      </c>
      <c r="B693" s="24">
        <v>74.569999999999993</v>
      </c>
      <c r="C693" s="24">
        <v>3.17</v>
      </c>
      <c r="D693" s="24">
        <v>0.6</v>
      </c>
      <c r="E693" s="25">
        <v>1.52</v>
      </c>
    </row>
    <row r="694" spans="1:5" x14ac:dyDescent="0.35">
      <c r="A694" s="21">
        <v>201103</v>
      </c>
      <c r="B694" s="22">
        <v>74.77</v>
      </c>
      <c r="C694" s="22">
        <v>3.19</v>
      </c>
      <c r="D694" s="22">
        <v>0.27</v>
      </c>
      <c r="E694" s="26">
        <v>1.79</v>
      </c>
    </row>
    <row r="695" spans="1:5" x14ac:dyDescent="0.35">
      <c r="A695" s="23">
        <v>201104</v>
      </c>
      <c r="B695" s="24">
        <v>74.86</v>
      </c>
      <c r="C695" s="24">
        <v>2.84</v>
      </c>
      <c r="D695" s="24">
        <v>0.12</v>
      </c>
      <c r="E695" s="25">
        <v>1.91</v>
      </c>
    </row>
    <row r="696" spans="1:5" x14ac:dyDescent="0.35">
      <c r="A696" s="21">
        <v>201105</v>
      </c>
      <c r="B696" s="22">
        <v>75.069999999999993</v>
      </c>
      <c r="C696" s="22">
        <v>3.02</v>
      </c>
      <c r="D696" s="22">
        <v>0.28000000000000003</v>
      </c>
      <c r="E696" s="26">
        <v>2.2000000000000002</v>
      </c>
    </row>
    <row r="697" spans="1:5" x14ac:dyDescent="0.35">
      <c r="A697" s="23">
        <v>201106</v>
      </c>
      <c r="B697" s="24">
        <v>75.31</v>
      </c>
      <c r="C697" s="24">
        <v>3.23</v>
      </c>
      <c r="D697" s="24">
        <v>0.32</v>
      </c>
      <c r="E697" s="25">
        <v>2.5299999999999998</v>
      </c>
    </row>
    <row r="698" spans="1:5" x14ac:dyDescent="0.35">
      <c r="A698" s="21">
        <v>201107</v>
      </c>
      <c r="B698" s="22">
        <v>75.42</v>
      </c>
      <c r="C698" s="22">
        <v>3.42</v>
      </c>
      <c r="D698" s="22">
        <v>0.14000000000000001</v>
      </c>
      <c r="E698" s="26">
        <v>2.67</v>
      </c>
    </row>
    <row r="699" spans="1:5" x14ac:dyDescent="0.35">
      <c r="A699" s="23">
        <v>201108</v>
      </c>
      <c r="B699" s="24">
        <v>75.39</v>
      </c>
      <c r="C699" s="24">
        <v>3.27</v>
      </c>
      <c r="D699" s="24">
        <v>-0.03</v>
      </c>
      <c r="E699" s="25">
        <v>2.64</v>
      </c>
    </row>
    <row r="700" spans="1:5" x14ac:dyDescent="0.35">
      <c r="A700" s="21">
        <v>201109</v>
      </c>
      <c r="B700" s="22">
        <v>75.62</v>
      </c>
      <c r="C700" s="22">
        <v>3.73</v>
      </c>
      <c r="D700" s="22">
        <v>0.31</v>
      </c>
      <c r="E700" s="26">
        <v>2.95</v>
      </c>
    </row>
    <row r="701" spans="1:5" x14ac:dyDescent="0.35">
      <c r="A701" s="23">
        <v>201110</v>
      </c>
      <c r="B701" s="24">
        <v>75.77</v>
      </c>
      <c r="C701" s="24">
        <v>4.0199999999999996</v>
      </c>
      <c r="D701" s="24">
        <v>0.19</v>
      </c>
      <c r="E701" s="25">
        <v>3.15</v>
      </c>
    </row>
    <row r="702" spans="1:5" x14ac:dyDescent="0.35">
      <c r="A702" s="21">
        <v>201111</v>
      </c>
      <c r="B702" s="22">
        <v>75.87</v>
      </c>
      <c r="C702" s="22">
        <v>3.96</v>
      </c>
      <c r="D702" s="22">
        <v>0.14000000000000001</v>
      </c>
      <c r="E702" s="26">
        <v>3.29</v>
      </c>
    </row>
    <row r="703" spans="1:5" x14ac:dyDescent="0.35">
      <c r="A703" s="23">
        <v>201112</v>
      </c>
      <c r="B703" s="24">
        <v>76.19</v>
      </c>
      <c r="C703" s="24">
        <v>3.73</v>
      </c>
      <c r="D703" s="24">
        <v>0.42</v>
      </c>
      <c r="E703" s="25">
        <v>3.73</v>
      </c>
    </row>
    <row r="704" spans="1:5" x14ac:dyDescent="0.35">
      <c r="A704" s="21">
        <v>201201</v>
      </c>
      <c r="B704" s="22">
        <v>76.75</v>
      </c>
      <c r="C704" s="22">
        <v>3.54</v>
      </c>
      <c r="D704" s="22">
        <v>0.73</v>
      </c>
      <c r="E704" s="26">
        <v>0.73</v>
      </c>
    </row>
    <row r="705" spans="1:5" x14ac:dyDescent="0.35">
      <c r="A705" s="23">
        <v>201202</v>
      </c>
      <c r="B705" s="24">
        <v>77.22</v>
      </c>
      <c r="C705" s="24">
        <v>3.55</v>
      </c>
      <c r="D705" s="24">
        <v>0.61</v>
      </c>
      <c r="E705" s="25">
        <v>1.35</v>
      </c>
    </row>
    <row r="706" spans="1:5" x14ac:dyDescent="0.35">
      <c r="A706" s="21">
        <v>201203</v>
      </c>
      <c r="B706" s="22">
        <v>77.31</v>
      </c>
      <c r="C706" s="22">
        <v>3.4</v>
      </c>
      <c r="D706" s="22">
        <v>0.12</v>
      </c>
      <c r="E706" s="26">
        <v>1.47</v>
      </c>
    </row>
    <row r="707" spans="1:5" x14ac:dyDescent="0.35">
      <c r="A707" s="23">
        <v>201204</v>
      </c>
      <c r="B707" s="24">
        <v>77.42</v>
      </c>
      <c r="C707" s="24">
        <v>3.43</v>
      </c>
      <c r="D707" s="24">
        <v>0.14000000000000001</v>
      </c>
      <c r="E707" s="25">
        <v>1.62</v>
      </c>
    </row>
    <row r="708" spans="1:5" x14ac:dyDescent="0.35">
      <c r="A708" s="21">
        <v>201205</v>
      </c>
      <c r="B708" s="22">
        <v>77.66</v>
      </c>
      <c r="C708" s="22">
        <v>3.44</v>
      </c>
      <c r="D708" s="22">
        <v>0.3</v>
      </c>
      <c r="E708" s="26">
        <v>1.92</v>
      </c>
    </row>
    <row r="709" spans="1:5" x14ac:dyDescent="0.35">
      <c r="A709" s="23">
        <v>201206</v>
      </c>
      <c r="B709" s="24">
        <v>77.72</v>
      </c>
      <c r="C709" s="24">
        <v>3.2</v>
      </c>
      <c r="D709" s="24">
        <v>0.08</v>
      </c>
      <c r="E709" s="25">
        <v>2.0099999999999998</v>
      </c>
    </row>
    <row r="710" spans="1:5" x14ac:dyDescent="0.35">
      <c r="A710" s="21">
        <v>201207</v>
      </c>
      <c r="B710" s="22">
        <v>77.7</v>
      </c>
      <c r="C710" s="22">
        <v>3.03</v>
      </c>
      <c r="D710" s="22">
        <v>-0.02</v>
      </c>
      <c r="E710" s="26">
        <v>1.98</v>
      </c>
    </row>
    <row r="711" spans="1:5" x14ac:dyDescent="0.35">
      <c r="A711" s="23">
        <v>201208</v>
      </c>
      <c r="B711" s="24">
        <v>77.73</v>
      </c>
      <c r="C711" s="24">
        <v>3.11</v>
      </c>
      <c r="D711" s="24">
        <v>0.04</v>
      </c>
      <c r="E711" s="25">
        <v>2.0299999999999998</v>
      </c>
    </row>
    <row r="712" spans="1:5" x14ac:dyDescent="0.35">
      <c r="A712" s="21">
        <v>201209</v>
      </c>
      <c r="B712" s="22">
        <v>77.959999999999994</v>
      </c>
      <c r="C712" s="22">
        <v>3.08</v>
      </c>
      <c r="D712" s="22">
        <v>0.28999999999999998</v>
      </c>
      <c r="E712" s="26">
        <v>2.3199999999999998</v>
      </c>
    </row>
    <row r="713" spans="1:5" x14ac:dyDescent="0.35">
      <c r="A713" s="23">
        <v>201210</v>
      </c>
      <c r="B713" s="24">
        <v>78.08</v>
      </c>
      <c r="C713" s="24">
        <v>3.06</v>
      </c>
      <c r="D713" s="24">
        <v>0.16</v>
      </c>
      <c r="E713" s="25">
        <v>2.48</v>
      </c>
    </row>
    <row r="714" spans="1:5" x14ac:dyDescent="0.35">
      <c r="A714" s="21">
        <v>201211</v>
      </c>
      <c r="B714" s="22">
        <v>77.98</v>
      </c>
      <c r="C714" s="22">
        <v>2.77</v>
      </c>
      <c r="D714" s="22">
        <v>-0.14000000000000001</v>
      </c>
      <c r="E714" s="26">
        <v>2.34</v>
      </c>
    </row>
    <row r="715" spans="1:5" x14ac:dyDescent="0.35">
      <c r="A715" s="23">
        <v>201212</v>
      </c>
      <c r="B715" s="24">
        <v>78.05</v>
      </c>
      <c r="C715" s="24">
        <v>2.44</v>
      </c>
      <c r="D715" s="24">
        <v>0.09</v>
      </c>
      <c r="E715" s="25">
        <v>2.44</v>
      </c>
    </row>
    <row r="716" spans="1:5" x14ac:dyDescent="0.35">
      <c r="A716" s="21">
        <v>201301</v>
      </c>
      <c r="B716" s="22">
        <v>78.28</v>
      </c>
      <c r="C716" s="22">
        <v>2</v>
      </c>
      <c r="D716" s="22">
        <v>0.3</v>
      </c>
      <c r="E716" s="26">
        <v>0.3</v>
      </c>
    </row>
    <row r="717" spans="1:5" x14ac:dyDescent="0.35">
      <c r="A717" s="23">
        <v>201302</v>
      </c>
      <c r="B717" s="24">
        <v>78.63</v>
      </c>
      <c r="C717" s="24">
        <v>1.83</v>
      </c>
      <c r="D717" s="24">
        <v>0.44</v>
      </c>
      <c r="E717" s="25">
        <v>0.74</v>
      </c>
    </row>
    <row r="718" spans="1:5" x14ac:dyDescent="0.35">
      <c r="A718" s="21">
        <v>201303</v>
      </c>
      <c r="B718" s="22">
        <v>78.790000000000006</v>
      </c>
      <c r="C718" s="22">
        <v>1.91</v>
      </c>
      <c r="D718" s="22">
        <v>0.21</v>
      </c>
      <c r="E718" s="26">
        <v>0.95</v>
      </c>
    </row>
    <row r="719" spans="1:5" x14ac:dyDescent="0.35">
      <c r="A719" s="23">
        <v>201304</v>
      </c>
      <c r="B719" s="24">
        <v>78.989999999999995</v>
      </c>
      <c r="C719" s="24">
        <v>2.02</v>
      </c>
      <c r="D719" s="24">
        <v>0.25</v>
      </c>
      <c r="E719" s="25">
        <v>1.21</v>
      </c>
    </row>
    <row r="720" spans="1:5" x14ac:dyDescent="0.35">
      <c r="A720" s="21">
        <v>201305</v>
      </c>
      <c r="B720" s="22">
        <v>79.209999999999994</v>
      </c>
      <c r="C720" s="22">
        <v>2</v>
      </c>
      <c r="D720" s="22">
        <v>0.28000000000000003</v>
      </c>
      <c r="E720" s="26">
        <v>1.49</v>
      </c>
    </row>
    <row r="721" spans="1:5" x14ac:dyDescent="0.35">
      <c r="A721" s="23">
        <v>201306</v>
      </c>
      <c r="B721" s="24">
        <v>79.39</v>
      </c>
      <c r="C721" s="24">
        <v>2.16</v>
      </c>
      <c r="D721" s="24">
        <v>0.23</v>
      </c>
      <c r="E721" s="25">
        <v>1.73</v>
      </c>
    </row>
    <row r="722" spans="1:5" x14ac:dyDescent="0.35">
      <c r="A722" s="21">
        <v>201307</v>
      </c>
      <c r="B722" s="22">
        <v>79.430000000000007</v>
      </c>
      <c r="C722" s="22">
        <v>2.2200000000000002</v>
      </c>
      <c r="D722" s="22">
        <v>0.04</v>
      </c>
      <c r="E722" s="26">
        <v>1.77</v>
      </c>
    </row>
    <row r="723" spans="1:5" x14ac:dyDescent="0.35">
      <c r="A723" s="23">
        <v>201308</v>
      </c>
      <c r="B723" s="24">
        <v>79.5</v>
      </c>
      <c r="C723" s="24">
        <v>2.27</v>
      </c>
      <c r="D723" s="24">
        <v>0.08</v>
      </c>
      <c r="E723" s="25">
        <v>1.86</v>
      </c>
    </row>
    <row r="724" spans="1:5" x14ac:dyDescent="0.35">
      <c r="A724" s="21">
        <v>201309</v>
      </c>
      <c r="B724" s="22">
        <v>79.73</v>
      </c>
      <c r="C724" s="22">
        <v>2.27</v>
      </c>
      <c r="D724" s="22">
        <v>0.28999999999999998</v>
      </c>
      <c r="E724" s="26">
        <v>2.16</v>
      </c>
    </row>
    <row r="725" spans="1:5" x14ac:dyDescent="0.35">
      <c r="A725" s="23">
        <v>201310</v>
      </c>
      <c r="B725" s="24">
        <v>79.52</v>
      </c>
      <c r="C725" s="24">
        <v>1.84</v>
      </c>
      <c r="D725" s="24">
        <v>-0.26</v>
      </c>
      <c r="E725" s="25">
        <v>1.89</v>
      </c>
    </row>
    <row r="726" spans="1:5" x14ac:dyDescent="0.35">
      <c r="A726" s="21">
        <v>201311</v>
      </c>
      <c r="B726" s="22">
        <v>79.349999999999994</v>
      </c>
      <c r="C726" s="22">
        <v>1.76</v>
      </c>
      <c r="D726" s="22">
        <v>-0.22</v>
      </c>
      <c r="E726" s="26">
        <v>1.67</v>
      </c>
    </row>
    <row r="727" spans="1:5" x14ac:dyDescent="0.35">
      <c r="A727" s="23">
        <v>201312</v>
      </c>
      <c r="B727" s="24">
        <v>79.56</v>
      </c>
      <c r="C727" s="24">
        <v>1.94</v>
      </c>
      <c r="D727" s="24">
        <v>0.26</v>
      </c>
      <c r="E727" s="25">
        <v>1.94</v>
      </c>
    </row>
    <row r="728" spans="1:5" x14ac:dyDescent="0.35">
      <c r="A728" s="21">
        <v>201401</v>
      </c>
      <c r="B728" s="22">
        <v>79.95</v>
      </c>
      <c r="C728" s="22">
        <v>2.13</v>
      </c>
      <c r="D728" s="22">
        <v>0.49</v>
      </c>
      <c r="E728" s="26">
        <v>0.49</v>
      </c>
    </row>
    <row r="729" spans="1:5" x14ac:dyDescent="0.35">
      <c r="A729" s="23">
        <v>201402</v>
      </c>
      <c r="B729" s="24">
        <v>80.45</v>
      </c>
      <c r="C729" s="24">
        <v>2.3199999999999998</v>
      </c>
      <c r="D729" s="24">
        <v>0.63</v>
      </c>
      <c r="E729" s="25">
        <v>1.1200000000000001</v>
      </c>
    </row>
    <row r="730" spans="1:5" x14ac:dyDescent="0.35">
      <c r="A730" s="21">
        <v>201403</v>
      </c>
      <c r="B730" s="22">
        <v>80.77</v>
      </c>
      <c r="C730" s="22">
        <v>2.5099999999999998</v>
      </c>
      <c r="D730" s="22">
        <v>0.39</v>
      </c>
      <c r="E730" s="26">
        <v>1.52</v>
      </c>
    </row>
    <row r="731" spans="1:5" x14ac:dyDescent="0.35">
      <c r="A731" s="23">
        <v>201404</v>
      </c>
      <c r="B731" s="24">
        <v>81.14</v>
      </c>
      <c r="C731" s="24">
        <v>2.72</v>
      </c>
      <c r="D731" s="24">
        <v>0.46</v>
      </c>
      <c r="E731" s="25">
        <v>1.98</v>
      </c>
    </row>
    <row r="732" spans="1:5" x14ac:dyDescent="0.35">
      <c r="A732" s="21">
        <v>201405</v>
      </c>
      <c r="B732" s="22">
        <v>81.53</v>
      </c>
      <c r="C732" s="22">
        <v>2.93</v>
      </c>
      <c r="D732" s="22">
        <v>0.48</v>
      </c>
      <c r="E732" s="26">
        <v>2.48</v>
      </c>
    </row>
    <row r="733" spans="1:5" x14ac:dyDescent="0.35">
      <c r="A733" s="23">
        <v>201406</v>
      </c>
      <c r="B733" s="24">
        <v>81.61</v>
      </c>
      <c r="C733" s="24">
        <v>2.79</v>
      </c>
      <c r="D733" s="24">
        <v>0.09</v>
      </c>
      <c r="E733" s="25">
        <v>2.57</v>
      </c>
    </row>
    <row r="734" spans="1:5" x14ac:dyDescent="0.35">
      <c r="A734" s="21">
        <v>201407</v>
      </c>
      <c r="B734" s="22">
        <v>81.73</v>
      </c>
      <c r="C734" s="22">
        <v>2.89</v>
      </c>
      <c r="D734" s="22">
        <v>0.15</v>
      </c>
      <c r="E734" s="26">
        <v>2.73</v>
      </c>
    </row>
    <row r="735" spans="1:5" x14ac:dyDescent="0.35">
      <c r="A735" s="23">
        <v>201408</v>
      </c>
      <c r="B735" s="24">
        <v>81.900000000000006</v>
      </c>
      <c r="C735" s="24">
        <v>3.02</v>
      </c>
      <c r="D735" s="24">
        <v>0.2</v>
      </c>
      <c r="E735" s="25">
        <v>2.94</v>
      </c>
    </row>
    <row r="736" spans="1:5" x14ac:dyDescent="0.35">
      <c r="A736" s="21">
        <v>201409</v>
      </c>
      <c r="B736" s="22">
        <v>82.01</v>
      </c>
      <c r="C736" s="22">
        <v>2.86</v>
      </c>
      <c r="D736" s="22">
        <v>0.14000000000000001</v>
      </c>
      <c r="E736" s="26">
        <v>3.08</v>
      </c>
    </row>
    <row r="737" spans="1:5" x14ac:dyDescent="0.35">
      <c r="A737" s="23">
        <v>201410</v>
      </c>
      <c r="B737" s="24">
        <v>82.14</v>
      </c>
      <c r="C737" s="24">
        <v>3.29</v>
      </c>
      <c r="D737" s="24">
        <v>0.16</v>
      </c>
      <c r="E737" s="25">
        <v>3.25</v>
      </c>
    </row>
    <row r="738" spans="1:5" x14ac:dyDescent="0.35">
      <c r="A738" s="21">
        <v>201411</v>
      </c>
      <c r="B738" s="22">
        <v>82.25</v>
      </c>
      <c r="C738" s="22">
        <v>3.65</v>
      </c>
      <c r="D738" s="22">
        <v>0.13</v>
      </c>
      <c r="E738" s="26">
        <v>3.38</v>
      </c>
    </row>
    <row r="739" spans="1:5" x14ac:dyDescent="0.35">
      <c r="A739" s="23">
        <v>201412</v>
      </c>
      <c r="B739" s="24">
        <v>82.47</v>
      </c>
      <c r="C739" s="24">
        <v>3.66</v>
      </c>
      <c r="D739" s="24">
        <v>0.27</v>
      </c>
      <c r="E739" s="25">
        <v>3.66</v>
      </c>
    </row>
    <row r="740" spans="1:5" x14ac:dyDescent="0.35">
      <c r="A740" s="21">
        <v>201501</v>
      </c>
      <c r="B740" s="22">
        <v>83</v>
      </c>
      <c r="C740" s="22">
        <v>3.82</v>
      </c>
      <c r="D740" s="22">
        <v>0.64</v>
      </c>
      <c r="E740" s="26">
        <v>0.64</v>
      </c>
    </row>
    <row r="741" spans="1:5" x14ac:dyDescent="0.35">
      <c r="A741" s="23">
        <v>201502</v>
      </c>
      <c r="B741" s="24">
        <v>83.96</v>
      </c>
      <c r="C741" s="24">
        <v>4.3600000000000003</v>
      </c>
      <c r="D741" s="24">
        <v>1.1499999999999999</v>
      </c>
      <c r="E741" s="25">
        <v>1.8</v>
      </c>
    </row>
    <row r="742" spans="1:5" x14ac:dyDescent="0.35">
      <c r="A742" s="21">
        <v>201503</v>
      </c>
      <c r="B742" s="22">
        <v>84.45</v>
      </c>
      <c r="C742" s="22">
        <v>4.5599999999999996</v>
      </c>
      <c r="D742" s="22">
        <v>0.59</v>
      </c>
      <c r="E742" s="26">
        <v>2.4</v>
      </c>
    </row>
    <row r="743" spans="1:5" x14ac:dyDescent="0.35">
      <c r="A743" s="23">
        <v>201504</v>
      </c>
      <c r="B743" s="24">
        <v>84.9</v>
      </c>
      <c r="C743" s="24">
        <v>4.6399999999999997</v>
      </c>
      <c r="D743" s="24">
        <v>0.54</v>
      </c>
      <c r="E743" s="25">
        <v>2.95</v>
      </c>
    </row>
    <row r="744" spans="1:5" x14ac:dyDescent="0.35">
      <c r="A744" s="21">
        <v>201505</v>
      </c>
      <c r="B744" s="22">
        <v>85.12</v>
      </c>
      <c r="C744" s="22">
        <v>4.41</v>
      </c>
      <c r="D744" s="22">
        <v>0.26</v>
      </c>
      <c r="E744" s="26">
        <v>3.22</v>
      </c>
    </row>
    <row r="745" spans="1:5" x14ac:dyDescent="0.35">
      <c r="A745" s="23">
        <v>201506</v>
      </c>
      <c r="B745" s="24">
        <v>85.21</v>
      </c>
      <c r="C745" s="24">
        <v>4.42</v>
      </c>
      <c r="D745" s="24">
        <v>0.1</v>
      </c>
      <c r="E745" s="25">
        <v>3.33</v>
      </c>
    </row>
    <row r="746" spans="1:5" x14ac:dyDescent="0.35">
      <c r="A746" s="21">
        <v>201507</v>
      </c>
      <c r="B746" s="22">
        <v>85.37</v>
      </c>
      <c r="C746" s="22">
        <v>4.46</v>
      </c>
      <c r="D746" s="22">
        <v>0.19</v>
      </c>
      <c r="E746" s="26">
        <v>3.52</v>
      </c>
    </row>
    <row r="747" spans="1:5" x14ac:dyDescent="0.35">
      <c r="A747" s="23">
        <v>201508</v>
      </c>
      <c r="B747" s="24">
        <v>85.78</v>
      </c>
      <c r="C747" s="24">
        <v>4.74</v>
      </c>
      <c r="D747" s="24">
        <v>0.48</v>
      </c>
      <c r="E747" s="25">
        <v>4.0199999999999996</v>
      </c>
    </row>
    <row r="748" spans="1:5" x14ac:dyDescent="0.35">
      <c r="A748" s="21">
        <v>201509</v>
      </c>
      <c r="B748" s="22">
        <v>86.39</v>
      </c>
      <c r="C748" s="22">
        <v>5.35</v>
      </c>
      <c r="D748" s="22">
        <v>0.72</v>
      </c>
      <c r="E748" s="26">
        <v>4.76</v>
      </c>
    </row>
    <row r="749" spans="1:5" x14ac:dyDescent="0.35">
      <c r="A749" s="23">
        <v>201510</v>
      </c>
      <c r="B749" s="24">
        <v>86.98</v>
      </c>
      <c r="C749" s="24">
        <v>5.89</v>
      </c>
      <c r="D749" s="24">
        <v>0.68</v>
      </c>
      <c r="E749" s="25">
        <v>5.47</v>
      </c>
    </row>
    <row r="750" spans="1:5" x14ac:dyDescent="0.35">
      <c r="A750" s="21">
        <v>201511</v>
      </c>
      <c r="B750" s="22">
        <v>87.51</v>
      </c>
      <c r="C750" s="22">
        <v>6.39</v>
      </c>
      <c r="D750" s="22">
        <v>0.6</v>
      </c>
      <c r="E750" s="26">
        <v>6.11</v>
      </c>
    </row>
    <row r="751" spans="1:5" x14ac:dyDescent="0.35">
      <c r="A751" s="23">
        <v>201512</v>
      </c>
      <c r="B751" s="24">
        <v>88.05</v>
      </c>
      <c r="C751" s="24">
        <v>6.77</v>
      </c>
      <c r="D751" s="24">
        <v>0.62</v>
      </c>
      <c r="E751" s="25">
        <v>6.77</v>
      </c>
    </row>
    <row r="752" spans="1:5" x14ac:dyDescent="0.35">
      <c r="A752" s="21">
        <v>201601</v>
      </c>
      <c r="B752" s="22">
        <v>89.19</v>
      </c>
      <c r="C752" s="22">
        <v>7.45</v>
      </c>
      <c r="D752" s="22">
        <v>1.29</v>
      </c>
      <c r="E752" s="26">
        <v>1.29</v>
      </c>
    </row>
    <row r="753" spans="1:5" x14ac:dyDescent="0.35">
      <c r="A753" s="23">
        <v>201602</v>
      </c>
      <c r="B753" s="24">
        <v>90.33</v>
      </c>
      <c r="C753" s="24">
        <v>7.59</v>
      </c>
      <c r="D753" s="24">
        <v>1.28</v>
      </c>
      <c r="E753" s="25">
        <v>2.59</v>
      </c>
    </row>
    <row r="754" spans="1:5" x14ac:dyDescent="0.35">
      <c r="A754" s="21">
        <v>201603</v>
      </c>
      <c r="B754" s="22">
        <v>91.18</v>
      </c>
      <c r="C754" s="22">
        <v>7.98</v>
      </c>
      <c r="D754" s="22">
        <v>0.94</v>
      </c>
      <c r="E754" s="26">
        <v>3.55</v>
      </c>
    </row>
    <row r="755" spans="1:5" x14ac:dyDescent="0.35">
      <c r="A755" s="23">
        <v>201604</v>
      </c>
      <c r="B755" s="24">
        <v>91.63</v>
      </c>
      <c r="C755" s="24">
        <v>7.93</v>
      </c>
      <c r="D755" s="24">
        <v>0.5</v>
      </c>
      <c r="E755" s="25">
        <v>4.07</v>
      </c>
    </row>
    <row r="756" spans="1:5" x14ac:dyDescent="0.35">
      <c r="A756" s="21">
        <v>201605</v>
      </c>
      <c r="B756" s="22">
        <v>92.1</v>
      </c>
      <c r="C756" s="22">
        <v>8.1999999999999993</v>
      </c>
      <c r="D756" s="22">
        <v>0.51</v>
      </c>
      <c r="E756" s="26">
        <v>4.5999999999999996</v>
      </c>
    </row>
    <row r="757" spans="1:5" x14ac:dyDescent="0.35">
      <c r="A757" s="23">
        <v>201606</v>
      </c>
      <c r="B757" s="24">
        <v>92.54</v>
      </c>
      <c r="C757" s="24">
        <v>8.6</v>
      </c>
      <c r="D757" s="24">
        <v>0.48</v>
      </c>
      <c r="E757" s="25">
        <v>5.0999999999999996</v>
      </c>
    </row>
    <row r="758" spans="1:5" x14ac:dyDescent="0.35">
      <c r="A758" s="21">
        <v>201607</v>
      </c>
      <c r="B758" s="22">
        <v>93.02</v>
      </c>
      <c r="C758" s="22">
        <v>8.9700000000000006</v>
      </c>
      <c r="D758" s="22">
        <v>0.52</v>
      </c>
      <c r="E758" s="26">
        <v>5.65</v>
      </c>
    </row>
    <row r="759" spans="1:5" x14ac:dyDescent="0.35">
      <c r="A759" s="23">
        <v>201608</v>
      </c>
      <c r="B759" s="24">
        <v>92.73</v>
      </c>
      <c r="C759" s="24">
        <v>8.1</v>
      </c>
      <c r="D759" s="24">
        <v>-0.32</v>
      </c>
      <c r="E759" s="25">
        <v>5.31</v>
      </c>
    </row>
    <row r="760" spans="1:5" x14ac:dyDescent="0.35">
      <c r="A760" s="21">
        <v>201609</v>
      </c>
      <c r="B760" s="22">
        <v>92.68</v>
      </c>
      <c r="C760" s="22">
        <v>7.27</v>
      </c>
      <c r="D760" s="22">
        <v>-0.05</v>
      </c>
      <c r="E760" s="26">
        <v>5.25</v>
      </c>
    </row>
    <row r="761" spans="1:5" x14ac:dyDescent="0.35">
      <c r="A761" s="23">
        <v>201610</v>
      </c>
      <c r="B761" s="24">
        <v>92.62</v>
      </c>
      <c r="C761" s="24">
        <v>6.48</v>
      </c>
      <c r="D761" s="24">
        <v>-0.06</v>
      </c>
      <c r="E761" s="25">
        <v>5.19</v>
      </c>
    </row>
    <row r="762" spans="1:5" x14ac:dyDescent="0.35">
      <c r="A762" s="21">
        <v>201611</v>
      </c>
      <c r="B762" s="22">
        <v>92.73</v>
      </c>
      <c r="C762" s="22">
        <v>5.96</v>
      </c>
      <c r="D762" s="22">
        <v>0.11</v>
      </c>
      <c r="E762" s="26">
        <v>5.31</v>
      </c>
    </row>
    <row r="763" spans="1:5" x14ac:dyDescent="0.35">
      <c r="A763" s="23">
        <v>201612</v>
      </c>
      <c r="B763" s="24">
        <v>93.11</v>
      </c>
      <c r="C763" s="24">
        <v>5.75</v>
      </c>
      <c r="D763" s="24">
        <v>0.42</v>
      </c>
      <c r="E763" s="25">
        <v>5.75</v>
      </c>
    </row>
    <row r="764" spans="1:5" x14ac:dyDescent="0.35">
      <c r="A764" s="21">
        <v>201701</v>
      </c>
      <c r="B764" s="22">
        <v>94.07</v>
      </c>
      <c r="C764" s="22">
        <v>5.47</v>
      </c>
      <c r="D764" s="22">
        <v>1.02</v>
      </c>
      <c r="E764" s="26">
        <v>1.02</v>
      </c>
    </row>
    <row r="765" spans="1:5" x14ac:dyDescent="0.35">
      <c r="A765" s="23">
        <v>201702</v>
      </c>
      <c r="B765" s="24">
        <v>95.01</v>
      </c>
      <c r="C765" s="24">
        <v>5.18</v>
      </c>
      <c r="D765" s="24">
        <v>1.01</v>
      </c>
      <c r="E765" s="25">
        <v>2.04</v>
      </c>
    </row>
    <row r="766" spans="1:5" x14ac:dyDescent="0.35">
      <c r="A766" s="21">
        <v>201703</v>
      </c>
      <c r="B766" s="22">
        <v>95.46</v>
      </c>
      <c r="C766" s="22">
        <v>4.6900000000000004</v>
      </c>
      <c r="D766" s="22">
        <v>0.47</v>
      </c>
      <c r="E766" s="26">
        <v>2.52</v>
      </c>
    </row>
    <row r="767" spans="1:5" x14ac:dyDescent="0.35">
      <c r="A767" s="23">
        <v>201704</v>
      </c>
      <c r="B767" s="24">
        <v>95.91</v>
      </c>
      <c r="C767" s="24">
        <v>4.66</v>
      </c>
      <c r="D767" s="24">
        <v>0.47</v>
      </c>
      <c r="E767" s="25">
        <v>3</v>
      </c>
    </row>
    <row r="768" spans="1:5" x14ac:dyDescent="0.35">
      <c r="A768" s="21">
        <v>201705</v>
      </c>
      <c r="B768" s="22">
        <v>96.12</v>
      </c>
      <c r="C768" s="22">
        <v>4.37</v>
      </c>
      <c r="D768" s="22">
        <v>0.23</v>
      </c>
      <c r="E768" s="26">
        <v>3.23</v>
      </c>
    </row>
    <row r="769" spans="1:5" x14ac:dyDescent="0.35">
      <c r="A769" s="23">
        <v>201706</v>
      </c>
      <c r="B769" s="24">
        <v>96.23</v>
      </c>
      <c r="C769" s="24">
        <v>3.99</v>
      </c>
      <c r="D769" s="24">
        <v>0.11</v>
      </c>
      <c r="E769" s="25">
        <v>3.35</v>
      </c>
    </row>
    <row r="770" spans="1:5" x14ac:dyDescent="0.35">
      <c r="A770" s="21">
        <v>201707</v>
      </c>
      <c r="B770" s="22">
        <v>96.18</v>
      </c>
      <c r="C770" s="22">
        <v>3.4</v>
      </c>
      <c r="D770" s="22">
        <v>-0.05</v>
      </c>
      <c r="E770" s="26">
        <v>3.3</v>
      </c>
    </row>
    <row r="771" spans="1:5" x14ac:dyDescent="0.35">
      <c r="A771" s="23">
        <v>201708</v>
      </c>
      <c r="B771" s="24">
        <v>96.32</v>
      </c>
      <c r="C771" s="24">
        <v>3.87</v>
      </c>
      <c r="D771" s="24">
        <v>0.14000000000000001</v>
      </c>
      <c r="E771" s="25">
        <v>3.44</v>
      </c>
    </row>
    <row r="772" spans="1:5" x14ac:dyDescent="0.35">
      <c r="A772" s="21">
        <v>201709</v>
      </c>
      <c r="B772" s="22">
        <v>96.36</v>
      </c>
      <c r="C772" s="22">
        <v>3.97</v>
      </c>
      <c r="D772" s="22">
        <v>0.04</v>
      </c>
      <c r="E772" s="26">
        <v>3.49</v>
      </c>
    </row>
    <row r="773" spans="1:5" x14ac:dyDescent="0.35">
      <c r="A773" s="23">
        <v>201710</v>
      </c>
      <c r="B773" s="24">
        <v>96.37</v>
      </c>
      <c r="C773" s="24">
        <v>4.05</v>
      </c>
      <c r="D773" s="24">
        <v>0.02</v>
      </c>
      <c r="E773" s="25">
        <v>3.5</v>
      </c>
    </row>
    <row r="774" spans="1:5" x14ac:dyDescent="0.35">
      <c r="A774" s="21">
        <v>201711</v>
      </c>
      <c r="B774" s="22">
        <v>96.55</v>
      </c>
      <c r="C774" s="22">
        <v>4.12</v>
      </c>
      <c r="D774" s="22">
        <v>0.18</v>
      </c>
      <c r="E774" s="26">
        <v>3.69</v>
      </c>
    </row>
    <row r="775" spans="1:5" x14ac:dyDescent="0.35">
      <c r="A775" s="23">
        <v>201712</v>
      </c>
      <c r="B775" s="24">
        <v>96.92</v>
      </c>
      <c r="C775" s="24">
        <v>4.09</v>
      </c>
      <c r="D775" s="24">
        <v>0.38</v>
      </c>
      <c r="E775" s="25">
        <v>4.09</v>
      </c>
    </row>
    <row r="776" spans="1:5" x14ac:dyDescent="0.35">
      <c r="A776" s="21">
        <v>201801</v>
      </c>
      <c r="B776" s="22">
        <v>97.53</v>
      </c>
      <c r="C776" s="22">
        <v>3.68</v>
      </c>
      <c r="D776" s="22">
        <v>0.63</v>
      </c>
      <c r="E776" s="26">
        <v>0.63</v>
      </c>
    </row>
    <row r="777" spans="1:5" x14ac:dyDescent="0.35">
      <c r="A777" s="23">
        <v>201802</v>
      </c>
      <c r="B777" s="24">
        <v>98.22</v>
      </c>
      <c r="C777" s="24">
        <v>3.37</v>
      </c>
      <c r="D777" s="24">
        <v>0.71</v>
      </c>
      <c r="E777" s="25">
        <v>1.34</v>
      </c>
    </row>
    <row r="778" spans="1:5" x14ac:dyDescent="0.35">
      <c r="A778" s="21">
        <v>201803</v>
      </c>
      <c r="B778" s="22">
        <v>98.45</v>
      </c>
      <c r="C778" s="22">
        <v>3.14</v>
      </c>
      <c r="D778" s="22">
        <v>0.24</v>
      </c>
      <c r="E778" s="26">
        <v>1.58</v>
      </c>
    </row>
    <row r="779" spans="1:5" x14ac:dyDescent="0.35">
      <c r="A779" s="23">
        <v>201804</v>
      </c>
      <c r="B779" s="24">
        <v>98.91</v>
      </c>
      <c r="C779" s="24">
        <v>3.13</v>
      </c>
      <c r="D779" s="24">
        <v>0.46</v>
      </c>
      <c r="E779" s="25">
        <v>2.0499999999999998</v>
      </c>
    </row>
    <row r="780" spans="1:5" x14ac:dyDescent="0.35">
      <c r="A780" s="21">
        <v>201805</v>
      </c>
      <c r="B780" s="22">
        <v>99.16</v>
      </c>
      <c r="C780" s="22">
        <v>3.16</v>
      </c>
      <c r="D780" s="22">
        <v>0.25</v>
      </c>
      <c r="E780" s="26">
        <v>2.31</v>
      </c>
    </row>
    <row r="781" spans="1:5" x14ac:dyDescent="0.35">
      <c r="A781" s="23">
        <v>201806</v>
      </c>
      <c r="B781" s="24">
        <v>99.31</v>
      </c>
      <c r="C781" s="24">
        <v>3.2</v>
      </c>
      <c r="D781" s="24">
        <v>0.15</v>
      </c>
      <c r="E781" s="25">
        <v>2.4700000000000002</v>
      </c>
    </row>
    <row r="782" spans="1:5" x14ac:dyDescent="0.35">
      <c r="A782" s="21">
        <v>201807</v>
      </c>
      <c r="B782" s="22">
        <v>99.18</v>
      </c>
      <c r="C782" s="22">
        <v>3.12</v>
      </c>
      <c r="D782" s="22">
        <v>-0.13</v>
      </c>
      <c r="E782" s="26">
        <v>2.34</v>
      </c>
    </row>
    <row r="783" spans="1:5" x14ac:dyDescent="0.35">
      <c r="A783" s="23">
        <v>201808</v>
      </c>
      <c r="B783" s="24">
        <v>99.3</v>
      </c>
      <c r="C783" s="24">
        <v>3.1</v>
      </c>
      <c r="D783" s="24">
        <v>0.12</v>
      </c>
      <c r="E783" s="25">
        <v>2.46</v>
      </c>
    </row>
    <row r="784" spans="1:5" x14ac:dyDescent="0.35">
      <c r="A784" s="21">
        <v>201809</v>
      </c>
      <c r="B784" s="22">
        <v>99.47</v>
      </c>
      <c r="C784" s="22">
        <v>3.23</v>
      </c>
      <c r="D784" s="22">
        <v>0.16</v>
      </c>
      <c r="E784" s="26">
        <v>2.63</v>
      </c>
    </row>
    <row r="785" spans="1:5" x14ac:dyDescent="0.35">
      <c r="A785" s="23">
        <v>201810</v>
      </c>
      <c r="B785" s="24">
        <v>99.59</v>
      </c>
      <c r="C785" s="24">
        <v>3.33</v>
      </c>
      <c r="D785" s="24">
        <v>0.12</v>
      </c>
      <c r="E785" s="25">
        <v>2.75</v>
      </c>
    </row>
    <row r="786" spans="1:5" x14ac:dyDescent="0.35">
      <c r="A786" s="21">
        <v>201811</v>
      </c>
      <c r="B786" s="22">
        <v>99.7</v>
      </c>
      <c r="C786" s="22">
        <v>3.27</v>
      </c>
      <c r="D786" s="22">
        <v>0.12</v>
      </c>
      <c r="E786" s="26">
        <v>2.87</v>
      </c>
    </row>
    <row r="787" spans="1:5" x14ac:dyDescent="0.35">
      <c r="A787" s="23">
        <v>201812</v>
      </c>
      <c r="B787" s="24">
        <v>100</v>
      </c>
      <c r="C787" s="24">
        <v>3.18</v>
      </c>
      <c r="D787" s="24">
        <v>0.3</v>
      </c>
      <c r="E787" s="25">
        <v>3.18</v>
      </c>
    </row>
    <row r="788" spans="1:5" x14ac:dyDescent="0.35">
      <c r="A788" s="21">
        <v>201901</v>
      </c>
      <c r="B788" s="22">
        <v>100.6</v>
      </c>
      <c r="C788" s="22">
        <v>3.15</v>
      </c>
      <c r="D788" s="22">
        <v>0.6</v>
      </c>
      <c r="E788" s="26">
        <v>0.6</v>
      </c>
    </row>
    <row r="789" spans="1:5" x14ac:dyDescent="0.35">
      <c r="A789" s="23">
        <v>201902</v>
      </c>
      <c r="B789" s="24">
        <v>101.18</v>
      </c>
      <c r="C789" s="24">
        <v>3.01</v>
      </c>
      <c r="D789" s="24">
        <v>0.56999999999999995</v>
      </c>
      <c r="E789" s="25">
        <v>1.18</v>
      </c>
    </row>
    <row r="790" spans="1:5" x14ac:dyDescent="0.35">
      <c r="A790" s="21">
        <v>201903</v>
      </c>
      <c r="B790" s="22">
        <v>101.62</v>
      </c>
      <c r="C790" s="22">
        <v>3.21</v>
      </c>
      <c r="D790" s="22">
        <v>0.43</v>
      </c>
      <c r="E790" s="26">
        <v>1.62</v>
      </c>
    </row>
    <row r="791" spans="1:5" x14ac:dyDescent="0.35">
      <c r="A791" s="23">
        <v>201904</v>
      </c>
      <c r="B791" s="24">
        <v>102.12</v>
      </c>
      <c r="C791" s="24">
        <v>3.25</v>
      </c>
      <c r="D791" s="24">
        <v>0.5</v>
      </c>
      <c r="E791" s="25">
        <v>2.12</v>
      </c>
    </row>
    <row r="792" spans="1:5" x14ac:dyDescent="0.35">
      <c r="A792" s="21">
        <v>201905</v>
      </c>
      <c r="B792" s="22">
        <v>102.44</v>
      </c>
      <c r="C792" s="22">
        <v>3.31</v>
      </c>
      <c r="D792" s="22">
        <v>0.31</v>
      </c>
      <c r="E792" s="26">
        <v>2.44</v>
      </c>
    </row>
    <row r="793" spans="1:5" x14ac:dyDescent="0.35">
      <c r="A793" s="23">
        <v>201906</v>
      </c>
      <c r="B793" s="24">
        <v>102.71</v>
      </c>
      <c r="C793" s="24">
        <v>3.43</v>
      </c>
      <c r="D793" s="24">
        <v>0.27</v>
      </c>
      <c r="E793" s="25">
        <v>2.71</v>
      </c>
    </row>
    <row r="794" spans="1:5" x14ac:dyDescent="0.35">
      <c r="A794" s="21">
        <v>201907</v>
      </c>
      <c r="B794" s="22">
        <v>102.94</v>
      </c>
      <c r="C794" s="22">
        <v>3.79</v>
      </c>
      <c r="D794" s="22">
        <v>0.22</v>
      </c>
      <c r="E794" s="26">
        <v>2.94</v>
      </c>
    </row>
    <row r="795" spans="1:5" x14ac:dyDescent="0.35">
      <c r="A795" s="23">
        <v>201908</v>
      </c>
      <c r="B795" s="24">
        <v>103.03</v>
      </c>
      <c r="C795" s="24">
        <v>3.75</v>
      </c>
      <c r="D795" s="24">
        <v>0.09</v>
      </c>
      <c r="E795" s="25">
        <v>3.03</v>
      </c>
    </row>
    <row r="796" spans="1:5" x14ac:dyDescent="0.35">
      <c r="A796" s="21">
        <v>201909</v>
      </c>
      <c r="B796" s="22">
        <v>103.26</v>
      </c>
      <c r="C796" s="22">
        <v>3.82</v>
      </c>
      <c r="D796" s="22">
        <v>0.23</v>
      </c>
      <c r="E796" s="26">
        <v>3.26</v>
      </c>
    </row>
    <row r="797" spans="1:5" x14ac:dyDescent="0.35">
      <c r="A797" s="23">
        <v>201910</v>
      </c>
      <c r="B797" s="24">
        <v>103.43</v>
      </c>
      <c r="C797" s="24">
        <v>3.86</v>
      </c>
      <c r="D797" s="24">
        <v>0.16</v>
      </c>
      <c r="E797" s="25">
        <v>3.43</v>
      </c>
    </row>
    <row r="798" spans="1:5" x14ac:dyDescent="0.35">
      <c r="A798" s="21">
        <v>201911</v>
      </c>
      <c r="B798" s="22">
        <v>103.54</v>
      </c>
      <c r="C798" s="22">
        <v>3.84</v>
      </c>
      <c r="D798" s="22">
        <v>0.1</v>
      </c>
      <c r="E798" s="26">
        <v>3.54</v>
      </c>
    </row>
    <row r="799" spans="1:5" x14ac:dyDescent="0.35">
      <c r="A799" s="23">
        <v>201912</v>
      </c>
      <c r="B799" s="24">
        <v>103.8</v>
      </c>
      <c r="C799" s="24">
        <v>3.8</v>
      </c>
      <c r="D799" s="24">
        <v>0.26</v>
      </c>
      <c r="E799" s="25">
        <v>3.8</v>
      </c>
    </row>
    <row r="800" spans="1:5" x14ac:dyDescent="0.35">
      <c r="A800" s="21">
        <v>202001</v>
      </c>
      <c r="B800" s="22">
        <v>104.24</v>
      </c>
      <c r="C800" s="22">
        <v>3.62</v>
      </c>
      <c r="D800" s="22">
        <v>0.42</v>
      </c>
      <c r="E800" s="26">
        <v>0.42</v>
      </c>
    </row>
    <row r="801" spans="1:5" x14ac:dyDescent="0.35">
      <c r="A801" s="23">
        <v>202002</v>
      </c>
      <c r="B801" s="24">
        <v>104.94</v>
      </c>
      <c r="C801" s="24">
        <v>3.72</v>
      </c>
      <c r="D801" s="24">
        <v>0.67</v>
      </c>
      <c r="E801" s="25">
        <v>1.0900000000000001</v>
      </c>
    </row>
    <row r="802" spans="1:5" x14ac:dyDescent="0.35">
      <c r="A802" s="21">
        <v>202003</v>
      </c>
      <c r="B802" s="22">
        <v>105.53</v>
      </c>
      <c r="C802" s="22">
        <v>3.86</v>
      </c>
      <c r="D802" s="22">
        <v>0.56999999999999995</v>
      </c>
      <c r="E802" s="26">
        <v>1.67</v>
      </c>
    </row>
    <row r="803" spans="1:5" x14ac:dyDescent="0.35">
      <c r="A803" s="23">
        <v>202004</v>
      </c>
      <c r="B803" s="24">
        <v>105.7</v>
      </c>
      <c r="C803" s="24">
        <v>3.51</v>
      </c>
      <c r="D803" s="24">
        <v>0.16</v>
      </c>
      <c r="E803" s="25">
        <v>1.83</v>
      </c>
    </row>
    <row r="804" spans="1:5" x14ac:dyDescent="0.35">
      <c r="A804" s="21">
        <v>202005</v>
      </c>
      <c r="B804" s="22">
        <v>105.36</v>
      </c>
      <c r="C804" s="22">
        <v>2.85</v>
      </c>
      <c r="D804" s="22">
        <v>-0.32</v>
      </c>
      <c r="E804" s="26">
        <v>1.5</v>
      </c>
    </row>
    <row r="805" spans="1:5" x14ac:dyDescent="0.35">
      <c r="A805" s="23">
        <v>202006</v>
      </c>
      <c r="B805" s="24">
        <v>104.97</v>
      </c>
      <c r="C805" s="24">
        <v>2.19</v>
      </c>
      <c r="D805" s="24">
        <v>-0.38</v>
      </c>
      <c r="E805" s="25">
        <v>1.1200000000000001</v>
      </c>
    </row>
    <row r="806" spans="1:5" x14ac:dyDescent="0.35">
      <c r="A806" s="21">
        <v>202007</v>
      </c>
      <c r="B806" s="22">
        <v>104.97</v>
      </c>
      <c r="C806" s="22">
        <v>1.97</v>
      </c>
      <c r="D806" s="22">
        <v>0</v>
      </c>
      <c r="E806" s="26">
        <v>1.1200000000000001</v>
      </c>
    </row>
    <row r="807" spans="1:5" x14ac:dyDescent="0.35">
      <c r="A807" s="23">
        <v>202008</v>
      </c>
      <c r="B807" s="24">
        <v>104.96</v>
      </c>
      <c r="C807" s="24">
        <v>1.88</v>
      </c>
      <c r="D807" s="24">
        <v>-0.01</v>
      </c>
      <c r="E807" s="25">
        <v>1.1200000000000001</v>
      </c>
    </row>
    <row r="808" spans="1:5" x14ac:dyDescent="0.35">
      <c r="A808" s="21">
        <v>202009</v>
      </c>
      <c r="B808" s="22">
        <v>105.29</v>
      </c>
      <c r="C808" s="22">
        <v>1.97</v>
      </c>
      <c r="D808" s="22">
        <v>0.32</v>
      </c>
      <c r="E808" s="26">
        <v>1.44</v>
      </c>
    </row>
    <row r="809" spans="1:5" x14ac:dyDescent="0.35">
      <c r="A809" s="23">
        <v>202010</v>
      </c>
      <c r="B809" s="24">
        <v>105.23</v>
      </c>
      <c r="C809" s="24">
        <v>1.75</v>
      </c>
      <c r="D809" s="24">
        <v>-0.06</v>
      </c>
      <c r="E809" s="25">
        <v>1.38</v>
      </c>
    </row>
    <row r="810" spans="1:5" x14ac:dyDescent="0.35">
      <c r="A810" s="21">
        <v>202011</v>
      </c>
      <c r="B810" s="22">
        <v>105.08</v>
      </c>
      <c r="C810" s="22">
        <v>1.49</v>
      </c>
      <c r="D810" s="22">
        <v>-0.15</v>
      </c>
      <c r="E810" s="26">
        <v>1.23</v>
      </c>
    </row>
    <row r="811" spans="1:5" x14ac:dyDescent="0.35">
      <c r="A811" s="23">
        <v>202012</v>
      </c>
      <c r="B811" s="24">
        <v>105.48</v>
      </c>
      <c r="C811" s="24">
        <v>1.61</v>
      </c>
      <c r="D811" s="24">
        <v>0.38</v>
      </c>
      <c r="E811" s="25">
        <v>1.61</v>
      </c>
    </row>
    <row r="812" spans="1:5" x14ac:dyDescent="0.35">
      <c r="A812" s="21">
        <v>202101</v>
      </c>
      <c r="B812" s="22">
        <v>105.91</v>
      </c>
      <c r="C812" s="22">
        <v>1.6</v>
      </c>
      <c r="D812" s="22">
        <v>0.41</v>
      </c>
      <c r="E812" s="26">
        <v>0.41</v>
      </c>
    </row>
    <row r="813" spans="1:5" x14ac:dyDescent="0.35">
      <c r="A813" s="23">
        <v>202102</v>
      </c>
      <c r="B813" s="24">
        <v>106.58</v>
      </c>
      <c r="C813" s="24">
        <v>1.56</v>
      </c>
      <c r="D813" s="24">
        <v>0.64</v>
      </c>
      <c r="E813" s="25">
        <v>1.05</v>
      </c>
    </row>
    <row r="814" spans="1:5" x14ac:dyDescent="0.35">
      <c r="A814" s="21">
        <v>202103</v>
      </c>
      <c r="B814" s="22">
        <v>107.12</v>
      </c>
      <c r="C814" s="22">
        <v>1.51</v>
      </c>
      <c r="D814" s="22">
        <v>0.51</v>
      </c>
      <c r="E814" s="26">
        <v>1.56</v>
      </c>
    </row>
    <row r="815" spans="1:5" x14ac:dyDescent="0.35">
      <c r="A815" s="23">
        <v>202104</v>
      </c>
      <c r="B815" s="24">
        <v>107.76</v>
      </c>
      <c r="C815" s="24">
        <v>1.95</v>
      </c>
      <c r="D815" s="24">
        <v>0.59</v>
      </c>
      <c r="E815" s="25">
        <v>2.16</v>
      </c>
    </row>
    <row r="816" spans="1:5" x14ac:dyDescent="0.35">
      <c r="A816" s="21">
        <v>202105</v>
      </c>
      <c r="B816" s="22">
        <v>108.84</v>
      </c>
      <c r="C816" s="22">
        <v>3.3</v>
      </c>
      <c r="D816" s="22">
        <v>1</v>
      </c>
      <c r="E816" s="26">
        <v>3.18</v>
      </c>
    </row>
    <row r="817" spans="1:5" x14ac:dyDescent="0.35">
      <c r="A817" s="23">
        <v>202106</v>
      </c>
      <c r="B817" s="24">
        <v>108.78</v>
      </c>
      <c r="C817" s="24">
        <v>3.63</v>
      </c>
      <c r="D817" s="24">
        <v>-0.05</v>
      </c>
      <c r="E817" s="25">
        <v>3.13</v>
      </c>
    </row>
    <row r="818" spans="1:5" x14ac:dyDescent="0.35">
      <c r="A818" s="21">
        <v>202107</v>
      </c>
      <c r="B818" s="22">
        <v>109.14</v>
      </c>
      <c r="C818" s="22">
        <v>3.97</v>
      </c>
      <c r="D818" s="22">
        <v>0.32</v>
      </c>
      <c r="E818" s="26">
        <v>3.47</v>
      </c>
    </row>
    <row r="819" spans="1:5" x14ac:dyDescent="0.35">
      <c r="A819" s="23">
        <v>202108</v>
      </c>
      <c r="B819" s="24">
        <v>109.62</v>
      </c>
      <c r="C819" s="24">
        <v>4.4400000000000004</v>
      </c>
      <c r="D819" s="24">
        <v>0.45</v>
      </c>
      <c r="E819" s="25">
        <v>3.93</v>
      </c>
    </row>
    <row r="820" spans="1:5" x14ac:dyDescent="0.35">
      <c r="A820" s="21">
        <v>202109</v>
      </c>
      <c r="B820" s="22">
        <v>110.04</v>
      </c>
      <c r="C820" s="22">
        <v>4.51</v>
      </c>
      <c r="D820" s="22">
        <v>0.38</v>
      </c>
      <c r="E820" s="26">
        <v>4.33</v>
      </c>
    </row>
    <row r="821" spans="1:5" x14ac:dyDescent="0.35">
      <c r="A821" s="23">
        <v>202110</v>
      </c>
      <c r="B821" s="24">
        <v>110.06</v>
      </c>
      <c r="C821" s="24">
        <v>4.58</v>
      </c>
      <c r="D821" s="24">
        <v>0.01</v>
      </c>
      <c r="E821" s="25">
        <v>4.34</v>
      </c>
    </row>
    <row r="822" spans="1:5" x14ac:dyDescent="0.35">
      <c r="A822" s="21">
        <v>202111</v>
      </c>
      <c r="B822" s="22">
        <v>110.6</v>
      </c>
      <c r="C822" s="22">
        <v>5.26</v>
      </c>
      <c r="D822" s="22">
        <v>0.5</v>
      </c>
      <c r="E822" s="26">
        <v>4.8600000000000003</v>
      </c>
    </row>
    <row r="823" spans="1:5" x14ac:dyDescent="0.35">
      <c r="A823" s="23">
        <v>202112</v>
      </c>
      <c r="B823" s="24">
        <v>111.41</v>
      </c>
      <c r="C823" s="24">
        <v>5.62</v>
      </c>
      <c r="D823" s="24">
        <v>0.73</v>
      </c>
      <c r="E823" s="25">
        <v>5.62</v>
      </c>
    </row>
    <row r="824" spans="1:5" x14ac:dyDescent="0.35">
      <c r="A824" s="21">
        <v>202201</v>
      </c>
      <c r="B824" s="22">
        <v>113.26</v>
      </c>
      <c r="C824" s="22">
        <v>6.94</v>
      </c>
      <c r="D824" s="22">
        <v>1.67</v>
      </c>
      <c r="E824" s="26">
        <v>1.67</v>
      </c>
    </row>
    <row r="825" spans="1:5" x14ac:dyDescent="0.35">
      <c r="A825" s="23">
        <v>202202</v>
      </c>
      <c r="B825" s="24">
        <v>115.11</v>
      </c>
      <c r="C825" s="24">
        <v>8.01</v>
      </c>
      <c r="D825" s="24">
        <v>1.63</v>
      </c>
      <c r="E825" s="25">
        <v>3.33</v>
      </c>
    </row>
    <row r="826" spans="1:5" x14ac:dyDescent="0.35">
      <c r="A826" s="21">
        <v>202203</v>
      </c>
      <c r="B826" s="22">
        <v>116.26</v>
      </c>
      <c r="C826" s="22">
        <v>8.5299999999999994</v>
      </c>
      <c r="D826" s="22">
        <v>1</v>
      </c>
      <c r="E826" s="26">
        <v>4.3600000000000003</v>
      </c>
    </row>
    <row r="827" spans="1:5" x14ac:dyDescent="0.35">
      <c r="A827" s="23">
        <v>202204</v>
      </c>
      <c r="B827" s="24">
        <v>117.71</v>
      </c>
      <c r="C827" s="24">
        <v>9.23</v>
      </c>
      <c r="D827" s="24">
        <v>1.25</v>
      </c>
      <c r="E827" s="25">
        <v>5.66</v>
      </c>
    </row>
    <row r="828" spans="1:5" x14ac:dyDescent="0.35">
      <c r="A828" s="21">
        <v>202205</v>
      </c>
      <c r="B828" s="22">
        <v>118.7</v>
      </c>
      <c r="C828" s="22">
        <v>9.07</v>
      </c>
      <c r="D828" s="22">
        <v>0.84</v>
      </c>
      <c r="E828" s="26">
        <v>6.55</v>
      </c>
    </row>
    <row r="829" spans="1:5" x14ac:dyDescent="0.35">
      <c r="A829" s="23">
        <v>202206</v>
      </c>
      <c r="B829" s="24">
        <v>119.31</v>
      </c>
      <c r="C829" s="24">
        <v>9.67</v>
      </c>
      <c r="D829" s="24">
        <v>0.51</v>
      </c>
      <c r="E829" s="25">
        <v>7.09</v>
      </c>
    </row>
    <row r="830" spans="1:5" x14ac:dyDescent="0.35">
      <c r="A830" s="21">
        <v>202207</v>
      </c>
      <c r="B830" s="22">
        <v>120.27</v>
      </c>
      <c r="C830" s="22">
        <v>10.210000000000001</v>
      </c>
      <c r="D830" s="22">
        <v>0.81</v>
      </c>
      <c r="E830" s="26">
        <v>7.96</v>
      </c>
    </row>
    <row r="831" spans="1:5" x14ac:dyDescent="0.35">
      <c r="A831" s="23">
        <v>202208</v>
      </c>
      <c r="B831" s="24">
        <v>121.5</v>
      </c>
      <c r="C831" s="24">
        <v>10.84</v>
      </c>
      <c r="D831" s="24">
        <v>1.02</v>
      </c>
      <c r="E831" s="25">
        <v>9.06</v>
      </c>
    </row>
    <row r="832" spans="1:5" x14ac:dyDescent="0.35">
      <c r="A832" s="21">
        <v>202209</v>
      </c>
      <c r="B832" s="22">
        <v>122.63</v>
      </c>
      <c r="C832" s="22">
        <v>11.44</v>
      </c>
      <c r="D832" s="22">
        <v>0.93</v>
      </c>
      <c r="E832" s="26">
        <v>10.08</v>
      </c>
    </row>
    <row r="833" spans="1:5" x14ac:dyDescent="0.35">
      <c r="A833" s="23">
        <v>202210</v>
      </c>
      <c r="B833" s="24">
        <v>123.51</v>
      </c>
      <c r="C833" s="24">
        <v>12.22</v>
      </c>
      <c r="D833" s="24">
        <v>0.72</v>
      </c>
      <c r="E833" s="25">
        <v>10.86</v>
      </c>
    </row>
    <row r="834" spans="1:5" x14ac:dyDescent="0.35">
      <c r="A834" s="21">
        <v>202211</v>
      </c>
      <c r="B834" s="22">
        <v>124.46</v>
      </c>
      <c r="C834" s="22">
        <v>12.53</v>
      </c>
      <c r="D834" s="22">
        <v>0.77</v>
      </c>
      <c r="E834" s="26">
        <v>11.72</v>
      </c>
    </row>
    <row r="835" spans="1:5" x14ac:dyDescent="0.35">
      <c r="A835" s="23">
        <v>202212</v>
      </c>
      <c r="B835" s="24">
        <v>126.03</v>
      </c>
      <c r="C835" s="24">
        <v>13.12</v>
      </c>
      <c r="D835" s="24">
        <v>1.26</v>
      </c>
      <c r="E835" s="25">
        <v>13.12</v>
      </c>
    </row>
    <row r="836" spans="1:5" x14ac:dyDescent="0.35">
      <c r="A836" s="21">
        <v>202301</v>
      </c>
      <c r="B836" s="22">
        <v>128.27000000000001</v>
      </c>
      <c r="C836" s="22">
        <v>13.25</v>
      </c>
      <c r="D836" s="22">
        <v>1.78</v>
      </c>
      <c r="E836" s="26">
        <v>1.78</v>
      </c>
    </row>
    <row r="837" spans="1:5" x14ac:dyDescent="0.35">
      <c r="A837" s="23">
        <v>202302</v>
      </c>
      <c r="B837" s="24">
        <v>130.4</v>
      </c>
      <c r="C837" s="24">
        <v>13.28</v>
      </c>
      <c r="D837" s="24">
        <v>1.66</v>
      </c>
      <c r="E837" s="25">
        <v>3.47</v>
      </c>
    </row>
    <row r="838" spans="1:5" x14ac:dyDescent="0.35">
      <c r="A838" s="21">
        <v>202303</v>
      </c>
      <c r="B838" s="22">
        <v>131.77000000000001</v>
      </c>
      <c r="C838" s="22">
        <v>13.34</v>
      </c>
      <c r="D838" s="22">
        <v>1.05</v>
      </c>
      <c r="E838" s="26">
        <v>4.5599999999999996</v>
      </c>
    </row>
    <row r="839" spans="1:5" x14ac:dyDescent="0.35">
      <c r="A839" s="23">
        <v>202304</v>
      </c>
      <c r="B839" s="24">
        <v>132.80000000000001</v>
      </c>
      <c r="C839" s="24">
        <v>12.82</v>
      </c>
      <c r="D839" s="24">
        <v>0.78</v>
      </c>
      <c r="E839" s="25">
        <v>5.38</v>
      </c>
    </row>
    <row r="840" spans="1:5" x14ac:dyDescent="0.35">
      <c r="A840" s="21">
        <v>202305</v>
      </c>
      <c r="B840" s="22">
        <v>133.38</v>
      </c>
      <c r="C840" s="22">
        <v>12.36</v>
      </c>
      <c r="D840" s="22">
        <v>0.43</v>
      </c>
      <c r="E840" s="26">
        <v>5.83</v>
      </c>
    </row>
    <row r="841" spans="1:5" x14ac:dyDescent="0.35">
      <c r="A841" s="23">
        <v>202306</v>
      </c>
      <c r="B841" s="24">
        <v>133.78</v>
      </c>
      <c r="C841" s="24">
        <v>12.13</v>
      </c>
      <c r="D841" s="24">
        <v>0.3</v>
      </c>
      <c r="E841" s="25">
        <v>6.15</v>
      </c>
    </row>
    <row r="842" spans="1:5" x14ac:dyDescent="0.35">
      <c r="A842" s="21">
        <v>202307</v>
      </c>
      <c r="B842" s="22">
        <v>134.44999999999999</v>
      </c>
      <c r="C842" s="22">
        <v>11.78</v>
      </c>
      <c r="D842" s="22">
        <v>0.5</v>
      </c>
      <c r="E842" s="26">
        <v>6.68</v>
      </c>
    </row>
    <row r="843" spans="1:5" x14ac:dyDescent="0.35">
      <c r="A843" s="23">
        <v>202308</v>
      </c>
      <c r="B843" s="24">
        <v>135.38999999999999</v>
      </c>
      <c r="C843" s="24">
        <v>11.43</v>
      </c>
      <c r="D843" s="24">
        <v>0.7</v>
      </c>
      <c r="E843" s="25">
        <v>7.43</v>
      </c>
    </row>
    <row r="844" spans="1:5" x14ac:dyDescent="0.35">
      <c r="A844" s="21">
        <v>202309</v>
      </c>
      <c r="B844" s="22">
        <v>136.11000000000001</v>
      </c>
      <c r="C844" s="22">
        <v>10.99</v>
      </c>
      <c r="D844" s="22">
        <v>0.54</v>
      </c>
      <c r="E844" s="26">
        <v>8.01</v>
      </c>
    </row>
    <row r="845" spans="1:5" x14ac:dyDescent="0.35">
      <c r="A845" s="23">
        <v>202310</v>
      </c>
      <c r="B845" s="24">
        <v>136.44999999999999</v>
      </c>
      <c r="C845" s="24">
        <v>10.48</v>
      </c>
      <c r="D845" s="24">
        <v>0.25</v>
      </c>
      <c r="E845" s="25">
        <v>8.27</v>
      </c>
    </row>
    <row r="846" spans="1:5" x14ac:dyDescent="0.35">
      <c r="A846" s="21">
        <v>202311</v>
      </c>
      <c r="B846" s="22">
        <v>137.09</v>
      </c>
      <c r="C846" s="22">
        <v>10.15</v>
      </c>
      <c r="D846" s="22">
        <v>0.47</v>
      </c>
      <c r="E846" s="26">
        <v>8.7799999999999994</v>
      </c>
    </row>
    <row r="847" spans="1:5" x14ac:dyDescent="0.35">
      <c r="A847" s="23">
        <v>202312</v>
      </c>
      <c r="B847" s="24">
        <v>137.72</v>
      </c>
      <c r="C847" s="24">
        <v>9.2799999999999994</v>
      </c>
      <c r="D847" s="24">
        <v>0.45</v>
      </c>
      <c r="E847" s="25">
        <v>9.2799999999999994</v>
      </c>
    </row>
    <row r="848" spans="1:5" x14ac:dyDescent="0.35">
      <c r="A848" s="21">
        <v>202401</v>
      </c>
      <c r="B848" s="22">
        <v>138.97999999999999</v>
      </c>
      <c r="C848" s="22">
        <v>8.35</v>
      </c>
      <c r="D848" s="22">
        <v>0.92</v>
      </c>
      <c r="E848" s="26">
        <v>0.92</v>
      </c>
    </row>
    <row r="849" spans="1:5" x14ac:dyDescent="0.35">
      <c r="A849" s="23">
        <v>202402</v>
      </c>
      <c r="B849" s="24">
        <v>140.49</v>
      </c>
      <c r="C849" s="24">
        <v>7.74</v>
      </c>
      <c r="D849" s="24">
        <v>1.0900000000000001</v>
      </c>
      <c r="E849" s="25">
        <v>2.0099999999999998</v>
      </c>
    </row>
    <row r="850" spans="1:5" x14ac:dyDescent="0.35">
      <c r="A850" s="21">
        <v>202403</v>
      </c>
      <c r="B850" s="22">
        <v>141.47999999999999</v>
      </c>
      <c r="C850" s="22">
        <v>7.36</v>
      </c>
      <c r="D850" s="22">
        <v>0.7</v>
      </c>
      <c r="E850" s="26">
        <v>2.73</v>
      </c>
    </row>
    <row r="851" spans="1:5" x14ac:dyDescent="0.35">
      <c r="A851" s="23">
        <v>202404</v>
      </c>
      <c r="B851" s="24">
        <v>142.32</v>
      </c>
      <c r="C851" s="24">
        <v>7.16</v>
      </c>
      <c r="D851" s="24">
        <v>0.59</v>
      </c>
      <c r="E851" s="25">
        <v>3.34</v>
      </c>
    </row>
    <row r="852" spans="1:5" x14ac:dyDescent="0.35">
      <c r="A852" s="21">
        <v>202405</v>
      </c>
      <c r="B852" s="22">
        <v>142.91999999999999</v>
      </c>
      <c r="C852" s="22">
        <v>7.16</v>
      </c>
      <c r="D852" s="22">
        <v>0.43</v>
      </c>
      <c r="E852" s="26">
        <v>3.78</v>
      </c>
    </row>
    <row r="853" spans="1:5" x14ac:dyDescent="0.35">
      <c r="A853" s="23">
        <v>202406</v>
      </c>
      <c r="B853" s="24">
        <v>143.38</v>
      </c>
      <c r="C853" s="24">
        <v>7.18</v>
      </c>
      <c r="D853" s="24">
        <v>0.32</v>
      </c>
      <c r="E853" s="25">
        <v>4.12</v>
      </c>
    </row>
    <row r="854" spans="1:5" x14ac:dyDescent="0.35">
      <c r="A854" s="21">
        <v>202407</v>
      </c>
      <c r="B854" s="22">
        <v>143.66999999999999</v>
      </c>
      <c r="C854" s="22">
        <v>6.86</v>
      </c>
      <c r="D854" s="22">
        <v>0.2</v>
      </c>
      <c r="E854" s="26">
        <v>4.32</v>
      </c>
    </row>
    <row r="855" spans="1:5" x14ac:dyDescent="0.35">
      <c r="A855" s="23">
        <v>202408</v>
      </c>
      <c r="B855" s="24">
        <v>143.66999999999999</v>
      </c>
      <c r="C855" s="24">
        <v>6.12</v>
      </c>
      <c r="D855" s="24">
        <v>0</v>
      </c>
      <c r="E855" s="25">
        <v>4.33</v>
      </c>
    </row>
    <row r="856" spans="1:5" x14ac:dyDescent="0.35">
      <c r="A856" s="21">
        <v>202409</v>
      </c>
      <c r="B856" s="22">
        <v>144.02000000000001</v>
      </c>
      <c r="C856" s="22">
        <v>5.81</v>
      </c>
      <c r="D856" s="22">
        <v>0.24</v>
      </c>
      <c r="E856" s="26">
        <v>4.58</v>
      </c>
    </row>
    <row r="857" spans="1:5" x14ac:dyDescent="0.35">
      <c r="A857" s="23">
        <v>202410</v>
      </c>
      <c r="B857" s="24">
        <v>143.83000000000001</v>
      </c>
      <c r="C857" s="24">
        <v>5.41</v>
      </c>
      <c r="D857" s="24">
        <v>-0.13</v>
      </c>
      <c r="E857" s="25">
        <v>4.4400000000000004</v>
      </c>
    </row>
    <row r="858" spans="1:5" x14ac:dyDescent="0.35">
      <c r="A858" s="21">
        <v>202411</v>
      </c>
      <c r="B858" s="22">
        <v>144.22</v>
      </c>
      <c r="C858" s="22">
        <v>5.2</v>
      </c>
      <c r="D858" s="22">
        <v>0.27</v>
      </c>
      <c r="E858" s="26">
        <v>4.72</v>
      </c>
    </row>
    <row r="859" spans="1:5" x14ac:dyDescent="0.35">
      <c r="A859" s="23">
        <v>202412</v>
      </c>
      <c r="B859" s="24">
        <v>144.88</v>
      </c>
      <c r="C859" s="24">
        <v>5.2</v>
      </c>
      <c r="D859" s="24">
        <v>0.46</v>
      </c>
      <c r="E859" s="25">
        <v>5.2</v>
      </c>
    </row>
    <row r="860" spans="1:5" x14ac:dyDescent="0.35">
      <c r="A860" s="21">
        <v>202501</v>
      </c>
      <c r="B860" s="22">
        <v>146.24</v>
      </c>
      <c r="C860" s="22">
        <v>5.22</v>
      </c>
      <c r="D860" s="22">
        <v>0.94</v>
      </c>
      <c r="E860" s="26">
        <v>0.94</v>
      </c>
    </row>
    <row r="861" spans="1:5" x14ac:dyDescent="0.35">
      <c r="A861" s="23">
        <v>202502</v>
      </c>
      <c r="B861" s="24">
        <v>147.9</v>
      </c>
      <c r="C861" s="24">
        <v>5.28</v>
      </c>
      <c r="D861" s="24">
        <v>1.1399999999999999</v>
      </c>
      <c r="E861" s="25">
        <v>2.08</v>
      </c>
    </row>
    <row r="862" spans="1:5" x14ac:dyDescent="0.35">
      <c r="A862" s="27"/>
      <c r="B862" s="28"/>
      <c r="C862" s="28"/>
      <c r="D862" s="28"/>
      <c r="E862" s="28"/>
    </row>
    <row r="863" spans="1:5" ht="70" x14ac:dyDescent="0.35">
      <c r="A863" s="16" t="s">
        <v>186</v>
      </c>
      <c r="B863" s="10"/>
      <c r="C863" s="10"/>
      <c r="D863" s="10"/>
      <c r="E863" s="10"/>
    </row>
    <row r="864" spans="1:5" x14ac:dyDescent="0.35">
      <c r="A864" s="16" t="s">
        <v>178</v>
      </c>
      <c r="B864" s="10"/>
      <c r="C864" s="10"/>
      <c r="D864" s="10"/>
      <c r="E864" s="10"/>
    </row>
    <row r="865" spans="1:5" ht="28" x14ac:dyDescent="0.35">
      <c r="A865" s="16" t="s">
        <v>187</v>
      </c>
      <c r="B865" s="10"/>
      <c r="C865" s="10"/>
      <c r="D865" s="10"/>
      <c r="E865" s="10"/>
    </row>
  </sheetData>
  <hyperlinks>
    <hyperlink ref="A865" r:id="rId1" xr:uid="{00000000-0004-0000-0900-000000000000}"/>
    <hyperlink ref="A11" r:id="rId2" xr:uid="{00000000-0004-0000-09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8"/>
  <sheetViews>
    <sheetView topLeftCell="B1" zoomScale="140" zoomScaleNormal="140" workbookViewId="0">
      <selection activeCell="G13" sqref="G13:L16"/>
    </sheetView>
  </sheetViews>
  <sheetFormatPr baseColWidth="10" defaultColWidth="11.453125" defaultRowHeight="15.5" x14ac:dyDescent="0.35"/>
  <cols>
    <col min="1" max="1" width="19.54296875" style="12" customWidth="1"/>
    <col min="2" max="2" width="19.54296875" style="93" customWidth="1"/>
    <col min="3" max="5" width="19.54296875" style="77" customWidth="1"/>
    <col min="6" max="6" width="11.54296875" style="74" bestFit="1" customWidth="1"/>
    <col min="7" max="7" width="25" style="74" customWidth="1"/>
    <col min="8" max="8" width="25.54296875" style="77" customWidth="1"/>
    <col min="9" max="9" width="22.54296875" style="77" customWidth="1"/>
    <col min="10" max="10" width="19.453125" style="77" customWidth="1"/>
    <col min="11" max="11" width="11.453125" style="77"/>
    <col min="12" max="12" width="12.453125" style="77" bestFit="1" customWidth="1"/>
  </cols>
  <sheetData>
    <row r="1" spans="1:12" ht="16" thickBot="1" x14ac:dyDescent="0.4">
      <c r="A1" s="114" t="s">
        <v>66</v>
      </c>
      <c r="B1" s="117" t="s">
        <v>67</v>
      </c>
      <c r="C1" s="118" t="s">
        <v>68</v>
      </c>
      <c r="D1" s="118" t="s">
        <v>69</v>
      </c>
      <c r="E1" s="119" t="s">
        <v>70</v>
      </c>
      <c r="F1" s="94"/>
    </row>
    <row r="2" spans="1:12" ht="16" thickBot="1" x14ac:dyDescent="0.4">
      <c r="A2" s="120">
        <v>1989</v>
      </c>
      <c r="B2" s="124">
        <v>0.27</v>
      </c>
      <c r="C2" s="115">
        <f>IF($H$17=A2,$H$20,)</f>
        <v>0</v>
      </c>
      <c r="D2" s="116">
        <v>0</v>
      </c>
      <c r="E2" s="125">
        <f t="shared" ref="E2:E7" si="0">C2-D2</f>
        <v>0</v>
      </c>
      <c r="F2" s="419" t="s">
        <v>71</v>
      </c>
      <c r="G2" s="420"/>
      <c r="H2" s="103" t="s">
        <v>72</v>
      </c>
      <c r="I2" s="104" t="s">
        <v>73</v>
      </c>
      <c r="J2" s="105" t="s">
        <v>74</v>
      </c>
    </row>
    <row r="3" spans="1:12" x14ac:dyDescent="0.35">
      <c r="A3" s="120">
        <v>1990</v>
      </c>
      <c r="B3" s="126">
        <v>0.26</v>
      </c>
      <c r="C3" s="78">
        <f t="shared" ref="C3:C7" si="1">IF($H$17=A3,$H$20,C2*(1+B3))</f>
        <v>0</v>
      </c>
      <c r="D3" s="79">
        <v>0</v>
      </c>
      <c r="E3" s="127">
        <f t="shared" si="0"/>
        <v>0</v>
      </c>
      <c r="F3" s="421"/>
      <c r="G3" s="422"/>
      <c r="H3" s="100">
        <v>246038.21</v>
      </c>
      <c r="I3" s="101">
        <v>254061.27</v>
      </c>
      <c r="J3" s="102">
        <f>+(I3-H3)/H3</f>
        <v>3.2609000041091171E-2</v>
      </c>
      <c r="K3" s="80"/>
      <c r="L3" s="80"/>
    </row>
    <row r="4" spans="1:12" ht="16.5" customHeight="1" x14ac:dyDescent="0.35">
      <c r="A4" s="120">
        <v>1991</v>
      </c>
      <c r="B4" s="126">
        <v>0.26100000000000001</v>
      </c>
      <c r="C4" s="78">
        <f t="shared" si="1"/>
        <v>0</v>
      </c>
      <c r="D4" s="79">
        <v>0</v>
      </c>
      <c r="E4" s="127">
        <f t="shared" si="0"/>
        <v>0</v>
      </c>
      <c r="F4" s="421"/>
      <c r="G4" s="422"/>
      <c r="H4" s="95">
        <f>+I4/(J4+1)</f>
        <v>100</v>
      </c>
      <c r="I4" s="81">
        <v>120</v>
      </c>
      <c r="J4" s="96">
        <v>0.2</v>
      </c>
    </row>
    <row r="5" spans="1:12" ht="16.5" customHeight="1" thickBot="1" x14ac:dyDescent="0.4">
      <c r="A5" s="120">
        <v>1992</v>
      </c>
      <c r="B5" s="126">
        <v>0.26040000000000002</v>
      </c>
      <c r="C5" s="78">
        <f t="shared" si="1"/>
        <v>0</v>
      </c>
      <c r="D5" s="79">
        <v>0</v>
      </c>
      <c r="E5" s="127">
        <f t="shared" si="0"/>
        <v>0</v>
      </c>
      <c r="F5" s="421"/>
      <c r="G5" s="422"/>
      <c r="H5" s="97">
        <v>100</v>
      </c>
      <c r="I5" s="98">
        <f>+H5*(1+J5)</f>
        <v>140</v>
      </c>
      <c r="J5" s="99">
        <v>0.4</v>
      </c>
    </row>
    <row r="6" spans="1:12" ht="16.5" customHeight="1" x14ac:dyDescent="0.35">
      <c r="A6" s="121">
        <v>1993</v>
      </c>
      <c r="B6" s="128">
        <v>0.25</v>
      </c>
      <c r="C6" s="78">
        <f t="shared" si="1"/>
        <v>0</v>
      </c>
      <c r="D6" s="79">
        <v>0</v>
      </c>
      <c r="E6" s="127">
        <f t="shared" si="0"/>
        <v>0</v>
      </c>
      <c r="F6" s="421"/>
      <c r="G6" s="422"/>
    </row>
    <row r="7" spans="1:12" ht="16" thickBot="1" x14ac:dyDescent="0.4">
      <c r="A7" s="121">
        <v>1994</v>
      </c>
      <c r="B7" s="128">
        <v>0.21099999999999999</v>
      </c>
      <c r="C7" s="78">
        <f t="shared" si="1"/>
        <v>0</v>
      </c>
      <c r="D7" s="79">
        <v>0</v>
      </c>
      <c r="E7" s="127">
        <f t="shared" si="0"/>
        <v>0</v>
      </c>
      <c r="F7" s="423"/>
      <c r="G7" s="424"/>
    </row>
    <row r="8" spans="1:12" ht="15" customHeight="1" thickBot="1" x14ac:dyDescent="0.4">
      <c r="A8" s="122">
        <v>1995</v>
      </c>
      <c r="B8" s="129">
        <v>0.22589999999999999</v>
      </c>
      <c r="C8" s="82">
        <f t="shared" ref="C8:C38" si="2">IF($H$17=A8,$H$20,C7*(1+B8))</f>
        <v>0</v>
      </c>
      <c r="D8" s="83">
        <v>0</v>
      </c>
      <c r="E8" s="130">
        <f t="shared" ref="E8:E33" si="3">C8-D8</f>
        <v>0</v>
      </c>
      <c r="F8" s="94"/>
    </row>
    <row r="9" spans="1:12" x14ac:dyDescent="0.35">
      <c r="A9" s="122">
        <v>1996</v>
      </c>
      <c r="B9" s="129">
        <v>0.1946</v>
      </c>
      <c r="C9" s="82">
        <f t="shared" si="2"/>
        <v>0</v>
      </c>
      <c r="D9" s="83">
        <v>0</v>
      </c>
      <c r="E9" s="130">
        <f t="shared" si="3"/>
        <v>0</v>
      </c>
      <c r="F9" s="94"/>
      <c r="H9" s="84" t="s">
        <v>75</v>
      </c>
      <c r="I9" s="85">
        <v>500</v>
      </c>
    </row>
    <row r="10" spans="1:12" x14ac:dyDescent="0.35">
      <c r="A10" s="122">
        <v>1997</v>
      </c>
      <c r="B10" s="129">
        <v>0.21629999999999999</v>
      </c>
      <c r="C10" s="82">
        <f t="shared" si="2"/>
        <v>0</v>
      </c>
      <c r="D10" s="83">
        <v>0</v>
      </c>
      <c r="E10" s="130">
        <f t="shared" si="3"/>
        <v>0</v>
      </c>
      <c r="F10" s="94"/>
      <c r="H10" s="86" t="s">
        <v>76</v>
      </c>
      <c r="I10" s="87">
        <v>1000</v>
      </c>
    </row>
    <row r="11" spans="1:12" ht="16" thickBot="1" x14ac:dyDescent="0.4">
      <c r="A11" s="122">
        <v>1998</v>
      </c>
      <c r="B11" s="129">
        <v>0.17680000000000001</v>
      </c>
      <c r="C11" s="82">
        <f t="shared" si="2"/>
        <v>0</v>
      </c>
      <c r="D11" s="83">
        <v>0</v>
      </c>
      <c r="E11" s="130">
        <f t="shared" si="3"/>
        <v>0</v>
      </c>
      <c r="F11" s="94"/>
      <c r="H11" s="88" t="s">
        <v>77</v>
      </c>
      <c r="I11" s="89">
        <f>(I10-I9)/I9</f>
        <v>1</v>
      </c>
    </row>
    <row r="12" spans="1:12" ht="16" thickBot="1" x14ac:dyDescent="0.4">
      <c r="A12" s="12">
        <v>1999</v>
      </c>
      <c r="B12" s="131">
        <v>0.16700000000000001</v>
      </c>
      <c r="C12" s="82">
        <f t="shared" si="2"/>
        <v>0</v>
      </c>
      <c r="D12" s="83">
        <v>0</v>
      </c>
      <c r="E12" s="130">
        <f t="shared" si="3"/>
        <v>0</v>
      </c>
      <c r="F12" s="94"/>
    </row>
    <row r="13" spans="1:12" ht="15" customHeight="1" x14ac:dyDescent="0.35">
      <c r="A13" s="122">
        <v>2000</v>
      </c>
      <c r="B13" s="132">
        <v>9.2299999999999993E-2</v>
      </c>
      <c r="C13" s="82">
        <f t="shared" si="2"/>
        <v>0</v>
      </c>
      <c r="D13" s="83">
        <v>0</v>
      </c>
      <c r="E13" s="130">
        <f t="shared" si="3"/>
        <v>0</v>
      </c>
      <c r="F13" s="94"/>
      <c r="G13" s="425" t="s">
        <v>78</v>
      </c>
      <c r="H13" s="426"/>
      <c r="I13" s="426"/>
      <c r="J13" s="426"/>
      <c r="K13" s="426"/>
      <c r="L13" s="427"/>
    </row>
    <row r="14" spans="1:12" x14ac:dyDescent="0.35">
      <c r="A14" s="11">
        <v>2001</v>
      </c>
      <c r="B14" s="132">
        <v>8.7499999999999994E-2</v>
      </c>
      <c r="C14" s="82">
        <f t="shared" si="2"/>
        <v>0</v>
      </c>
      <c r="D14" s="83">
        <v>0</v>
      </c>
      <c r="E14" s="130">
        <f t="shared" si="3"/>
        <v>0</v>
      </c>
      <c r="F14" s="94"/>
      <c r="G14" s="428"/>
      <c r="H14" s="429"/>
      <c r="I14" s="429"/>
      <c r="J14" s="429"/>
      <c r="K14" s="429"/>
      <c r="L14" s="430"/>
    </row>
    <row r="15" spans="1:12" x14ac:dyDescent="0.35">
      <c r="A15" s="122">
        <v>2002</v>
      </c>
      <c r="B15" s="132">
        <v>7.6499999999999999E-2</v>
      </c>
      <c r="C15" s="82">
        <f t="shared" si="2"/>
        <v>0</v>
      </c>
      <c r="D15" s="83">
        <v>0</v>
      </c>
      <c r="E15" s="130">
        <f t="shared" si="3"/>
        <v>0</v>
      </c>
      <c r="G15" s="428"/>
      <c r="H15" s="429"/>
      <c r="I15" s="429"/>
      <c r="J15" s="429"/>
      <c r="K15" s="429"/>
      <c r="L15" s="430"/>
    </row>
    <row r="16" spans="1:12" ht="16" thickBot="1" x14ac:dyDescent="0.4">
      <c r="A16" s="122">
        <v>2003</v>
      </c>
      <c r="B16" s="132">
        <v>6.9900000000000004E-2</v>
      </c>
      <c r="C16" s="82">
        <f t="shared" si="2"/>
        <v>0</v>
      </c>
      <c r="D16" s="83">
        <v>0</v>
      </c>
      <c r="E16" s="130">
        <f t="shared" si="3"/>
        <v>0</v>
      </c>
      <c r="G16" s="431"/>
      <c r="H16" s="432"/>
      <c r="I16" s="432"/>
      <c r="J16" s="432"/>
      <c r="K16" s="432"/>
      <c r="L16" s="433"/>
    </row>
    <row r="17" spans="1:8" ht="16" thickBot="1" x14ac:dyDescent="0.4">
      <c r="A17" s="122">
        <v>2004</v>
      </c>
      <c r="B17" s="132">
        <v>6.4899999999999999E-2</v>
      </c>
      <c r="C17" s="82">
        <f t="shared" si="2"/>
        <v>0</v>
      </c>
      <c r="D17" s="83">
        <v>0</v>
      </c>
      <c r="E17" s="130">
        <f t="shared" si="3"/>
        <v>0</v>
      </c>
      <c r="G17" s="108" t="s">
        <v>79</v>
      </c>
      <c r="H17" s="109">
        <f>YEAR(SABANA!C21)</f>
        <v>2007</v>
      </c>
    </row>
    <row r="18" spans="1:8" ht="16" thickBot="1" x14ac:dyDescent="0.4">
      <c r="A18" s="122">
        <v>2005</v>
      </c>
      <c r="B18" s="132">
        <v>5.5E-2</v>
      </c>
      <c r="C18" s="82">
        <f t="shared" si="2"/>
        <v>0</v>
      </c>
      <c r="D18" s="83">
        <v>0</v>
      </c>
      <c r="E18" s="130">
        <f t="shared" si="3"/>
        <v>0</v>
      </c>
      <c r="G18" s="110" t="s">
        <v>80</v>
      </c>
      <c r="H18" s="141">
        <f>MONTH(SABANA!C21)</f>
        <v>1</v>
      </c>
    </row>
    <row r="19" spans="1:8" ht="16" thickBot="1" x14ac:dyDescent="0.4">
      <c r="A19" s="122">
        <v>2006</v>
      </c>
      <c r="B19" s="132">
        <v>4.8500000000000001E-2</v>
      </c>
      <c r="C19" s="82">
        <f t="shared" si="2"/>
        <v>0</v>
      </c>
      <c r="D19" s="83">
        <v>0</v>
      </c>
      <c r="E19" s="130">
        <f t="shared" si="3"/>
        <v>0</v>
      </c>
      <c r="G19" s="111" t="s">
        <v>81</v>
      </c>
      <c r="H19" s="111">
        <f>DAY(SABANA!C21)</f>
        <v>2</v>
      </c>
    </row>
    <row r="20" spans="1:8" x14ac:dyDescent="0.35">
      <c r="A20" s="122">
        <v>2007</v>
      </c>
      <c r="B20" s="132">
        <v>4.48E-2</v>
      </c>
      <c r="C20" s="82">
        <f t="shared" si="2"/>
        <v>1999663</v>
      </c>
      <c r="D20" s="83">
        <v>0</v>
      </c>
      <c r="E20" s="130">
        <f t="shared" si="3"/>
        <v>1999663</v>
      </c>
      <c r="G20" s="112" t="s">
        <v>82</v>
      </c>
      <c r="H20" s="113">
        <v>1999663</v>
      </c>
    </row>
    <row r="21" spans="1:8" x14ac:dyDescent="0.35">
      <c r="A21" s="122">
        <v>2008</v>
      </c>
      <c r="B21" s="132">
        <v>5.6899999999999999E-2</v>
      </c>
      <c r="C21" s="82">
        <f t="shared" si="2"/>
        <v>2113443.8246999998</v>
      </c>
      <c r="D21" s="83">
        <v>0</v>
      </c>
      <c r="E21" s="130">
        <f t="shared" si="3"/>
        <v>2113443.8246999998</v>
      </c>
      <c r="H21" s="91"/>
    </row>
    <row r="22" spans="1:8" x14ac:dyDescent="0.35">
      <c r="A22" s="122">
        <v>2009</v>
      </c>
      <c r="B22" s="132">
        <v>7.6700000000000004E-2</v>
      </c>
      <c r="C22" s="82">
        <f t="shared" si="2"/>
        <v>2275544.9660544898</v>
      </c>
      <c r="D22" s="83">
        <v>0</v>
      </c>
      <c r="E22" s="130">
        <f t="shared" si="3"/>
        <v>2275544.9660544898</v>
      </c>
    </row>
    <row r="23" spans="1:8" x14ac:dyDescent="0.35">
      <c r="A23" s="122">
        <v>2010</v>
      </c>
      <c r="B23" s="132">
        <v>0.02</v>
      </c>
      <c r="C23" s="82">
        <f t="shared" si="2"/>
        <v>2321055.8653755798</v>
      </c>
      <c r="D23" s="83">
        <v>0</v>
      </c>
      <c r="E23" s="130">
        <f t="shared" si="3"/>
        <v>2321055.8653755798</v>
      </c>
      <c r="H23" s="92"/>
    </row>
    <row r="24" spans="1:8" x14ac:dyDescent="0.35">
      <c r="A24" s="122">
        <v>2011</v>
      </c>
      <c r="B24" s="132">
        <v>3.1699999999999999E-2</v>
      </c>
      <c r="C24" s="82">
        <f t="shared" si="2"/>
        <v>2394633.3363079857</v>
      </c>
      <c r="D24" s="83">
        <v>0</v>
      </c>
      <c r="E24" s="130">
        <f t="shared" si="3"/>
        <v>2394633.3363079857</v>
      </c>
    </row>
    <row r="25" spans="1:8" x14ac:dyDescent="0.35">
      <c r="A25" s="122">
        <v>2012</v>
      </c>
      <c r="B25" s="132">
        <v>3.73E-2</v>
      </c>
      <c r="C25" s="82">
        <f t="shared" si="2"/>
        <v>2483953.1597522739</v>
      </c>
      <c r="D25" s="83">
        <v>0</v>
      </c>
      <c r="E25" s="130">
        <f t="shared" si="3"/>
        <v>2483953.1597522739</v>
      </c>
    </row>
    <row r="26" spans="1:8" x14ac:dyDescent="0.35">
      <c r="A26" s="122">
        <v>2013</v>
      </c>
      <c r="B26" s="132">
        <v>2.4400000000000002E-2</v>
      </c>
      <c r="C26" s="82">
        <f t="shared" si="2"/>
        <v>2544561.6168502294</v>
      </c>
      <c r="D26" s="83">
        <v>0</v>
      </c>
      <c r="E26" s="130">
        <f t="shared" si="3"/>
        <v>2544561.6168502294</v>
      </c>
    </row>
    <row r="27" spans="1:8" x14ac:dyDescent="0.35">
      <c r="A27" s="122">
        <v>2014</v>
      </c>
      <c r="B27" s="132">
        <v>1.9400000000000001E-2</v>
      </c>
      <c r="C27" s="82">
        <f t="shared" si="2"/>
        <v>2593926.1122171241</v>
      </c>
      <c r="D27" s="83">
        <v>0</v>
      </c>
      <c r="E27" s="130">
        <f t="shared" si="3"/>
        <v>2593926.1122171241</v>
      </c>
    </row>
    <row r="28" spans="1:8" x14ac:dyDescent="0.35">
      <c r="A28" s="122">
        <v>2015</v>
      </c>
      <c r="B28" s="132">
        <v>3.6600000000000001E-2</v>
      </c>
      <c r="C28" s="82">
        <f t="shared" si="2"/>
        <v>2688863.8079242706</v>
      </c>
      <c r="D28" s="83">
        <v>0</v>
      </c>
      <c r="E28" s="130">
        <f t="shared" si="3"/>
        <v>2688863.8079242706</v>
      </c>
    </row>
    <row r="29" spans="1:8" x14ac:dyDescent="0.35">
      <c r="A29" s="122">
        <v>2016</v>
      </c>
      <c r="B29" s="132">
        <v>6.7699999999999996E-2</v>
      </c>
      <c r="C29" s="82">
        <f t="shared" si="2"/>
        <v>2870899.8877207441</v>
      </c>
      <c r="D29" s="83">
        <v>0</v>
      </c>
      <c r="E29" s="130">
        <f t="shared" si="3"/>
        <v>2870899.8877207441</v>
      </c>
    </row>
    <row r="30" spans="1:8" x14ac:dyDescent="0.35">
      <c r="A30" s="122">
        <v>2017</v>
      </c>
      <c r="B30" s="132">
        <v>5.7500000000000002E-2</v>
      </c>
      <c r="C30" s="82">
        <f t="shared" si="2"/>
        <v>3035976.6312646871</v>
      </c>
      <c r="D30" s="83">
        <v>0</v>
      </c>
      <c r="E30" s="130">
        <f t="shared" si="3"/>
        <v>3035976.6312646871</v>
      </c>
    </row>
    <row r="31" spans="1:8" x14ac:dyDescent="0.35">
      <c r="A31" s="11">
        <v>2018</v>
      </c>
      <c r="B31" s="133">
        <v>4.0899999999999999E-2</v>
      </c>
      <c r="C31" s="82">
        <f t="shared" si="2"/>
        <v>3160148.0754834125</v>
      </c>
      <c r="D31" s="83">
        <v>0</v>
      </c>
      <c r="E31" s="134">
        <f t="shared" si="3"/>
        <v>3160148.0754834125</v>
      </c>
    </row>
    <row r="32" spans="1:8" x14ac:dyDescent="0.35">
      <c r="A32" s="122">
        <v>2019</v>
      </c>
      <c r="B32" s="135">
        <v>3.1800000000000002E-2</v>
      </c>
      <c r="C32" s="82">
        <f t="shared" si="2"/>
        <v>3260640.7842837851</v>
      </c>
      <c r="D32" s="83">
        <v>0</v>
      </c>
      <c r="E32" s="134">
        <f t="shared" si="3"/>
        <v>3260640.7842837851</v>
      </c>
    </row>
    <row r="33" spans="1:5" x14ac:dyDescent="0.35">
      <c r="A33" s="122">
        <v>2020</v>
      </c>
      <c r="B33" s="135">
        <v>3.7999999999999999E-2</v>
      </c>
      <c r="C33" s="82">
        <f t="shared" si="2"/>
        <v>3384545.1340865693</v>
      </c>
      <c r="D33" s="83">
        <v>0</v>
      </c>
      <c r="E33" s="130">
        <f t="shared" si="3"/>
        <v>3384545.1340865693</v>
      </c>
    </row>
    <row r="34" spans="1:5" x14ac:dyDescent="0.35">
      <c r="A34" s="11">
        <v>2021</v>
      </c>
      <c r="B34" s="135">
        <v>1.61E-2</v>
      </c>
      <c r="C34" s="82">
        <f t="shared" si="2"/>
        <v>3439036.3107453631</v>
      </c>
      <c r="D34" s="83">
        <v>0</v>
      </c>
      <c r="E34" s="130">
        <f>C34-D34</f>
        <v>3439036.3107453631</v>
      </c>
    </row>
    <row r="35" spans="1:5" x14ac:dyDescent="0.35">
      <c r="A35" s="11">
        <v>2022</v>
      </c>
      <c r="B35" s="135">
        <v>5.62E-2</v>
      </c>
      <c r="C35" s="82">
        <f t="shared" si="2"/>
        <v>3632310.1514092525</v>
      </c>
      <c r="D35" s="83">
        <v>0</v>
      </c>
      <c r="E35" s="130">
        <f>C35-D35</f>
        <v>3632310.1514092525</v>
      </c>
    </row>
    <row r="36" spans="1:5" x14ac:dyDescent="0.35">
      <c r="A36" s="123">
        <v>2023</v>
      </c>
      <c r="B36" s="136">
        <v>0.13120000000000001</v>
      </c>
      <c r="C36" s="82">
        <f t="shared" si="2"/>
        <v>4108869.2432741462</v>
      </c>
      <c r="D36" s="83">
        <v>0</v>
      </c>
      <c r="E36" s="130">
        <f>C36-D36</f>
        <v>4108869.2432741462</v>
      </c>
    </row>
    <row r="37" spans="1:5" x14ac:dyDescent="0.35">
      <c r="A37" s="123">
        <v>2024</v>
      </c>
      <c r="B37" s="136">
        <v>9.2799999999999994E-2</v>
      </c>
      <c r="C37" s="82">
        <f t="shared" si="2"/>
        <v>4490172.3090499872</v>
      </c>
      <c r="D37" s="83">
        <v>0</v>
      </c>
      <c r="E37" s="130">
        <f>C37-D37</f>
        <v>4490172.3090499872</v>
      </c>
    </row>
    <row r="38" spans="1:5" ht="16" thickBot="1" x14ac:dyDescent="0.4">
      <c r="A38" s="123">
        <v>2025</v>
      </c>
      <c r="B38" s="137">
        <v>5.1999999999999998E-2</v>
      </c>
      <c r="C38" s="138">
        <f t="shared" si="2"/>
        <v>4723661.269120587</v>
      </c>
      <c r="D38" s="139">
        <v>0</v>
      </c>
      <c r="E38" s="140">
        <f>C38-D38</f>
        <v>4723661.269120587</v>
      </c>
    </row>
  </sheetData>
  <mergeCells count="2">
    <mergeCell ref="F2:G7"/>
    <mergeCell ref="G13:L16"/>
  </mergeCells>
  <pageMargins left="0.7" right="0.7" top="0.75" bottom="0.75" header="0.3" footer="0.3"/>
  <pageSetup paperSize="12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83"/>
  <sheetViews>
    <sheetView zoomScale="140" zoomScaleNormal="140" workbookViewId="0">
      <pane xSplit="12" ySplit="3" topLeftCell="M460" activePane="bottomRight" state="frozen"/>
      <selection pane="topRight" activeCell="I1" sqref="I1"/>
      <selection pane="bottomLeft" activeCell="A3" sqref="A3"/>
      <selection pane="bottomRight" activeCell="A480" sqref="A480:M482"/>
    </sheetView>
  </sheetViews>
  <sheetFormatPr baseColWidth="10" defaultColWidth="11.453125" defaultRowHeight="14.5" x14ac:dyDescent="0.35"/>
  <cols>
    <col min="1" max="2" width="7.54296875" style="142" bestFit="1" customWidth="1"/>
    <col min="3" max="3" width="5.1796875" style="142" bestFit="1" customWidth="1"/>
    <col min="4" max="4" width="8.1796875" style="142" customWidth="1"/>
    <col min="5" max="5" width="5.26953125" style="142" bestFit="1" customWidth="1"/>
    <col min="6" max="6" width="11.7265625" style="144" customWidth="1"/>
    <col min="7" max="7" width="6.7265625" style="143" customWidth="1"/>
    <col min="8" max="8" width="6.26953125" style="143" customWidth="1"/>
    <col min="9" max="9" width="12.26953125" style="143" customWidth="1"/>
    <col min="10" max="10" width="12" style="144" customWidth="1"/>
    <col min="11" max="11" width="10" style="144" customWidth="1"/>
    <col min="12" max="12" width="12" style="142" customWidth="1"/>
    <col min="13" max="13" width="25.54296875" style="77" customWidth="1"/>
    <col min="14" max="14" width="60.26953125" customWidth="1"/>
    <col min="15" max="15" width="47.81640625" customWidth="1"/>
  </cols>
  <sheetData>
    <row r="1" spans="1:15" ht="27" customHeight="1" thickBot="1" x14ac:dyDescent="0.4">
      <c r="A1" s="142" t="s">
        <v>83</v>
      </c>
      <c r="B1" s="440" t="s">
        <v>29</v>
      </c>
      <c r="C1" s="440"/>
      <c r="D1" s="440"/>
      <c r="E1" s="440"/>
      <c r="F1" s="170">
        <f>SABANA!C22</f>
        <v>39085</v>
      </c>
    </row>
    <row r="2" spans="1:15" ht="19.5" customHeight="1" thickBot="1" x14ac:dyDescent="0.4">
      <c r="A2" s="142" t="s">
        <v>84</v>
      </c>
      <c r="B2" s="441" t="s">
        <v>20</v>
      </c>
      <c r="C2" s="441"/>
      <c r="D2" s="441"/>
      <c r="E2" s="441"/>
      <c r="F2" s="170">
        <f>SABANA!C14</f>
        <v>44119</v>
      </c>
    </row>
    <row r="3" spans="1:15" ht="40" x14ac:dyDescent="0.35">
      <c r="A3" s="145" t="s">
        <v>85</v>
      </c>
      <c r="B3" s="145" t="s">
        <v>86</v>
      </c>
      <c r="C3" s="146" t="s">
        <v>66</v>
      </c>
      <c r="D3" s="146" t="s">
        <v>87</v>
      </c>
      <c r="E3" s="146" t="s">
        <v>88</v>
      </c>
      <c r="F3" s="171" t="s">
        <v>89</v>
      </c>
      <c r="G3" s="148" t="s">
        <v>90</v>
      </c>
      <c r="H3" s="148" t="s">
        <v>91</v>
      </c>
      <c r="I3" s="147" t="s">
        <v>92</v>
      </c>
      <c r="J3" s="146" t="s">
        <v>93</v>
      </c>
      <c r="K3" s="146" t="s">
        <v>94</v>
      </c>
      <c r="L3" s="147" t="s">
        <v>95</v>
      </c>
    </row>
    <row r="4" spans="1:15" x14ac:dyDescent="0.35">
      <c r="A4" s="149"/>
      <c r="B4" s="149"/>
      <c r="C4" s="442"/>
      <c r="D4" s="442"/>
      <c r="E4" s="146"/>
      <c r="F4" s="147"/>
      <c r="G4" s="148"/>
      <c r="H4" s="150">
        <f>VLOOKUP(100*YEAR($F$2)+MONTH($F$2)-1,IPC!A$14:E$861,2)</f>
        <v>105.29</v>
      </c>
      <c r="I4" s="151"/>
      <c r="J4" s="146"/>
      <c r="K4" s="146"/>
      <c r="L4" s="147"/>
      <c r="N4" s="6"/>
    </row>
    <row r="5" spans="1:15" x14ac:dyDescent="0.35">
      <c r="A5" s="152">
        <f>IF(
AND(YEAR(B5)=YEAR(DATE(YEAR($F$1),MONTH($F$1),1)),
MONTH(B5)=MONTH(DATE(YEAR($F$1),MONTH($F$1),1))),
$F$1,
DATE(YEAR(B5),MONTH(B5),1))</f>
        <v>33970</v>
      </c>
      <c r="B5" s="152">
        <v>34000</v>
      </c>
      <c r="C5" s="434">
        <v>1993</v>
      </c>
      <c r="D5" s="149" t="s">
        <v>96</v>
      </c>
      <c r="E5" s="149">
        <f t="shared" ref="E5:E68" si="0">DAYS360(A5,B5+1)</f>
        <v>30</v>
      </c>
      <c r="F5" s="153">
        <f>IF(AND(A5&gt;=$F$1,B5&lt;=$F$2),((VLOOKUP(YEAR(B5),'DIF MES'!A$2:E$38,5)*E5)/30),0)</f>
        <v>0</v>
      </c>
      <c r="G5" s="154">
        <f>VLOOKUP(100*YEAR(A5)+MONTH(A5)-1,IPC!A$14:E$861,2)</f>
        <v>12.14</v>
      </c>
      <c r="H5" s="151">
        <f>+$H$4</f>
        <v>105.29</v>
      </c>
      <c r="I5" s="153">
        <f t="shared" ref="I5:I23" si="1">F5*(H5/G5)</f>
        <v>0</v>
      </c>
      <c r="J5" s="153">
        <f>+I5-F5</f>
        <v>0</v>
      </c>
      <c r="K5" s="155">
        <f>IF(D5="adicional", 0, +I5*0.12)</f>
        <v>0</v>
      </c>
      <c r="L5" s="153">
        <f>+I5-K5</f>
        <v>0</v>
      </c>
      <c r="M5" s="184"/>
      <c r="N5" s="6"/>
    </row>
    <row r="6" spans="1:15" x14ac:dyDescent="0.35">
      <c r="A6" s="152">
        <f>IF(
AND(YEAR(B5)=YEAR(DATE(YEAR($F$1),MONTH($F$1)-1,1)),
MONTH(B5)=MONTH(DATE(YEAR($F$1),MONTH($F$1)-1,1))),
$F$1,
DATE(YEAR(B5),MONTH(B5)+1,1))</f>
        <v>34001</v>
      </c>
      <c r="B6" s="152">
        <f>IF(
AND(
YEAR(B5)=YEAR(DATE(YEAR($F$2),MONTH($F$2)-1,1)),
MONTH(B5)=MONTH(DATE(YEAR($F$2),MONTH($F$2)-1,1))
),
$F$2,
EOMONTH(B5,1)
)</f>
        <v>34028</v>
      </c>
      <c r="C6" s="435"/>
      <c r="D6" s="149" t="s">
        <v>97</v>
      </c>
      <c r="E6" s="149">
        <f t="shared" si="0"/>
        <v>30</v>
      </c>
      <c r="F6" s="153">
        <f>IF(AND(A6&gt;=$F$1,B6&lt;=$F$2),((VLOOKUP(YEAR(B6),'DIF MES'!A$2:E$38,5)*E6)/30),0)</f>
        <v>0</v>
      </c>
      <c r="G6" s="154">
        <f>VLOOKUP(100*YEAR(A6)+MONTH(A6)-1,IPC!A$14:E$861,2)</f>
        <v>12.54</v>
      </c>
      <c r="H6" s="151">
        <f t="shared" ref="H6:H69" si="2">+$H$4</f>
        <v>105.29</v>
      </c>
      <c r="I6" s="153">
        <f t="shared" si="1"/>
        <v>0</v>
      </c>
      <c r="J6" s="153">
        <f>+I6-F6</f>
        <v>0</v>
      </c>
      <c r="K6" s="155">
        <f t="shared" ref="K6:K69" si="3">IF(D6="adicional", 0, +I6*0.12)</f>
        <v>0</v>
      </c>
      <c r="L6" s="153">
        <f t="shared" ref="L6:L69" si="4">+I6-K6</f>
        <v>0</v>
      </c>
      <c r="M6" s="185"/>
      <c r="N6" s="6" t="s">
        <v>96</v>
      </c>
      <c r="O6" s="22">
        <v>12.54</v>
      </c>
    </row>
    <row r="7" spans="1:15" x14ac:dyDescent="0.35">
      <c r="A7" s="152">
        <f t="shared" ref="A7:A9" si="5">IF(
AND(YEAR(B6)=YEAR(DATE(YEAR($F$1),MONTH($F$1)-1,1)),
MONTH(B6)=MONTH(DATE(YEAR($F$1),MONTH($F$1)-1,1))),
$F$1,
DATE(YEAR(B6),MONTH(B6)+1,1))</f>
        <v>34029</v>
      </c>
      <c r="B7" s="152">
        <f t="shared" ref="B7:B9" si="6">IF(
AND(
YEAR(B6)=YEAR(DATE(YEAR($F$2),MONTH($F$2)-1,1)),
MONTH(B6)=MONTH(DATE(YEAR($F$2),MONTH($F$2)-1,1))
),
$F$2,
EOMONTH(B6,1)
)</f>
        <v>34059</v>
      </c>
      <c r="C7" s="435"/>
      <c r="D7" s="149" t="s">
        <v>98</v>
      </c>
      <c r="E7" s="149">
        <f t="shared" si="0"/>
        <v>30</v>
      </c>
      <c r="F7" s="153">
        <f>IF(AND(A7&gt;=$F$1,B7&lt;=$F$2),((VLOOKUP(YEAR(B7),'DIF MES'!A$2:E$38,5)*E7)/30),0)</f>
        <v>0</v>
      </c>
      <c r="G7" s="154">
        <f>VLOOKUP(100*YEAR(A7)+MONTH(A7)-1,IPC!A$14:E$861,2)</f>
        <v>12.94</v>
      </c>
      <c r="H7" s="151">
        <f t="shared" si="2"/>
        <v>105.29</v>
      </c>
      <c r="I7" s="153">
        <f t="shared" si="1"/>
        <v>0</v>
      </c>
      <c r="J7" s="153">
        <f t="shared" ref="J7:J70" si="7">+I7-F7</f>
        <v>0</v>
      </c>
      <c r="K7" s="155">
        <f t="shared" si="3"/>
        <v>0</v>
      </c>
      <c r="L7" s="153">
        <f t="shared" si="4"/>
        <v>0</v>
      </c>
      <c r="M7" s="184"/>
      <c r="N7" s="6"/>
      <c r="O7" s="8"/>
    </row>
    <row r="8" spans="1:15" x14ac:dyDescent="0.35">
      <c r="A8" s="152">
        <f t="shared" si="5"/>
        <v>34060</v>
      </c>
      <c r="B8" s="152">
        <f t="shared" si="6"/>
        <v>34089</v>
      </c>
      <c r="C8" s="435"/>
      <c r="D8" s="149" t="s">
        <v>99</v>
      </c>
      <c r="E8" s="149">
        <f t="shared" si="0"/>
        <v>30</v>
      </c>
      <c r="F8" s="153">
        <f>IF(AND(A8&gt;=$F$1,B8&lt;=$F$2),((VLOOKUP(YEAR(B8),'DIF MES'!A$2:E$38,5)*E8)/30),0)</f>
        <v>0</v>
      </c>
      <c r="G8" s="154">
        <f>VLOOKUP(100*YEAR(A8)+MONTH(A8)-1,IPC!A$14:E$861,2)</f>
        <v>13.19</v>
      </c>
      <c r="H8" s="151">
        <f t="shared" si="2"/>
        <v>105.29</v>
      </c>
      <c r="I8" s="153">
        <f t="shared" si="1"/>
        <v>0</v>
      </c>
      <c r="J8" s="153">
        <f t="shared" si="7"/>
        <v>0</v>
      </c>
      <c r="K8" s="155">
        <f t="shared" si="3"/>
        <v>0</v>
      </c>
      <c r="L8" s="153">
        <f t="shared" si="4"/>
        <v>0</v>
      </c>
      <c r="M8" s="186"/>
      <c r="N8" s="8">
        <f>B6+1</f>
        <v>34029</v>
      </c>
    </row>
    <row r="9" spans="1:15" x14ac:dyDescent="0.35">
      <c r="A9" s="152">
        <f t="shared" si="5"/>
        <v>34090</v>
      </c>
      <c r="B9" s="152">
        <f t="shared" si="6"/>
        <v>34120</v>
      </c>
      <c r="C9" s="435"/>
      <c r="D9" s="149" t="s">
        <v>100</v>
      </c>
      <c r="E9" s="149">
        <f t="shared" si="0"/>
        <v>30</v>
      </c>
      <c r="F9" s="153">
        <f>IF(AND(A9&gt;=$F$1,B9&lt;=$F$2),((VLOOKUP(YEAR(B9),'DIF MES'!A$2:E$38,5)*E9)/30),0)</f>
        <v>0</v>
      </c>
      <c r="G9" s="154">
        <f>VLOOKUP(100*YEAR(A9)+MONTH(A9)-1,IPC!A$14:E$861,2)</f>
        <v>13.44</v>
      </c>
      <c r="H9" s="151">
        <f t="shared" si="2"/>
        <v>105.29</v>
      </c>
      <c r="I9" s="153">
        <f t="shared" si="1"/>
        <v>0</v>
      </c>
      <c r="J9" s="153">
        <f t="shared" si="7"/>
        <v>0</v>
      </c>
      <c r="K9" s="155">
        <f t="shared" si="3"/>
        <v>0</v>
      </c>
      <c r="L9" s="153">
        <f t="shared" si="4"/>
        <v>0</v>
      </c>
      <c r="M9" s="184"/>
      <c r="N9" s="8">
        <f>B7+1</f>
        <v>34060</v>
      </c>
    </row>
    <row r="10" spans="1:15" x14ac:dyDescent="0.35">
      <c r="A10" s="156">
        <f>A11</f>
        <v>34121</v>
      </c>
      <c r="B10" s="156">
        <f>B11</f>
        <v>34150</v>
      </c>
      <c r="C10" s="435"/>
      <c r="D10" s="157" t="s">
        <v>101</v>
      </c>
      <c r="E10" s="157">
        <f t="shared" si="0"/>
        <v>30</v>
      </c>
      <c r="F10" s="153">
        <f>IF(AND(A10&gt;=$F$1,B10&lt;=$F$2),((VLOOKUP(YEAR(B10),'DIF MES'!A$2:E$38,5)*E10)/30),0)</f>
        <v>0</v>
      </c>
      <c r="G10" s="158">
        <f>VLOOKUP(100*YEAR(A10)+MONTH(A10)-1,IPC!A$14:E$861,2)</f>
        <v>13.66</v>
      </c>
      <c r="H10" s="159">
        <f t="shared" si="2"/>
        <v>105.29</v>
      </c>
      <c r="I10" s="160">
        <f>F10*(H10/G10)</f>
        <v>0</v>
      </c>
      <c r="J10" s="161">
        <f>+I10-F10</f>
        <v>0</v>
      </c>
      <c r="K10" s="162">
        <f>IF(D10="adicional", 0, +I10*0.12)</f>
        <v>0</v>
      </c>
      <c r="L10" s="161">
        <f>+I10-K10</f>
        <v>0</v>
      </c>
      <c r="M10" s="184"/>
      <c r="N10" s="8">
        <f>B8+1</f>
        <v>34090</v>
      </c>
    </row>
    <row r="11" spans="1:15" x14ac:dyDescent="0.35">
      <c r="A11" s="152">
        <f>IF(
AND(YEAR(B9)=YEAR(DATE(YEAR($F$1),MONTH($F$1)-1,1)),
MONTH(B9)=MONTH(DATE(YEAR($F$1),MONTH($F$1)-1,1))),
$F$1,
DATE(YEAR(B9),MONTH(B9)+1,1))</f>
        <v>34121</v>
      </c>
      <c r="B11" s="152">
        <f>IF(
AND(
YEAR(B9)=YEAR(DATE(YEAR($F$2),MONTH($F$2)-1,1)),
MONTH(B9)=MONTH(DATE(YEAR($F$2),MONTH($F$2)-1,1))
),
$F$2,
EOMONTH(B9,1)
)</f>
        <v>34150</v>
      </c>
      <c r="C11" s="435"/>
      <c r="D11" s="149" t="s">
        <v>102</v>
      </c>
      <c r="E11" s="149">
        <f t="shared" si="0"/>
        <v>30</v>
      </c>
      <c r="F11" s="153">
        <f>IF(AND(A11&gt;=$F$1,B11&lt;=$F$2),((VLOOKUP(YEAR(B11),'DIF MES'!A$2:E$38,5)*E11)/30),0)</f>
        <v>0</v>
      </c>
      <c r="G11" s="154">
        <f>VLOOKUP(100*YEAR(A11)+MONTH(A11)-1,IPC!A$14:E$861,2)</f>
        <v>13.66</v>
      </c>
      <c r="H11" s="151">
        <f t="shared" si="2"/>
        <v>105.29</v>
      </c>
      <c r="I11" s="153">
        <f>F11*(H11/G11)</f>
        <v>0</v>
      </c>
      <c r="J11" s="153">
        <f>+I11-F11</f>
        <v>0</v>
      </c>
      <c r="K11" s="155">
        <f>IF(D11="adicional", 0, +I11*0.12)</f>
        <v>0</v>
      </c>
      <c r="L11" s="153">
        <f>+I11-K11</f>
        <v>0</v>
      </c>
      <c r="M11" s="184"/>
      <c r="N11" s="8">
        <f>B9+1</f>
        <v>34121</v>
      </c>
    </row>
    <row r="12" spans="1:15" x14ac:dyDescent="0.35">
      <c r="A12" s="152">
        <f>IF(
AND(YEAR(B11)=YEAR(DATE(YEAR($F$1),MONTH($F$1)-1,1)),
MONTH(B11)=MONTH(DATE(YEAR($F$1),MONTH($F$1)-1,1))),
$F$1,
DATE(YEAR(B11),MONTH(B11)+1,1))</f>
        <v>34151</v>
      </c>
      <c r="B12" s="152">
        <f t="shared" ref="B12:B16" si="8">IF(
AND(
YEAR(B11)=YEAR(DATE(YEAR($F$2),MONTH($F$2)-1,1)),
MONTH(B11)=MONTH(DATE(YEAR($F$2),MONTH($F$2)-1,1))
),
$F$2,
EOMONTH(B11,1)
)</f>
        <v>34181</v>
      </c>
      <c r="C12" s="435"/>
      <c r="D12" s="149" t="s">
        <v>103</v>
      </c>
      <c r="E12" s="149">
        <f t="shared" si="0"/>
        <v>30</v>
      </c>
      <c r="F12" s="153">
        <f>IF(AND(A12&gt;=$F$1,B12&lt;=$F$2),((VLOOKUP(YEAR(B12),'DIF MES'!A$2:E$38,5)*E12)/30),0)</f>
        <v>0</v>
      </c>
      <c r="G12" s="154">
        <f>VLOOKUP(100*YEAR(A12)+MONTH(A12)-1,IPC!A$14:E$861,2)</f>
        <v>13.87</v>
      </c>
      <c r="H12" s="151">
        <f t="shared" si="2"/>
        <v>105.29</v>
      </c>
      <c r="I12" s="153">
        <f>F12*(H12/G12)</f>
        <v>0</v>
      </c>
      <c r="J12" s="153">
        <f>+I12-F12</f>
        <v>0</v>
      </c>
      <c r="K12" s="155">
        <f>IF(D12="adicional", 0, +I12*0.12)</f>
        <v>0</v>
      </c>
      <c r="L12" s="153">
        <f>+I12-K12</f>
        <v>0</v>
      </c>
      <c r="M12" s="184"/>
      <c r="N12" s="8">
        <f>B11+1</f>
        <v>34151</v>
      </c>
    </row>
    <row r="13" spans="1:15" x14ac:dyDescent="0.35">
      <c r="A13" s="152">
        <f t="shared" ref="A13:A16" si="9">IF(
AND(YEAR(B12)=YEAR(DATE(YEAR($F$1),MONTH($F$1)-1,1)),
MONTH(B12)=MONTH(DATE(YEAR($F$1),MONTH($F$1)-1,1))),
$F$1,
DATE(YEAR(B12),MONTH(B12)+1,1))</f>
        <v>34182</v>
      </c>
      <c r="B13" s="152">
        <f t="shared" si="8"/>
        <v>34212</v>
      </c>
      <c r="C13" s="435"/>
      <c r="D13" s="149" t="s">
        <v>104</v>
      </c>
      <c r="E13" s="149">
        <f t="shared" si="0"/>
        <v>30</v>
      </c>
      <c r="F13" s="153">
        <f>IF(AND(A13&gt;=$F$1,B13&lt;=$F$2),((VLOOKUP(YEAR(B13),'DIF MES'!A$2:E$38,5)*E13)/30),0)</f>
        <v>0</v>
      </c>
      <c r="G13" s="154">
        <f>VLOOKUP(100*YEAR(A13)+MONTH(A13)-1,IPC!A$14:E$861,2)</f>
        <v>14.04</v>
      </c>
      <c r="H13" s="151">
        <f t="shared" si="2"/>
        <v>105.29</v>
      </c>
      <c r="I13" s="153">
        <f t="shared" si="1"/>
        <v>0</v>
      </c>
      <c r="J13" s="153">
        <f t="shared" si="7"/>
        <v>0</v>
      </c>
      <c r="K13" s="155">
        <f t="shared" si="3"/>
        <v>0</v>
      </c>
      <c r="L13" s="153">
        <f t="shared" si="4"/>
        <v>0</v>
      </c>
      <c r="M13" s="184"/>
      <c r="N13" s="8">
        <f>B10+1</f>
        <v>34151</v>
      </c>
    </row>
    <row r="14" spans="1:15" ht="20" x14ac:dyDescent="0.35">
      <c r="A14" s="152">
        <f t="shared" si="9"/>
        <v>34213</v>
      </c>
      <c r="B14" s="152">
        <f t="shared" si="8"/>
        <v>34242</v>
      </c>
      <c r="C14" s="435"/>
      <c r="D14" s="149" t="s">
        <v>105</v>
      </c>
      <c r="E14" s="149">
        <f t="shared" si="0"/>
        <v>30</v>
      </c>
      <c r="F14" s="153">
        <f>IF(AND(A14&gt;=$F$1,B14&lt;=$F$2),((VLOOKUP(YEAR(B14),'DIF MES'!A$2:E$38,5)*E14)/30),0)</f>
        <v>0</v>
      </c>
      <c r="G14" s="154">
        <f>VLOOKUP(100*YEAR(A14)+MONTH(A14)-1,IPC!A$14:E$861,2)</f>
        <v>14.22</v>
      </c>
      <c r="H14" s="151">
        <f t="shared" si="2"/>
        <v>105.29</v>
      </c>
      <c r="I14" s="153">
        <f t="shared" si="1"/>
        <v>0</v>
      </c>
      <c r="J14" s="153">
        <f t="shared" si="7"/>
        <v>0</v>
      </c>
      <c r="K14" s="155">
        <f t="shared" si="3"/>
        <v>0</v>
      </c>
      <c r="L14" s="153">
        <f t="shared" si="4"/>
        <v>0</v>
      </c>
      <c r="M14" s="184"/>
      <c r="N14" s="6"/>
    </row>
    <row r="15" spans="1:15" x14ac:dyDescent="0.35">
      <c r="A15" s="152">
        <f t="shared" si="9"/>
        <v>34243</v>
      </c>
      <c r="B15" s="152">
        <f t="shared" si="8"/>
        <v>34273</v>
      </c>
      <c r="C15" s="435"/>
      <c r="D15" s="149" t="s">
        <v>106</v>
      </c>
      <c r="E15" s="149">
        <f t="shared" si="0"/>
        <v>30</v>
      </c>
      <c r="F15" s="153">
        <f>IF(AND(A15&gt;=$F$1,B15&lt;=$F$2),((VLOOKUP(YEAR(B15),'DIF MES'!A$2:E$38,5)*E15)/30),0)</f>
        <v>0</v>
      </c>
      <c r="G15" s="154">
        <f>VLOOKUP(100*YEAR(A15)+MONTH(A15)-1,IPC!A$14:E$861,2)</f>
        <v>14.38</v>
      </c>
      <c r="H15" s="151">
        <f t="shared" si="2"/>
        <v>105.29</v>
      </c>
      <c r="I15" s="153">
        <f t="shared" si="1"/>
        <v>0</v>
      </c>
      <c r="J15" s="153">
        <f t="shared" si="7"/>
        <v>0</v>
      </c>
      <c r="K15" s="155">
        <f t="shared" si="3"/>
        <v>0</v>
      </c>
      <c r="L15" s="153">
        <f t="shared" si="4"/>
        <v>0</v>
      </c>
      <c r="M15" s="184"/>
      <c r="N15" s="6"/>
    </row>
    <row r="16" spans="1:15" x14ac:dyDescent="0.35">
      <c r="A16" s="152">
        <f t="shared" si="9"/>
        <v>34274</v>
      </c>
      <c r="B16" s="152">
        <f t="shared" si="8"/>
        <v>34303</v>
      </c>
      <c r="C16" s="435"/>
      <c r="D16" s="149" t="s">
        <v>107</v>
      </c>
      <c r="E16" s="149">
        <f t="shared" si="0"/>
        <v>30</v>
      </c>
      <c r="F16" s="153">
        <f>IF(AND(A16&gt;=$F$1,B16&lt;=$F$2),((VLOOKUP(YEAR(B16),'DIF MES'!A$2:E$38,5)*E16)/30),0)</f>
        <v>0</v>
      </c>
      <c r="G16" s="154">
        <f>VLOOKUP(100*YEAR(A16)+MONTH(A16)-1,IPC!A$14:E$861,2)</f>
        <v>14.53</v>
      </c>
      <c r="H16" s="151">
        <f t="shared" si="2"/>
        <v>105.29</v>
      </c>
      <c r="I16" s="153">
        <f t="shared" si="1"/>
        <v>0</v>
      </c>
      <c r="J16" s="153">
        <f t="shared" si="7"/>
        <v>0</v>
      </c>
      <c r="K16" s="155">
        <f t="shared" si="3"/>
        <v>0</v>
      </c>
      <c r="L16" s="153">
        <f t="shared" si="4"/>
        <v>0</v>
      </c>
      <c r="M16" s="184"/>
      <c r="N16" s="6"/>
    </row>
    <row r="17" spans="1:14" x14ac:dyDescent="0.35">
      <c r="A17" s="156">
        <f>A16</f>
        <v>34274</v>
      </c>
      <c r="B17" s="156">
        <f>B16</f>
        <v>34303</v>
      </c>
      <c r="C17" s="435"/>
      <c r="D17" s="157" t="s">
        <v>101</v>
      </c>
      <c r="E17" s="157">
        <f t="shared" si="0"/>
        <v>30</v>
      </c>
      <c r="F17" s="153">
        <f>IF(AND(A17&gt;=$F$1,B17&lt;=$F$2),((VLOOKUP(YEAR(B17),'DIF MES'!A$2:E$38,5)*E17)/30),0)</f>
        <v>0</v>
      </c>
      <c r="G17" s="158">
        <f>VLOOKUP(100*YEAR(A17)+MONTH(A17)-1,IPC!A$14:E$861,2)</f>
        <v>14.53</v>
      </c>
      <c r="H17" s="159">
        <f t="shared" si="2"/>
        <v>105.29</v>
      </c>
      <c r="I17" s="161">
        <f t="shared" si="1"/>
        <v>0</v>
      </c>
      <c r="J17" s="161">
        <f t="shared" si="7"/>
        <v>0</v>
      </c>
      <c r="K17" s="162">
        <f t="shared" si="3"/>
        <v>0</v>
      </c>
      <c r="L17" s="161">
        <f t="shared" si="4"/>
        <v>0</v>
      </c>
      <c r="M17" s="184"/>
      <c r="N17" s="6"/>
    </row>
    <row r="18" spans="1:14" x14ac:dyDescent="0.35">
      <c r="A18" s="152">
        <f>IF(
AND(YEAR(B16)=YEAR(DATE(YEAR($F$1),MONTH($F$1)-1,1)),
MONTH(B16)=MONTH(DATE(YEAR($F$1),MONTH($F$1)-1,1))),
$F$1,
DATE(YEAR(B16),MONTH(B16)+1,1))</f>
        <v>34304</v>
      </c>
      <c r="B18" s="152">
        <f>IF(
AND(
YEAR(B16)=YEAR(DATE(YEAR($F$2),MONTH($F$2)-1,1)),
MONTH(B16)=MONTH(DATE(YEAR($F$2),MONTH($F$2)-1,1))
),
$F$2,
EOMONTH(B16,1)
)</f>
        <v>34334</v>
      </c>
      <c r="C18" s="436"/>
      <c r="D18" s="149" t="s">
        <v>108</v>
      </c>
      <c r="E18" s="149">
        <f t="shared" si="0"/>
        <v>30</v>
      </c>
      <c r="F18" s="153">
        <f>IF(AND(A18&gt;=$F$1,B18&lt;=$F$2),((VLOOKUP(YEAR(B18),'DIF MES'!A$2:E$38,5)*E18)/30),0)</f>
        <v>0</v>
      </c>
      <c r="G18" s="154">
        <f>VLOOKUP(100*YEAR(A18)+MONTH(A18)-1,IPC!A$14:E$861,2)</f>
        <v>14.72</v>
      </c>
      <c r="H18" s="151">
        <f t="shared" si="2"/>
        <v>105.29</v>
      </c>
      <c r="I18" s="153">
        <f t="shared" si="1"/>
        <v>0</v>
      </c>
      <c r="J18" s="153">
        <f t="shared" si="7"/>
        <v>0</v>
      </c>
      <c r="K18" s="155">
        <f t="shared" si="3"/>
        <v>0</v>
      </c>
      <c r="L18" s="153">
        <f t="shared" si="4"/>
        <v>0</v>
      </c>
      <c r="M18" s="184"/>
      <c r="N18" s="6"/>
    </row>
    <row r="19" spans="1:14" x14ac:dyDescent="0.35">
      <c r="A19" s="152">
        <f t="shared" ref="A19:A23" si="10">IF(
AND(YEAR(B18)=YEAR(DATE(YEAR($F$1),MONTH($F$1)-1,1)),
MONTH(B18)=MONTH(DATE(YEAR($F$1),MONTH($F$1)-1,1))),
$F$1,
DATE(YEAR(B18),MONTH(B18)+1,1))</f>
        <v>34335</v>
      </c>
      <c r="B19" s="152">
        <f t="shared" ref="B19:B23" si="11">IF(
AND(
YEAR(B18)=YEAR(DATE(YEAR($F$2),MONTH($F$2)-1,1)),
MONTH(B18)=MONTH(DATE(YEAR($F$2),MONTH($F$2)-1,1))
),
$F$2,
EOMONTH(B18,1)
)</f>
        <v>34365</v>
      </c>
      <c r="C19" s="434">
        <v>1994</v>
      </c>
      <c r="D19" s="149" t="s">
        <v>96</v>
      </c>
      <c r="E19" s="149">
        <f t="shared" si="0"/>
        <v>30</v>
      </c>
      <c r="F19" s="153">
        <f>IF(AND(A19&gt;=$F$1,B19&lt;=$F$2),((VLOOKUP(YEAR(B19),'DIF MES'!A$2:E$38,5)*E19)/30),0)</f>
        <v>0</v>
      </c>
      <c r="G19" s="154">
        <f>VLOOKUP(100*YEAR(A19)+MONTH(A19)-1,IPC!A$14:E$861,2)</f>
        <v>14.89</v>
      </c>
      <c r="H19" s="151">
        <f t="shared" si="2"/>
        <v>105.29</v>
      </c>
      <c r="I19" s="153">
        <f t="shared" si="1"/>
        <v>0</v>
      </c>
      <c r="J19" s="153">
        <f t="shared" si="7"/>
        <v>0</v>
      </c>
      <c r="K19" s="155">
        <f t="shared" si="3"/>
        <v>0</v>
      </c>
      <c r="L19" s="153">
        <f t="shared" si="4"/>
        <v>0</v>
      </c>
      <c r="M19" s="184"/>
      <c r="N19" s="6"/>
    </row>
    <row r="20" spans="1:14" x14ac:dyDescent="0.35">
      <c r="A20" s="152">
        <f t="shared" si="10"/>
        <v>34366</v>
      </c>
      <c r="B20" s="152">
        <f t="shared" si="11"/>
        <v>34393</v>
      </c>
      <c r="C20" s="435"/>
      <c r="D20" s="149" t="s">
        <v>97</v>
      </c>
      <c r="E20" s="149">
        <f t="shared" si="0"/>
        <v>30</v>
      </c>
      <c r="F20" s="153">
        <f>IF(AND(A20&gt;=$F$1,B20&lt;=$F$2),((VLOOKUP(YEAR(B20),'DIF MES'!A$2:E$38,5)*E20)/30),0)</f>
        <v>0</v>
      </c>
      <c r="G20" s="154">
        <f>VLOOKUP(100*YEAR(A20)+MONTH(A20)-1,IPC!A$14:E$861,2)</f>
        <v>15.36</v>
      </c>
      <c r="H20" s="151">
        <f t="shared" si="2"/>
        <v>105.29</v>
      </c>
      <c r="I20" s="153">
        <f t="shared" si="1"/>
        <v>0</v>
      </c>
      <c r="J20" s="153">
        <f t="shared" si="7"/>
        <v>0</v>
      </c>
      <c r="K20" s="155">
        <f t="shared" si="3"/>
        <v>0</v>
      </c>
      <c r="L20" s="153">
        <f t="shared" si="4"/>
        <v>0</v>
      </c>
      <c r="M20" s="184"/>
      <c r="N20" s="6"/>
    </row>
    <row r="21" spans="1:14" x14ac:dyDescent="0.35">
      <c r="A21" s="152">
        <f t="shared" si="10"/>
        <v>34394</v>
      </c>
      <c r="B21" s="152">
        <f t="shared" si="11"/>
        <v>34424</v>
      </c>
      <c r="C21" s="435"/>
      <c r="D21" s="149" t="s">
        <v>98</v>
      </c>
      <c r="E21" s="149">
        <f t="shared" si="0"/>
        <v>30</v>
      </c>
      <c r="F21" s="153">
        <f>IF(AND(A21&gt;=$F$1,B21&lt;=$F$2),((VLOOKUP(YEAR(B21),'DIF MES'!A$2:E$38,5)*E21)/30),0)</f>
        <v>0</v>
      </c>
      <c r="G21" s="154">
        <f>VLOOKUP(100*YEAR(A21)+MONTH(A21)-1,IPC!A$14:E$861,2)</f>
        <v>15.92</v>
      </c>
      <c r="H21" s="151">
        <f t="shared" si="2"/>
        <v>105.29</v>
      </c>
      <c r="I21" s="153">
        <f t="shared" si="1"/>
        <v>0</v>
      </c>
      <c r="J21" s="153">
        <f t="shared" si="7"/>
        <v>0</v>
      </c>
      <c r="K21" s="155">
        <f t="shared" si="3"/>
        <v>0</v>
      </c>
      <c r="L21" s="153">
        <f t="shared" si="4"/>
        <v>0</v>
      </c>
      <c r="M21" s="184"/>
      <c r="N21" s="6"/>
    </row>
    <row r="22" spans="1:14" x14ac:dyDescent="0.35">
      <c r="A22" s="152">
        <f t="shared" si="10"/>
        <v>34425</v>
      </c>
      <c r="B22" s="152">
        <f t="shared" si="11"/>
        <v>34454</v>
      </c>
      <c r="C22" s="435"/>
      <c r="D22" s="149" t="s">
        <v>99</v>
      </c>
      <c r="E22" s="149">
        <f t="shared" si="0"/>
        <v>30</v>
      </c>
      <c r="F22" s="153">
        <f>IF(AND(A22&gt;=$F$1,B22&lt;=$F$2),((VLOOKUP(YEAR(B22),'DIF MES'!A$2:E$38,5)*E22)/30),0)</f>
        <v>0</v>
      </c>
      <c r="G22" s="154">
        <f>VLOOKUP(100*YEAR(A22)+MONTH(A22)-1,IPC!A$14:E$861,2)</f>
        <v>16.27</v>
      </c>
      <c r="H22" s="151">
        <f t="shared" si="2"/>
        <v>105.29</v>
      </c>
      <c r="I22" s="153">
        <f t="shared" si="1"/>
        <v>0</v>
      </c>
      <c r="J22" s="153">
        <f t="shared" si="7"/>
        <v>0</v>
      </c>
      <c r="K22" s="155">
        <f t="shared" si="3"/>
        <v>0</v>
      </c>
      <c r="L22" s="153">
        <f t="shared" si="4"/>
        <v>0</v>
      </c>
      <c r="M22" s="184"/>
      <c r="N22" s="6"/>
    </row>
    <row r="23" spans="1:14" x14ac:dyDescent="0.35">
      <c r="A23" s="152">
        <f t="shared" si="10"/>
        <v>34455</v>
      </c>
      <c r="B23" s="152">
        <f t="shared" si="11"/>
        <v>34485</v>
      </c>
      <c r="C23" s="435"/>
      <c r="D23" s="149" t="s">
        <v>100</v>
      </c>
      <c r="E23" s="149">
        <f t="shared" si="0"/>
        <v>30</v>
      </c>
      <c r="F23" s="153">
        <f>IF(AND(A23&gt;=$F$1,B23&lt;=$F$2),((VLOOKUP(YEAR(B23),'DIF MES'!A$2:E$38,5)*E23)/30),0)</f>
        <v>0</v>
      </c>
      <c r="G23" s="154">
        <f>VLOOKUP(100*YEAR(A23)+MONTH(A23)-1,IPC!A$14:E$861,2)</f>
        <v>16.66</v>
      </c>
      <c r="H23" s="151">
        <f t="shared" si="2"/>
        <v>105.29</v>
      </c>
      <c r="I23" s="153">
        <f t="shared" si="1"/>
        <v>0</v>
      </c>
      <c r="J23" s="153">
        <f t="shared" si="7"/>
        <v>0</v>
      </c>
      <c r="K23" s="155">
        <f t="shared" si="3"/>
        <v>0</v>
      </c>
      <c r="L23" s="153">
        <f t="shared" si="4"/>
        <v>0</v>
      </c>
      <c r="M23" s="184"/>
      <c r="N23" s="6"/>
    </row>
    <row r="24" spans="1:14" x14ac:dyDescent="0.35">
      <c r="A24" s="156">
        <f>A25</f>
        <v>34486</v>
      </c>
      <c r="B24" s="156">
        <f>B25</f>
        <v>34515</v>
      </c>
      <c r="C24" s="435"/>
      <c r="D24" s="157" t="s">
        <v>101</v>
      </c>
      <c r="E24" s="157">
        <f t="shared" si="0"/>
        <v>30</v>
      </c>
      <c r="F24" s="153">
        <f>IF(AND(A24&gt;=$F$1,B24&lt;=$F$2),((VLOOKUP(YEAR(B24),'DIF MES'!A$2:E$38,5)*E24)/30),0)</f>
        <v>0</v>
      </c>
      <c r="G24" s="158">
        <f>VLOOKUP(100*YEAR(A24)+MONTH(A24)-1,IPC!A$14:E$861,2)</f>
        <v>16.920000000000002</v>
      </c>
      <c r="H24" s="159">
        <f t="shared" si="2"/>
        <v>105.29</v>
      </c>
      <c r="I24" s="160"/>
      <c r="J24" s="161">
        <f>+I24-F24</f>
        <v>0</v>
      </c>
      <c r="K24" s="162">
        <f>IF(D24="adicional", 0, +I24*0.12)</f>
        <v>0</v>
      </c>
      <c r="L24" s="161">
        <f>+I24-K24</f>
        <v>0</v>
      </c>
      <c r="M24" s="184"/>
      <c r="N24" s="6"/>
    </row>
    <row r="25" spans="1:14" x14ac:dyDescent="0.35">
      <c r="A25" s="152">
        <f>IF(
AND(YEAR(B23)=YEAR(DATE(YEAR($F$1),MONTH($F$1)-1,1)),
MONTH(B23)=MONTH(DATE(YEAR($F$1),MONTH($F$1)-1,1))),
$F$1,
DATE(YEAR(B23),MONTH(B23)+1,1))</f>
        <v>34486</v>
      </c>
      <c r="B25" s="152">
        <f>IF(
AND(
YEAR(B23)=YEAR(DATE(YEAR($F$2),MONTH($F$2)-1,1)),
MONTH(B23)=MONTH(DATE(YEAR($F$2),MONTH($F$2)-1,1))
),
$F$2,
EOMONTH(B23,1)
)</f>
        <v>34515</v>
      </c>
      <c r="C25" s="435"/>
      <c r="D25" s="149" t="s">
        <v>102</v>
      </c>
      <c r="E25" s="149">
        <f t="shared" si="0"/>
        <v>30</v>
      </c>
      <c r="F25" s="153">
        <f>IF(AND(A25&gt;=$F$1,B25&lt;=$F$2),((VLOOKUP(YEAR(B25),'DIF MES'!A$2:E$38,5)*E25)/30),0)</f>
        <v>0</v>
      </c>
      <c r="G25" s="154">
        <f>VLOOKUP(100*YEAR(A25)+MONTH(A25)-1,IPC!A$14:E$861,2)</f>
        <v>16.920000000000002</v>
      </c>
      <c r="H25" s="151">
        <f t="shared" si="2"/>
        <v>105.29</v>
      </c>
      <c r="I25" s="153">
        <f>F25*(H25/G25)</f>
        <v>0</v>
      </c>
      <c r="J25" s="153">
        <f>+I25-F25</f>
        <v>0</v>
      </c>
      <c r="K25" s="155">
        <f>IF(D25="adicional", 0, +I25*0.12)</f>
        <v>0</v>
      </c>
      <c r="L25" s="153">
        <f>+I25-K25</f>
        <v>0</v>
      </c>
      <c r="M25" s="184"/>
      <c r="N25" s="6"/>
    </row>
    <row r="26" spans="1:14" x14ac:dyDescent="0.35">
      <c r="A26" s="152">
        <f t="shared" ref="A26:A30" si="12">IF(
AND(YEAR(B25)=YEAR(DATE(YEAR($F$1),MONTH($F$1)-1,1)),
MONTH(B25)=MONTH(DATE(YEAR($F$1),MONTH($F$1)-1,1))),
$F$1,
DATE(YEAR(B25),MONTH(B25)+1,1))</f>
        <v>34516</v>
      </c>
      <c r="B26" s="152">
        <f t="shared" ref="B26:B30" si="13">IF(
AND(
YEAR(B25)=YEAR(DATE(YEAR($F$2),MONTH($F$2)-1,1)),
MONTH(B25)=MONTH(DATE(YEAR($F$2),MONTH($F$2)-1,1))
),
$F$2,
EOMONTH(B25,1)
)</f>
        <v>34546</v>
      </c>
      <c r="C26" s="435"/>
      <c r="D26" s="149" t="s">
        <v>103</v>
      </c>
      <c r="E26" s="149">
        <f t="shared" si="0"/>
        <v>30</v>
      </c>
      <c r="F26" s="153">
        <f>IF(AND(A26&gt;=$F$1,B26&lt;=$F$2),((VLOOKUP(YEAR(B26),'DIF MES'!A$2:E$38,5)*E26)/30),0)</f>
        <v>0</v>
      </c>
      <c r="G26" s="154">
        <f>VLOOKUP(100*YEAR(A26)+MONTH(A26)-1,IPC!A$14:E$861,2)</f>
        <v>17.07</v>
      </c>
      <c r="H26" s="151">
        <f t="shared" si="2"/>
        <v>105.29</v>
      </c>
      <c r="I26" s="153">
        <f t="shared" ref="I26:I89" si="14">F26*(H26/G26)</f>
        <v>0</v>
      </c>
      <c r="J26" s="153">
        <f t="shared" si="7"/>
        <v>0</v>
      </c>
      <c r="K26" s="155">
        <f t="shared" si="3"/>
        <v>0</v>
      </c>
      <c r="L26" s="153">
        <f t="shared" si="4"/>
        <v>0</v>
      </c>
      <c r="M26" s="184"/>
      <c r="N26" s="6"/>
    </row>
    <row r="27" spans="1:14" x14ac:dyDescent="0.35">
      <c r="A27" s="152">
        <f t="shared" si="12"/>
        <v>34547</v>
      </c>
      <c r="B27" s="152">
        <f t="shared" si="13"/>
        <v>34577</v>
      </c>
      <c r="C27" s="435"/>
      <c r="D27" s="149" t="s">
        <v>104</v>
      </c>
      <c r="E27" s="149">
        <f t="shared" si="0"/>
        <v>30</v>
      </c>
      <c r="F27" s="153">
        <f>IF(AND(A27&gt;=$F$1,B27&lt;=$F$2),((VLOOKUP(YEAR(B27),'DIF MES'!A$2:E$38,5)*E27)/30),0)</f>
        <v>0</v>
      </c>
      <c r="G27" s="154">
        <f>VLOOKUP(100*YEAR(A27)+MONTH(A27)-1,IPC!A$14:E$861,2)</f>
        <v>17.23</v>
      </c>
      <c r="H27" s="151">
        <f t="shared" si="2"/>
        <v>105.29</v>
      </c>
      <c r="I27" s="153">
        <f t="shared" si="14"/>
        <v>0</v>
      </c>
      <c r="J27" s="153">
        <f t="shared" si="7"/>
        <v>0</v>
      </c>
      <c r="K27" s="155">
        <f t="shared" si="3"/>
        <v>0</v>
      </c>
      <c r="L27" s="153">
        <f t="shared" si="4"/>
        <v>0</v>
      </c>
      <c r="M27" s="184"/>
      <c r="N27" s="6"/>
    </row>
    <row r="28" spans="1:14" ht="20" x14ac:dyDescent="0.35">
      <c r="A28" s="152">
        <f t="shared" si="12"/>
        <v>34578</v>
      </c>
      <c r="B28" s="152">
        <f t="shared" si="13"/>
        <v>34607</v>
      </c>
      <c r="C28" s="435"/>
      <c r="D28" s="149" t="s">
        <v>105</v>
      </c>
      <c r="E28" s="149">
        <f t="shared" si="0"/>
        <v>30</v>
      </c>
      <c r="F28" s="153">
        <f>IF(AND(A28&gt;=$F$1,B28&lt;=$F$2),((VLOOKUP(YEAR(B28),'DIF MES'!A$2:E$38,5)*E28)/30),0)</f>
        <v>0</v>
      </c>
      <c r="G28" s="154">
        <f>VLOOKUP(100*YEAR(A28)+MONTH(A28)-1,IPC!A$14:E$861,2)</f>
        <v>17.399999999999999</v>
      </c>
      <c r="H28" s="151">
        <f t="shared" si="2"/>
        <v>105.29</v>
      </c>
      <c r="I28" s="153">
        <f t="shared" si="14"/>
        <v>0</v>
      </c>
      <c r="J28" s="153">
        <f t="shared" si="7"/>
        <v>0</v>
      </c>
      <c r="K28" s="155">
        <f t="shared" si="3"/>
        <v>0</v>
      </c>
      <c r="L28" s="153">
        <f t="shared" si="4"/>
        <v>0</v>
      </c>
      <c r="M28" s="184"/>
      <c r="N28" s="6"/>
    </row>
    <row r="29" spans="1:14" x14ac:dyDescent="0.35">
      <c r="A29" s="152">
        <f t="shared" si="12"/>
        <v>34608</v>
      </c>
      <c r="B29" s="152">
        <f t="shared" si="13"/>
        <v>34638</v>
      </c>
      <c r="C29" s="435"/>
      <c r="D29" s="149" t="s">
        <v>106</v>
      </c>
      <c r="E29" s="149">
        <f t="shared" si="0"/>
        <v>30</v>
      </c>
      <c r="F29" s="153">
        <f>IF(AND(A29&gt;=$F$1,B29&lt;=$F$2),((VLOOKUP(YEAR(B29),'DIF MES'!A$2:E$38,5)*E29)/30),0)</f>
        <v>0</v>
      </c>
      <c r="G29" s="154">
        <f>VLOOKUP(100*YEAR(A29)+MONTH(A29)-1,IPC!A$14:E$861,2)</f>
        <v>17.59</v>
      </c>
      <c r="H29" s="151">
        <f t="shared" si="2"/>
        <v>105.29</v>
      </c>
      <c r="I29" s="153">
        <f t="shared" si="14"/>
        <v>0</v>
      </c>
      <c r="J29" s="153">
        <f t="shared" si="7"/>
        <v>0</v>
      </c>
      <c r="K29" s="155">
        <f t="shared" si="3"/>
        <v>0</v>
      </c>
      <c r="L29" s="153">
        <f t="shared" si="4"/>
        <v>0</v>
      </c>
      <c r="M29" s="184"/>
      <c r="N29" s="6"/>
    </row>
    <row r="30" spans="1:14" x14ac:dyDescent="0.35">
      <c r="A30" s="152">
        <f t="shared" si="12"/>
        <v>34639</v>
      </c>
      <c r="B30" s="152">
        <f t="shared" si="13"/>
        <v>34668</v>
      </c>
      <c r="C30" s="435"/>
      <c r="D30" s="149" t="s">
        <v>107</v>
      </c>
      <c r="E30" s="149">
        <f t="shared" si="0"/>
        <v>30</v>
      </c>
      <c r="F30" s="153">
        <f>IF(AND(A30&gt;=$F$1,B30&lt;=$F$2),((VLOOKUP(YEAR(B30),'DIF MES'!A$2:E$38,5)*E30)/30),0)</f>
        <v>0</v>
      </c>
      <c r="G30" s="154">
        <f>VLOOKUP(100*YEAR(A30)+MONTH(A30)-1,IPC!A$14:E$861,2)</f>
        <v>17.78</v>
      </c>
      <c r="H30" s="151">
        <f t="shared" si="2"/>
        <v>105.29</v>
      </c>
      <c r="I30" s="153">
        <f t="shared" si="14"/>
        <v>0</v>
      </c>
      <c r="J30" s="153">
        <f t="shared" si="7"/>
        <v>0</v>
      </c>
      <c r="K30" s="155">
        <f t="shared" si="3"/>
        <v>0</v>
      </c>
      <c r="L30" s="153">
        <f t="shared" si="4"/>
        <v>0</v>
      </c>
      <c r="M30" s="184"/>
      <c r="N30" s="6"/>
    </row>
    <row r="31" spans="1:14" x14ac:dyDescent="0.35">
      <c r="A31" s="156">
        <f>A30</f>
        <v>34639</v>
      </c>
      <c r="B31" s="156">
        <f>B30</f>
        <v>34668</v>
      </c>
      <c r="C31" s="435"/>
      <c r="D31" s="157" t="s">
        <v>101</v>
      </c>
      <c r="E31" s="157">
        <f t="shared" si="0"/>
        <v>30</v>
      </c>
      <c r="F31" s="153">
        <f>IF(AND(A31&gt;=$F$1,B31&lt;=$F$2),((VLOOKUP(YEAR(B31),'DIF MES'!A$2:E$38,5)*E31)/30),0)</f>
        <v>0</v>
      </c>
      <c r="G31" s="158">
        <f>VLOOKUP(100*YEAR(A31)+MONTH(A31)-1,IPC!A$14:E$861,2)</f>
        <v>17.78</v>
      </c>
      <c r="H31" s="159">
        <f t="shared" si="2"/>
        <v>105.29</v>
      </c>
      <c r="I31" s="161">
        <f t="shared" si="14"/>
        <v>0</v>
      </c>
      <c r="J31" s="161">
        <f t="shared" si="7"/>
        <v>0</v>
      </c>
      <c r="K31" s="162">
        <f t="shared" si="3"/>
        <v>0</v>
      </c>
      <c r="L31" s="161">
        <f t="shared" si="4"/>
        <v>0</v>
      </c>
      <c r="M31" s="184"/>
      <c r="N31" s="6"/>
    </row>
    <row r="32" spans="1:14" x14ac:dyDescent="0.35">
      <c r="A32" s="152">
        <f>IF(
AND(YEAR(B30)=YEAR(DATE(YEAR($F$1),MONTH($F$1)-1,1)),
MONTH(B30)=MONTH(DATE(YEAR($F$1),MONTH($F$1)-1,1))),
$F$1,
DATE(YEAR(B30),MONTH(B30)+1,1))</f>
        <v>34669</v>
      </c>
      <c r="B32" s="152">
        <f>IF(
AND(
YEAR(B30)=YEAR(DATE(YEAR($F$2),MONTH($F$2)-1,1)),
MONTH(B30)=MONTH(DATE(YEAR($F$2),MONTH($F$2)-1,1))
),
$F$2,
EOMONTH(B30,1)
)</f>
        <v>34699</v>
      </c>
      <c r="C32" s="436"/>
      <c r="D32" s="149" t="s">
        <v>108</v>
      </c>
      <c r="E32" s="149">
        <f t="shared" si="0"/>
        <v>30</v>
      </c>
      <c r="F32" s="153">
        <f>IF(AND(A32&gt;=$F$1,B32&lt;=$F$2),((VLOOKUP(YEAR(B32),'DIF MES'!A$2:E$38,5)*E32)/30),0)</f>
        <v>0</v>
      </c>
      <c r="G32" s="154">
        <f>VLOOKUP(100*YEAR(A32)+MONTH(A32)-1,IPC!A$14:E$861,2)</f>
        <v>17.98</v>
      </c>
      <c r="H32" s="151">
        <f t="shared" si="2"/>
        <v>105.29</v>
      </c>
      <c r="I32" s="153">
        <f t="shared" si="14"/>
        <v>0</v>
      </c>
      <c r="J32" s="153">
        <f t="shared" si="7"/>
        <v>0</v>
      </c>
      <c r="K32" s="155">
        <f t="shared" si="3"/>
        <v>0</v>
      </c>
      <c r="L32" s="153">
        <f t="shared" si="4"/>
        <v>0</v>
      </c>
      <c r="M32" s="184"/>
      <c r="N32" s="6"/>
    </row>
    <row r="33" spans="1:14" x14ac:dyDescent="0.35">
      <c r="A33" s="152">
        <f t="shared" ref="A33:A93" si="15">IF(
AND(YEAR(B32)=YEAR(DATE(YEAR($F$1),MONTH($F$1)-1,1)),
MONTH(B32)=MONTH(DATE(YEAR($F$1),MONTH($F$1)-1,1))),
$F$1,
DATE(YEAR(B32),MONTH(B32)+1,1))</f>
        <v>34700</v>
      </c>
      <c r="B33" s="152">
        <f t="shared" ref="B33:B93" si="16">IF(
AND(
YEAR(B32)=YEAR(DATE(YEAR($F$2),MONTH($F$2)-1,1)),
MONTH(B32)=MONTH(DATE(YEAR($F$2),MONTH($F$2)-1,1))
),
$F$2,
EOMONTH(B32,1)
)</f>
        <v>34730</v>
      </c>
      <c r="C33" s="434">
        <v>1995</v>
      </c>
      <c r="D33" s="149" t="s">
        <v>96</v>
      </c>
      <c r="E33" s="149">
        <f t="shared" si="0"/>
        <v>30</v>
      </c>
      <c r="F33" s="153">
        <f>IF(AND(A33&gt;=$F$1,B33&lt;=$F$2),((VLOOKUP(YEAR(B33),'DIF MES'!A$2:E$38,5)*E33)/30),0)</f>
        <v>0</v>
      </c>
      <c r="G33" s="154">
        <f>VLOOKUP(100*YEAR(A33)+MONTH(A33)-1,IPC!A$14:E$861,2)</f>
        <v>18.25</v>
      </c>
      <c r="H33" s="151">
        <f t="shared" si="2"/>
        <v>105.29</v>
      </c>
      <c r="I33" s="153">
        <f t="shared" si="14"/>
        <v>0</v>
      </c>
      <c r="J33" s="153">
        <f t="shared" si="7"/>
        <v>0</v>
      </c>
      <c r="K33" s="155">
        <f t="shared" si="3"/>
        <v>0</v>
      </c>
      <c r="L33" s="153">
        <f t="shared" si="4"/>
        <v>0</v>
      </c>
      <c r="M33" s="184"/>
      <c r="N33" s="6"/>
    </row>
    <row r="34" spans="1:14" x14ac:dyDescent="0.35">
      <c r="A34" s="152">
        <f t="shared" si="15"/>
        <v>34731</v>
      </c>
      <c r="B34" s="152">
        <f t="shared" si="16"/>
        <v>34758</v>
      </c>
      <c r="C34" s="435"/>
      <c r="D34" s="149" t="s">
        <v>97</v>
      </c>
      <c r="E34" s="149">
        <f t="shared" si="0"/>
        <v>30</v>
      </c>
      <c r="F34" s="153">
        <f>IF(AND(A34&gt;=$F$1,B34&lt;=$F$2),((VLOOKUP(YEAR(B34),'DIF MES'!A$2:E$38,5)*E34)/30),0)</f>
        <v>0</v>
      </c>
      <c r="G34" s="154">
        <f>VLOOKUP(100*YEAR(A34)+MONTH(A34)-1,IPC!A$14:E$861,2)</f>
        <v>18.59</v>
      </c>
      <c r="H34" s="151">
        <f t="shared" si="2"/>
        <v>105.29</v>
      </c>
      <c r="I34" s="153">
        <f t="shared" si="14"/>
        <v>0</v>
      </c>
      <c r="J34" s="153">
        <f t="shared" si="7"/>
        <v>0</v>
      </c>
      <c r="K34" s="155">
        <f t="shared" si="3"/>
        <v>0</v>
      </c>
      <c r="L34" s="153">
        <f t="shared" si="4"/>
        <v>0</v>
      </c>
      <c r="M34" s="184"/>
      <c r="N34" s="6"/>
    </row>
    <row r="35" spans="1:14" x14ac:dyDescent="0.35">
      <c r="A35" s="152">
        <f t="shared" si="15"/>
        <v>34759</v>
      </c>
      <c r="B35" s="152">
        <f t="shared" si="16"/>
        <v>34789</v>
      </c>
      <c r="C35" s="435"/>
      <c r="D35" s="149" t="s">
        <v>98</v>
      </c>
      <c r="E35" s="149">
        <f t="shared" si="0"/>
        <v>30</v>
      </c>
      <c r="F35" s="153">
        <f>IF(AND(A35&gt;=$F$1,B35&lt;=$F$2),((VLOOKUP(YEAR(B35),'DIF MES'!A$2:E$38,5)*E35)/30),0)</f>
        <v>0</v>
      </c>
      <c r="G35" s="154">
        <f>VLOOKUP(100*YEAR(A35)+MONTH(A35)-1,IPC!A$14:E$861,2)</f>
        <v>19.239999999999998</v>
      </c>
      <c r="H35" s="151">
        <f t="shared" si="2"/>
        <v>105.29</v>
      </c>
      <c r="I35" s="153">
        <f t="shared" si="14"/>
        <v>0</v>
      </c>
      <c r="J35" s="153">
        <f t="shared" si="7"/>
        <v>0</v>
      </c>
      <c r="K35" s="155">
        <f t="shared" si="3"/>
        <v>0</v>
      </c>
      <c r="L35" s="153">
        <f t="shared" si="4"/>
        <v>0</v>
      </c>
      <c r="M35" s="184"/>
      <c r="N35" s="6"/>
    </row>
    <row r="36" spans="1:14" x14ac:dyDescent="0.35">
      <c r="A36" s="152">
        <f t="shared" si="15"/>
        <v>34790</v>
      </c>
      <c r="B36" s="152">
        <f t="shared" si="16"/>
        <v>34819</v>
      </c>
      <c r="C36" s="435"/>
      <c r="D36" s="149" t="s">
        <v>99</v>
      </c>
      <c r="E36" s="149">
        <f t="shared" si="0"/>
        <v>30</v>
      </c>
      <c r="F36" s="153">
        <f>IF(AND(A36&gt;=$F$1,B36&lt;=$F$2),((VLOOKUP(YEAR(B36),'DIF MES'!A$2:E$38,5)*E36)/30),0)</f>
        <v>0</v>
      </c>
      <c r="G36" s="154">
        <f>VLOOKUP(100*YEAR(A36)+MONTH(A36)-1,IPC!A$14:E$861,2)</f>
        <v>19.75</v>
      </c>
      <c r="H36" s="151">
        <f t="shared" si="2"/>
        <v>105.29</v>
      </c>
      <c r="I36" s="153">
        <f t="shared" si="14"/>
        <v>0</v>
      </c>
      <c r="J36" s="153">
        <f t="shared" si="7"/>
        <v>0</v>
      </c>
      <c r="K36" s="155">
        <f t="shared" si="3"/>
        <v>0</v>
      </c>
      <c r="L36" s="153">
        <f t="shared" si="4"/>
        <v>0</v>
      </c>
      <c r="M36" s="184"/>
      <c r="N36" s="6"/>
    </row>
    <row r="37" spans="1:14" x14ac:dyDescent="0.35">
      <c r="A37" s="152">
        <f t="shared" si="15"/>
        <v>34820</v>
      </c>
      <c r="B37" s="152">
        <f t="shared" si="16"/>
        <v>34850</v>
      </c>
      <c r="C37" s="435"/>
      <c r="D37" s="149" t="s">
        <v>100</v>
      </c>
      <c r="E37" s="149">
        <f t="shared" si="0"/>
        <v>30</v>
      </c>
      <c r="F37" s="153">
        <f>IF(AND(A37&gt;=$F$1,B37&lt;=$F$2),((VLOOKUP(YEAR(B37),'DIF MES'!A$2:E$38,5)*E37)/30),0)</f>
        <v>0</v>
      </c>
      <c r="G37" s="154">
        <f>VLOOKUP(100*YEAR(A37)+MONTH(A37)-1,IPC!A$14:E$861,2)</f>
        <v>20.190000000000001</v>
      </c>
      <c r="H37" s="151">
        <f t="shared" si="2"/>
        <v>105.29</v>
      </c>
      <c r="I37" s="153">
        <f t="shared" si="14"/>
        <v>0</v>
      </c>
      <c r="J37" s="153">
        <f t="shared" si="7"/>
        <v>0</v>
      </c>
      <c r="K37" s="155">
        <f t="shared" si="3"/>
        <v>0</v>
      </c>
      <c r="L37" s="153">
        <f t="shared" si="4"/>
        <v>0</v>
      </c>
      <c r="M37" s="184"/>
      <c r="N37" s="6"/>
    </row>
    <row r="38" spans="1:14" x14ac:dyDescent="0.35">
      <c r="A38" s="156">
        <f t="shared" ref="A38" si="17">A39</f>
        <v>34851</v>
      </c>
      <c r="B38" s="156">
        <f t="shared" ref="B38" si="18">B39</f>
        <v>34880</v>
      </c>
      <c r="C38" s="435"/>
      <c r="D38" s="157" t="s">
        <v>101</v>
      </c>
      <c r="E38" s="157">
        <f t="shared" si="0"/>
        <v>30</v>
      </c>
      <c r="F38" s="153">
        <f>IF(AND(A38&gt;=$F$1,B38&lt;=$F$2),((VLOOKUP(YEAR(B38),'DIF MES'!A$2:E$38,5)*E38)/30),0)</f>
        <v>0</v>
      </c>
      <c r="G38" s="158">
        <f>VLOOKUP(100*YEAR(A38)+MONTH(A38)-1,IPC!A$14:E$861,2)</f>
        <v>20.52</v>
      </c>
      <c r="H38" s="159">
        <f t="shared" si="2"/>
        <v>105.29</v>
      </c>
      <c r="I38" s="160">
        <f>F38*(H38/G38)</f>
        <v>0</v>
      </c>
      <c r="J38" s="161">
        <f>+I38-F38</f>
        <v>0</v>
      </c>
      <c r="K38" s="162">
        <f>IF(D38="adicional", 0, +I38*0.12)</f>
        <v>0</v>
      </c>
      <c r="L38" s="161">
        <f>+I38-K38</f>
        <v>0</v>
      </c>
      <c r="M38" s="184"/>
      <c r="N38" s="6"/>
    </row>
    <row r="39" spans="1:14" x14ac:dyDescent="0.35">
      <c r="A39" s="152">
        <f t="shared" ref="A39" si="19">IF(
AND(YEAR(B37)=YEAR(DATE(YEAR($F$1),MONTH($F$1)-1,1)),
MONTH(B37)=MONTH(DATE(YEAR($F$1),MONTH($F$1)-1,1))),
$F$1,
DATE(YEAR(B37),MONTH(B37)+1,1))</f>
        <v>34851</v>
      </c>
      <c r="B39" s="152">
        <f t="shared" ref="B39" si="20">IF(
AND(
YEAR(B37)=YEAR(DATE(YEAR($F$2),MONTH($F$2)-1,1)),
MONTH(B37)=MONTH(DATE(YEAR($F$2),MONTH($F$2)-1,1))
),
$F$2,
EOMONTH(B37,1)
)</f>
        <v>34880</v>
      </c>
      <c r="C39" s="435"/>
      <c r="D39" s="149" t="s">
        <v>102</v>
      </c>
      <c r="E39" s="149">
        <f t="shared" si="0"/>
        <v>30</v>
      </c>
      <c r="F39" s="153">
        <f>IF(AND(A39&gt;=$F$1,B39&lt;=$F$2),((VLOOKUP(YEAR(B39),'DIF MES'!A$2:E$38,5)*E39)/30),0)</f>
        <v>0</v>
      </c>
      <c r="G39" s="154">
        <f>VLOOKUP(100*YEAR(A39)+MONTH(A39)-1,IPC!A$14:E$861,2)</f>
        <v>20.52</v>
      </c>
      <c r="H39" s="151">
        <f t="shared" si="2"/>
        <v>105.29</v>
      </c>
      <c r="I39" s="153">
        <f>F39*(H39/G39)</f>
        <v>0</v>
      </c>
      <c r="J39" s="153">
        <f>+I39-F39</f>
        <v>0</v>
      </c>
      <c r="K39" s="155">
        <f>IF(D39="adicional", 0, +I39*0.12)</f>
        <v>0</v>
      </c>
      <c r="L39" s="153">
        <f>+I39-K39</f>
        <v>0</v>
      </c>
      <c r="M39" s="184"/>
      <c r="N39" s="6"/>
    </row>
    <row r="40" spans="1:14" x14ac:dyDescent="0.35">
      <c r="A40" s="152">
        <f t="shared" ref="A40:A100" si="21">IF(
AND(YEAR(B39)=YEAR(DATE(YEAR($F$1),MONTH($F$1)-1,1)),
MONTH(B39)=MONTH(DATE(YEAR($F$1),MONTH($F$1)-1,1))),
$F$1,
DATE(YEAR(B39),MONTH(B39)+1,1))</f>
        <v>34881</v>
      </c>
      <c r="B40" s="152">
        <f t="shared" ref="B40:B100" si="22">IF(
AND(
YEAR(B39)=YEAR(DATE(YEAR($F$2),MONTH($F$2)-1,1)),
MONTH(B39)=MONTH(DATE(YEAR($F$2),MONTH($F$2)-1,1))
),
$F$2,
EOMONTH(B39,1)
)</f>
        <v>34911</v>
      </c>
      <c r="C40" s="435"/>
      <c r="D40" s="149" t="s">
        <v>103</v>
      </c>
      <c r="E40" s="149">
        <f t="shared" si="0"/>
        <v>30</v>
      </c>
      <c r="F40" s="153">
        <f>IF(AND(A40&gt;=$F$1,B40&lt;=$F$2),((VLOOKUP(YEAR(B40),'DIF MES'!A$2:E$38,5)*E40)/30),0)</f>
        <v>0</v>
      </c>
      <c r="G40" s="154">
        <f>VLOOKUP(100*YEAR(A40)+MONTH(A40)-1,IPC!A$14:E$861,2)</f>
        <v>20.77</v>
      </c>
      <c r="H40" s="151">
        <f t="shared" si="2"/>
        <v>105.29</v>
      </c>
      <c r="I40" s="153">
        <f t="shared" si="14"/>
        <v>0</v>
      </c>
      <c r="J40" s="153">
        <f t="shared" si="7"/>
        <v>0</v>
      </c>
      <c r="K40" s="155">
        <f t="shared" si="3"/>
        <v>0</v>
      </c>
      <c r="L40" s="153">
        <f t="shared" si="4"/>
        <v>0</v>
      </c>
      <c r="M40" s="184"/>
      <c r="N40" s="6"/>
    </row>
    <row r="41" spans="1:14" x14ac:dyDescent="0.35">
      <c r="A41" s="152">
        <f t="shared" si="21"/>
        <v>34912</v>
      </c>
      <c r="B41" s="152">
        <f t="shared" si="22"/>
        <v>34942</v>
      </c>
      <c r="C41" s="435"/>
      <c r="D41" s="149" t="s">
        <v>104</v>
      </c>
      <c r="E41" s="149">
        <f t="shared" si="0"/>
        <v>30</v>
      </c>
      <c r="F41" s="153">
        <f>IF(AND(A41&gt;=$F$1,B41&lt;=$F$2),((VLOOKUP(YEAR(B41),'DIF MES'!A$2:E$38,5)*E41)/30),0)</f>
        <v>0</v>
      </c>
      <c r="G41" s="154">
        <f>VLOOKUP(100*YEAR(A41)+MONTH(A41)-1,IPC!A$14:E$861,2)</f>
        <v>20.93</v>
      </c>
      <c r="H41" s="151">
        <f t="shared" si="2"/>
        <v>105.29</v>
      </c>
      <c r="I41" s="153">
        <f t="shared" si="14"/>
        <v>0</v>
      </c>
      <c r="J41" s="153">
        <f t="shared" si="7"/>
        <v>0</v>
      </c>
      <c r="K41" s="155">
        <f t="shared" si="3"/>
        <v>0</v>
      </c>
      <c r="L41" s="153">
        <f t="shared" si="4"/>
        <v>0</v>
      </c>
      <c r="M41" s="184"/>
      <c r="N41" s="6"/>
    </row>
    <row r="42" spans="1:14" ht="20" x14ac:dyDescent="0.35">
      <c r="A42" s="152">
        <f t="shared" si="21"/>
        <v>34943</v>
      </c>
      <c r="B42" s="152">
        <f t="shared" si="22"/>
        <v>34972</v>
      </c>
      <c r="C42" s="435"/>
      <c r="D42" s="149" t="s">
        <v>105</v>
      </c>
      <c r="E42" s="149">
        <f t="shared" si="0"/>
        <v>30</v>
      </c>
      <c r="F42" s="153">
        <f>IF(AND(A42&gt;=$F$1,B42&lt;=$F$2),((VLOOKUP(YEAR(B42),'DIF MES'!A$2:E$38,5)*E42)/30),0)</f>
        <v>0</v>
      </c>
      <c r="G42" s="154">
        <f>VLOOKUP(100*YEAR(A42)+MONTH(A42)-1,IPC!A$14:E$861,2)</f>
        <v>21.07</v>
      </c>
      <c r="H42" s="151">
        <f t="shared" si="2"/>
        <v>105.29</v>
      </c>
      <c r="I42" s="153">
        <f t="shared" si="14"/>
        <v>0</v>
      </c>
      <c r="J42" s="153">
        <f t="shared" si="7"/>
        <v>0</v>
      </c>
      <c r="K42" s="155">
        <f t="shared" si="3"/>
        <v>0</v>
      </c>
      <c r="L42" s="153">
        <f t="shared" si="4"/>
        <v>0</v>
      </c>
      <c r="M42" s="184"/>
      <c r="N42" s="6"/>
    </row>
    <row r="43" spans="1:14" x14ac:dyDescent="0.35">
      <c r="A43" s="152">
        <f t="shared" si="21"/>
        <v>34973</v>
      </c>
      <c r="B43" s="152">
        <f t="shared" si="22"/>
        <v>35003</v>
      </c>
      <c r="C43" s="435"/>
      <c r="D43" s="149" t="s">
        <v>106</v>
      </c>
      <c r="E43" s="149">
        <f t="shared" si="0"/>
        <v>30</v>
      </c>
      <c r="F43" s="153">
        <f>IF(AND(A43&gt;=$F$1,B43&lt;=$F$2),((VLOOKUP(YEAR(B43),'DIF MES'!A$2:E$38,5)*E43)/30),0)</f>
        <v>0</v>
      </c>
      <c r="G43" s="154">
        <f>VLOOKUP(100*YEAR(A43)+MONTH(A43)-1,IPC!A$14:E$861,2)</f>
        <v>21.24</v>
      </c>
      <c r="H43" s="151">
        <f t="shared" si="2"/>
        <v>105.29</v>
      </c>
      <c r="I43" s="153">
        <f t="shared" si="14"/>
        <v>0</v>
      </c>
      <c r="J43" s="153">
        <f t="shared" si="7"/>
        <v>0</v>
      </c>
      <c r="K43" s="155">
        <f t="shared" si="3"/>
        <v>0</v>
      </c>
      <c r="L43" s="153">
        <f t="shared" si="4"/>
        <v>0</v>
      </c>
      <c r="M43" s="184"/>
      <c r="N43" s="6"/>
    </row>
    <row r="44" spans="1:14" x14ac:dyDescent="0.35">
      <c r="A44" s="152">
        <f t="shared" si="21"/>
        <v>35004</v>
      </c>
      <c r="B44" s="152">
        <f t="shared" si="22"/>
        <v>35033</v>
      </c>
      <c r="C44" s="435"/>
      <c r="D44" s="149" t="s">
        <v>107</v>
      </c>
      <c r="E44" s="149">
        <f t="shared" si="0"/>
        <v>30</v>
      </c>
      <c r="F44" s="153">
        <f>IF(AND(A44&gt;=$F$1,B44&lt;=$F$2),((VLOOKUP(YEAR(B44),'DIF MES'!A$2:E$38,5)*E44)/30),0)</f>
        <v>0</v>
      </c>
      <c r="G44" s="154">
        <f>VLOOKUP(100*YEAR(A44)+MONTH(A44)-1,IPC!A$14:E$861,2)</f>
        <v>21.43</v>
      </c>
      <c r="H44" s="151">
        <f t="shared" si="2"/>
        <v>105.29</v>
      </c>
      <c r="I44" s="153">
        <f t="shared" si="14"/>
        <v>0</v>
      </c>
      <c r="J44" s="153">
        <f t="shared" si="7"/>
        <v>0</v>
      </c>
      <c r="K44" s="155">
        <f t="shared" si="3"/>
        <v>0</v>
      </c>
      <c r="L44" s="153">
        <f t="shared" si="4"/>
        <v>0</v>
      </c>
      <c r="M44" s="184"/>
      <c r="N44" s="6"/>
    </row>
    <row r="45" spans="1:14" x14ac:dyDescent="0.35">
      <c r="A45" s="156">
        <f t="shared" ref="A45" si="23">A44</f>
        <v>35004</v>
      </c>
      <c r="B45" s="156">
        <f t="shared" ref="B45" si="24">B44</f>
        <v>35033</v>
      </c>
      <c r="C45" s="435"/>
      <c r="D45" s="157" t="s">
        <v>101</v>
      </c>
      <c r="E45" s="157">
        <f t="shared" si="0"/>
        <v>30</v>
      </c>
      <c r="F45" s="153">
        <f>IF(AND(A45&gt;=$F$1,B45&lt;=$F$2),((VLOOKUP(YEAR(B45),'DIF MES'!A$2:E$38,5)*E45)/30),0)</f>
        <v>0</v>
      </c>
      <c r="G45" s="158">
        <f>VLOOKUP(100*YEAR(A45)+MONTH(A45)-1,IPC!A$14:E$861,2)</f>
        <v>21.43</v>
      </c>
      <c r="H45" s="159">
        <f t="shared" si="2"/>
        <v>105.29</v>
      </c>
      <c r="I45" s="161">
        <f t="shared" si="14"/>
        <v>0</v>
      </c>
      <c r="J45" s="161">
        <f t="shared" si="7"/>
        <v>0</v>
      </c>
      <c r="K45" s="162">
        <f t="shared" si="3"/>
        <v>0</v>
      </c>
      <c r="L45" s="161">
        <f t="shared" si="4"/>
        <v>0</v>
      </c>
      <c r="M45" s="184"/>
      <c r="N45" s="6"/>
    </row>
    <row r="46" spans="1:14" x14ac:dyDescent="0.35">
      <c r="A46" s="152">
        <f t="shared" ref="A46" si="25">IF(
AND(YEAR(B44)=YEAR(DATE(YEAR($F$1),MONTH($F$1)-1,1)),
MONTH(B44)=MONTH(DATE(YEAR($F$1),MONTH($F$1)-1,1))),
$F$1,
DATE(YEAR(B44),MONTH(B44)+1,1))</f>
        <v>35034</v>
      </c>
      <c r="B46" s="152">
        <f t="shared" ref="B46" si="26">IF(
AND(
YEAR(B44)=YEAR(DATE(YEAR($F$2),MONTH($F$2)-1,1)),
MONTH(B44)=MONTH(DATE(YEAR($F$2),MONTH($F$2)-1,1))
),
$F$2,
EOMONTH(B44,1)
)</f>
        <v>35064</v>
      </c>
      <c r="C46" s="436"/>
      <c r="D46" s="149" t="s">
        <v>108</v>
      </c>
      <c r="E46" s="149">
        <f t="shared" si="0"/>
        <v>30</v>
      </c>
      <c r="F46" s="153">
        <f>IF(AND(A46&gt;=$F$1,B46&lt;=$F$2),((VLOOKUP(YEAR(B46),'DIF MES'!A$2:E$38,5)*E46)/30),0)</f>
        <v>0</v>
      </c>
      <c r="G46" s="154">
        <f>VLOOKUP(100*YEAR(A46)+MONTH(A46)-1,IPC!A$14:E$861,2)</f>
        <v>21.6</v>
      </c>
      <c r="H46" s="151">
        <f t="shared" si="2"/>
        <v>105.29</v>
      </c>
      <c r="I46" s="153">
        <f t="shared" si="14"/>
        <v>0</v>
      </c>
      <c r="J46" s="153">
        <f t="shared" si="7"/>
        <v>0</v>
      </c>
      <c r="K46" s="155">
        <f t="shared" si="3"/>
        <v>0</v>
      </c>
      <c r="L46" s="153">
        <f t="shared" si="4"/>
        <v>0</v>
      </c>
      <c r="M46" s="184"/>
      <c r="N46" s="6"/>
    </row>
    <row r="47" spans="1:14" x14ac:dyDescent="0.35">
      <c r="A47" s="152">
        <f t="shared" si="15"/>
        <v>35065</v>
      </c>
      <c r="B47" s="152">
        <f t="shared" si="16"/>
        <v>35095</v>
      </c>
      <c r="C47" s="434">
        <v>1996</v>
      </c>
      <c r="D47" s="149" t="s">
        <v>96</v>
      </c>
      <c r="E47" s="149">
        <f t="shared" si="0"/>
        <v>30</v>
      </c>
      <c r="F47" s="153">
        <f>IF(AND(A47&gt;=$F$1,B47&lt;=$F$2),((VLOOKUP(YEAR(B47),'DIF MES'!A$2:E$38,5)*E47)/30),0)</f>
        <v>0</v>
      </c>
      <c r="G47" s="154">
        <f>VLOOKUP(100*YEAR(A47)+MONTH(A47)-1,IPC!A$14:E$861,2)</f>
        <v>21.8</v>
      </c>
      <c r="H47" s="151">
        <f t="shared" si="2"/>
        <v>105.29</v>
      </c>
      <c r="I47" s="153">
        <f>F47*(H47/G47)</f>
        <v>0</v>
      </c>
      <c r="J47" s="153">
        <f t="shared" si="7"/>
        <v>0</v>
      </c>
      <c r="K47" s="155">
        <f t="shared" si="3"/>
        <v>0</v>
      </c>
      <c r="L47" s="153">
        <f t="shared" si="4"/>
        <v>0</v>
      </c>
      <c r="M47" s="184"/>
      <c r="N47" s="6"/>
    </row>
    <row r="48" spans="1:14" x14ac:dyDescent="0.35">
      <c r="A48" s="152">
        <f t="shared" si="15"/>
        <v>35096</v>
      </c>
      <c r="B48" s="152">
        <f t="shared" si="16"/>
        <v>35124</v>
      </c>
      <c r="C48" s="435"/>
      <c r="D48" s="149" t="s">
        <v>97</v>
      </c>
      <c r="E48" s="149">
        <f t="shared" si="0"/>
        <v>30</v>
      </c>
      <c r="F48" s="153">
        <f>IF(AND(A48&gt;=$F$1,B48&lt;=$F$2),((VLOOKUP(YEAR(B48),'DIF MES'!A$2:E$38,5)*E48)/30),0)</f>
        <v>0</v>
      </c>
      <c r="G48" s="154">
        <f>VLOOKUP(100*YEAR(A48)+MONTH(A48)-1,IPC!A$14:E$861,2)</f>
        <v>22.35</v>
      </c>
      <c r="H48" s="151">
        <f t="shared" si="2"/>
        <v>105.29</v>
      </c>
      <c r="I48" s="153">
        <f t="shared" si="14"/>
        <v>0</v>
      </c>
      <c r="J48" s="153">
        <f t="shared" si="7"/>
        <v>0</v>
      </c>
      <c r="K48" s="155">
        <f t="shared" si="3"/>
        <v>0</v>
      </c>
      <c r="L48" s="153">
        <f t="shared" si="4"/>
        <v>0</v>
      </c>
      <c r="M48" s="92"/>
      <c r="N48" s="6"/>
    </row>
    <row r="49" spans="1:17" x14ac:dyDescent="0.35">
      <c r="A49" s="152">
        <f t="shared" si="15"/>
        <v>35125</v>
      </c>
      <c r="B49" s="152">
        <f t="shared" si="16"/>
        <v>35155</v>
      </c>
      <c r="C49" s="435"/>
      <c r="D49" s="149" t="s">
        <v>98</v>
      </c>
      <c r="E49" s="149">
        <f t="shared" si="0"/>
        <v>30</v>
      </c>
      <c r="F49" s="153">
        <f>IF(AND(A49&gt;=$F$1,B49&lt;=$F$2),((VLOOKUP(YEAR(B49),'DIF MES'!A$2:E$38,5)*E49)/30),0)</f>
        <v>0</v>
      </c>
      <c r="G49" s="154">
        <f>VLOOKUP(100*YEAR(A49)+MONTH(A49)-1,IPC!A$14:E$861,2)</f>
        <v>23.25</v>
      </c>
      <c r="H49" s="151">
        <f t="shared" si="2"/>
        <v>105.29</v>
      </c>
      <c r="I49" s="153">
        <f t="shared" si="14"/>
        <v>0</v>
      </c>
      <c r="J49" s="153">
        <f t="shared" si="7"/>
        <v>0</v>
      </c>
      <c r="K49" s="155">
        <f t="shared" si="3"/>
        <v>0</v>
      </c>
      <c r="L49" s="153">
        <f t="shared" si="4"/>
        <v>0</v>
      </c>
      <c r="M49" s="184"/>
      <c r="N49" s="6"/>
    </row>
    <row r="50" spans="1:17" x14ac:dyDescent="0.35">
      <c r="A50" s="152">
        <f t="shared" si="15"/>
        <v>35156</v>
      </c>
      <c r="B50" s="152">
        <f t="shared" si="16"/>
        <v>35185</v>
      </c>
      <c r="C50" s="435"/>
      <c r="D50" s="149" t="s">
        <v>99</v>
      </c>
      <c r="E50" s="149">
        <f t="shared" si="0"/>
        <v>30</v>
      </c>
      <c r="F50" s="153">
        <f>IF(AND(A50&gt;=$F$1,B50&lt;=$F$2),((VLOOKUP(YEAR(B50),'DIF MES'!A$2:E$38,5)*E50)/30),0)</f>
        <v>0</v>
      </c>
      <c r="G50" s="154">
        <f>VLOOKUP(100*YEAR(A50)+MONTH(A50)-1,IPC!A$14:E$861,2)</f>
        <v>23.74</v>
      </c>
      <c r="H50" s="151">
        <f t="shared" si="2"/>
        <v>105.29</v>
      </c>
      <c r="I50" s="153">
        <f t="shared" si="14"/>
        <v>0</v>
      </c>
      <c r="J50" s="153">
        <f t="shared" si="7"/>
        <v>0</v>
      </c>
      <c r="K50" s="155">
        <f t="shared" si="3"/>
        <v>0</v>
      </c>
      <c r="L50" s="153">
        <f t="shared" si="4"/>
        <v>0</v>
      </c>
      <c r="M50" s="184"/>
      <c r="N50" s="6"/>
    </row>
    <row r="51" spans="1:17" x14ac:dyDescent="0.35">
      <c r="A51" s="152">
        <f t="shared" si="15"/>
        <v>35186</v>
      </c>
      <c r="B51" s="152">
        <f t="shared" si="16"/>
        <v>35216</v>
      </c>
      <c r="C51" s="435"/>
      <c r="D51" s="149" t="s">
        <v>100</v>
      </c>
      <c r="E51" s="149">
        <f t="shared" si="0"/>
        <v>30</v>
      </c>
      <c r="F51" s="153">
        <f>IF(AND(A51&gt;=$F$1,B51&lt;=$F$2),((VLOOKUP(YEAR(B51),'DIF MES'!A$2:E$38,5)*E51)/30),0)</f>
        <v>0</v>
      </c>
      <c r="G51" s="154">
        <f>VLOOKUP(100*YEAR(A51)+MONTH(A51)-1,IPC!A$14:E$861,2)</f>
        <v>24.21</v>
      </c>
      <c r="H51" s="151">
        <f t="shared" si="2"/>
        <v>105.29</v>
      </c>
      <c r="I51" s="153">
        <f t="shared" si="14"/>
        <v>0</v>
      </c>
      <c r="J51" s="153">
        <f t="shared" si="7"/>
        <v>0</v>
      </c>
      <c r="K51" s="155">
        <f t="shared" si="3"/>
        <v>0</v>
      </c>
      <c r="L51" s="153">
        <f t="shared" si="4"/>
        <v>0</v>
      </c>
      <c r="M51" s="184"/>
      <c r="N51" s="29"/>
      <c r="O51" s="30"/>
      <c r="P51" s="30"/>
      <c r="Q51" s="30"/>
    </row>
    <row r="52" spans="1:17" x14ac:dyDescent="0.35">
      <c r="A52" s="156">
        <f t="shared" ref="A52" si="27">A53</f>
        <v>35217</v>
      </c>
      <c r="B52" s="156">
        <f t="shared" ref="B52" si="28">B53</f>
        <v>35246</v>
      </c>
      <c r="C52" s="435"/>
      <c r="D52" s="157" t="s">
        <v>101</v>
      </c>
      <c r="E52" s="157">
        <f t="shared" si="0"/>
        <v>30</v>
      </c>
      <c r="F52" s="153">
        <f>IF(AND(A52&gt;=$F$1,B52&lt;=$F$2),((VLOOKUP(YEAR(B52),'DIF MES'!A$2:E$38,5)*E52)/30),0)</f>
        <v>0</v>
      </c>
      <c r="G52" s="158">
        <f>VLOOKUP(100*YEAR(A52)+MONTH(A52)-1,IPC!A$14:E$861,2)</f>
        <v>24.58</v>
      </c>
      <c r="H52" s="159">
        <f t="shared" si="2"/>
        <v>105.29</v>
      </c>
      <c r="I52" s="160">
        <f>F52*(H52/G52)</f>
        <v>0</v>
      </c>
      <c r="J52" s="161">
        <f>+I52-F52</f>
        <v>0</v>
      </c>
      <c r="K52" s="162">
        <f>IF(D52="adicional", 0, +I52*0.12)</f>
        <v>0</v>
      </c>
      <c r="L52" s="161">
        <f>+I52-K52</f>
        <v>0</v>
      </c>
      <c r="M52" s="187"/>
      <c r="N52" s="6"/>
    </row>
    <row r="53" spans="1:17" x14ac:dyDescent="0.35">
      <c r="A53" s="152">
        <f t="shared" ref="A53" si="29">IF(
AND(YEAR(B51)=YEAR(DATE(YEAR($F$1),MONTH($F$1)-1,1)),
MONTH(B51)=MONTH(DATE(YEAR($F$1),MONTH($F$1)-1,1))),
$F$1,
DATE(YEAR(B51),MONTH(B51)+1,1))</f>
        <v>35217</v>
      </c>
      <c r="B53" s="152">
        <f t="shared" ref="B53" si="30">IF(
AND(
YEAR(B51)=YEAR(DATE(YEAR($F$2),MONTH($F$2)-1,1)),
MONTH(B51)=MONTH(DATE(YEAR($F$2),MONTH($F$2)-1,1))
),
$F$2,
EOMONTH(B51,1)
)</f>
        <v>35246</v>
      </c>
      <c r="C53" s="435"/>
      <c r="D53" s="149" t="s">
        <v>102</v>
      </c>
      <c r="E53" s="149">
        <f t="shared" si="0"/>
        <v>30</v>
      </c>
      <c r="F53" s="153">
        <f>IF(AND(A53&gt;=$F$1,B53&lt;=$F$2),((VLOOKUP(YEAR(B53),'DIF MES'!A$2:E$38,5)*E53)/30),0)</f>
        <v>0</v>
      </c>
      <c r="G53" s="154">
        <f>VLOOKUP(100*YEAR(A53)+MONTH(A53)-1,IPC!A$14:E$861,2)</f>
        <v>24.58</v>
      </c>
      <c r="H53" s="151">
        <f t="shared" si="2"/>
        <v>105.29</v>
      </c>
      <c r="I53" s="153">
        <f>F53*(H53/G53)</f>
        <v>0</v>
      </c>
      <c r="J53" s="153">
        <f>+I53-F53</f>
        <v>0</v>
      </c>
      <c r="K53" s="155">
        <f>IF(D53="adicional", 0, +I53*0.12)</f>
        <v>0</v>
      </c>
      <c r="L53" s="153">
        <f>+I53-K53</f>
        <v>0</v>
      </c>
      <c r="M53" s="184"/>
      <c r="N53" s="6"/>
    </row>
    <row r="54" spans="1:17" x14ac:dyDescent="0.35">
      <c r="A54" s="152">
        <f t="shared" si="21"/>
        <v>35247</v>
      </c>
      <c r="B54" s="152">
        <f t="shared" si="22"/>
        <v>35277</v>
      </c>
      <c r="C54" s="435"/>
      <c r="D54" s="149" t="s">
        <v>103</v>
      </c>
      <c r="E54" s="149">
        <f t="shared" si="0"/>
        <v>30</v>
      </c>
      <c r="F54" s="153">
        <f>IF(AND(A54&gt;=$F$1,B54&lt;=$F$2),((VLOOKUP(YEAR(B54),'DIF MES'!A$2:E$38,5)*E54)/30),0)</f>
        <v>0</v>
      </c>
      <c r="G54" s="154">
        <f>VLOOKUP(100*YEAR(A54)+MONTH(A54)-1,IPC!A$14:E$861,2)</f>
        <v>24.87</v>
      </c>
      <c r="H54" s="151">
        <f t="shared" si="2"/>
        <v>105.29</v>
      </c>
      <c r="I54" s="153">
        <f t="shared" si="14"/>
        <v>0</v>
      </c>
      <c r="J54" s="153">
        <f t="shared" si="7"/>
        <v>0</v>
      </c>
      <c r="K54" s="155">
        <f t="shared" si="3"/>
        <v>0</v>
      </c>
      <c r="L54" s="153">
        <f t="shared" si="4"/>
        <v>0</v>
      </c>
      <c r="M54" s="184"/>
      <c r="N54" s="6"/>
    </row>
    <row r="55" spans="1:17" x14ac:dyDescent="0.35">
      <c r="A55" s="152">
        <f t="shared" si="21"/>
        <v>35278</v>
      </c>
      <c r="B55" s="152">
        <f t="shared" si="22"/>
        <v>35308</v>
      </c>
      <c r="C55" s="435"/>
      <c r="D55" s="149" t="s">
        <v>104</v>
      </c>
      <c r="E55" s="149">
        <f t="shared" si="0"/>
        <v>30</v>
      </c>
      <c r="F55" s="153">
        <f>IF(AND(A55&gt;=$F$1,B55&lt;=$F$2),((VLOOKUP(YEAR(B55),'DIF MES'!A$2:E$38,5)*E55)/30),0)</f>
        <v>0</v>
      </c>
      <c r="G55" s="154">
        <f>VLOOKUP(100*YEAR(A55)+MONTH(A55)-1,IPC!A$14:E$861,2)</f>
        <v>25.24</v>
      </c>
      <c r="H55" s="151">
        <f t="shared" si="2"/>
        <v>105.29</v>
      </c>
      <c r="I55" s="153">
        <f t="shared" si="14"/>
        <v>0</v>
      </c>
      <c r="J55" s="153">
        <f t="shared" si="7"/>
        <v>0</v>
      </c>
      <c r="K55" s="155">
        <f t="shared" si="3"/>
        <v>0</v>
      </c>
      <c r="L55" s="153">
        <f t="shared" si="4"/>
        <v>0</v>
      </c>
      <c r="M55" s="184"/>
      <c r="N55" s="6"/>
    </row>
    <row r="56" spans="1:17" ht="20" x14ac:dyDescent="0.35">
      <c r="A56" s="152">
        <f t="shared" si="21"/>
        <v>35309</v>
      </c>
      <c r="B56" s="152">
        <f t="shared" si="22"/>
        <v>35338</v>
      </c>
      <c r="C56" s="435"/>
      <c r="D56" s="149" t="s">
        <v>105</v>
      </c>
      <c r="E56" s="149">
        <f t="shared" si="0"/>
        <v>30</v>
      </c>
      <c r="F56" s="153">
        <f>IF(AND(A56&gt;=$F$1,B56&lt;=$F$2),((VLOOKUP(YEAR(B56),'DIF MES'!A$2:E$38,5)*E56)/30),0)</f>
        <v>0</v>
      </c>
      <c r="G56" s="154">
        <f>VLOOKUP(100*YEAR(A56)+MONTH(A56)-1,IPC!A$14:E$861,2)</f>
        <v>25.52</v>
      </c>
      <c r="H56" s="151">
        <f t="shared" si="2"/>
        <v>105.29</v>
      </c>
      <c r="I56" s="153">
        <f t="shared" si="14"/>
        <v>0</v>
      </c>
      <c r="J56" s="153">
        <f t="shared" si="7"/>
        <v>0</v>
      </c>
      <c r="K56" s="155">
        <f t="shared" si="3"/>
        <v>0</v>
      </c>
      <c r="L56" s="153">
        <f t="shared" si="4"/>
        <v>0</v>
      </c>
      <c r="M56" s="184"/>
      <c r="N56" s="6"/>
    </row>
    <row r="57" spans="1:17" x14ac:dyDescent="0.35">
      <c r="A57" s="152">
        <f t="shared" si="21"/>
        <v>35339</v>
      </c>
      <c r="B57" s="152">
        <f t="shared" si="22"/>
        <v>35369</v>
      </c>
      <c r="C57" s="435"/>
      <c r="D57" s="149" t="s">
        <v>106</v>
      </c>
      <c r="E57" s="149">
        <f t="shared" si="0"/>
        <v>30</v>
      </c>
      <c r="F57" s="153">
        <f>IF(AND(A57&gt;=$F$1,B57&lt;=$F$2),((VLOOKUP(YEAR(B57),'DIF MES'!A$2:E$38,5)*E57)/30),0)</f>
        <v>0</v>
      </c>
      <c r="G57" s="154">
        <f>VLOOKUP(100*YEAR(A57)+MONTH(A57)-1,IPC!A$14:E$861,2)</f>
        <v>25.82</v>
      </c>
      <c r="H57" s="151">
        <f t="shared" si="2"/>
        <v>105.29</v>
      </c>
      <c r="I57" s="153">
        <f t="shared" si="14"/>
        <v>0</v>
      </c>
      <c r="J57" s="153">
        <f t="shared" si="7"/>
        <v>0</v>
      </c>
      <c r="K57" s="155">
        <f t="shared" si="3"/>
        <v>0</v>
      </c>
      <c r="L57" s="153">
        <f t="shared" si="4"/>
        <v>0</v>
      </c>
      <c r="M57" s="184"/>
      <c r="N57" s="6"/>
    </row>
    <row r="58" spans="1:17" x14ac:dyDescent="0.35">
      <c r="A58" s="152">
        <f t="shared" si="21"/>
        <v>35370</v>
      </c>
      <c r="B58" s="152">
        <f t="shared" si="22"/>
        <v>35399</v>
      </c>
      <c r="C58" s="435"/>
      <c r="D58" s="149" t="s">
        <v>107</v>
      </c>
      <c r="E58" s="149">
        <f t="shared" si="0"/>
        <v>30</v>
      </c>
      <c r="F58" s="153">
        <f>IF(AND(A58&gt;=$F$1,B58&lt;=$F$2),((VLOOKUP(YEAR(B58),'DIF MES'!A$2:E$38,5)*E58)/30),0)</f>
        <v>0</v>
      </c>
      <c r="G58" s="154">
        <f>VLOOKUP(100*YEAR(A58)+MONTH(A58)-1,IPC!A$14:E$861,2)</f>
        <v>26.12</v>
      </c>
      <c r="H58" s="151">
        <f t="shared" si="2"/>
        <v>105.29</v>
      </c>
      <c r="I58" s="153">
        <f t="shared" si="14"/>
        <v>0</v>
      </c>
      <c r="J58" s="153">
        <f t="shared" si="7"/>
        <v>0</v>
      </c>
      <c r="K58" s="155">
        <f t="shared" si="3"/>
        <v>0</v>
      </c>
      <c r="L58" s="153">
        <f t="shared" si="4"/>
        <v>0</v>
      </c>
      <c r="M58" s="184"/>
      <c r="N58" s="6"/>
    </row>
    <row r="59" spans="1:17" x14ac:dyDescent="0.35">
      <c r="A59" s="156">
        <f t="shared" ref="A59" si="31">A58</f>
        <v>35370</v>
      </c>
      <c r="B59" s="156">
        <f t="shared" ref="B59" si="32">B58</f>
        <v>35399</v>
      </c>
      <c r="C59" s="435"/>
      <c r="D59" s="157" t="s">
        <v>101</v>
      </c>
      <c r="E59" s="157">
        <f t="shared" si="0"/>
        <v>30</v>
      </c>
      <c r="F59" s="153">
        <f>IF(AND(A59&gt;=$F$1,B59&lt;=$F$2),((VLOOKUP(YEAR(B59),'DIF MES'!A$2:E$38,5)*E59)/30),0)</f>
        <v>0</v>
      </c>
      <c r="G59" s="158">
        <f>VLOOKUP(100*YEAR(A59)+MONTH(A59)-1,IPC!A$14:E$861,2)</f>
        <v>26.12</v>
      </c>
      <c r="H59" s="159">
        <f t="shared" si="2"/>
        <v>105.29</v>
      </c>
      <c r="I59" s="161">
        <f t="shared" si="14"/>
        <v>0</v>
      </c>
      <c r="J59" s="161">
        <f t="shared" si="7"/>
        <v>0</v>
      </c>
      <c r="K59" s="162">
        <f t="shared" si="3"/>
        <v>0</v>
      </c>
      <c r="L59" s="161">
        <f t="shared" si="4"/>
        <v>0</v>
      </c>
      <c r="M59" s="184"/>
      <c r="N59" s="6"/>
    </row>
    <row r="60" spans="1:17" x14ac:dyDescent="0.35">
      <c r="A60" s="152">
        <f t="shared" ref="A60" si="33">IF(
AND(YEAR(B58)=YEAR(DATE(YEAR($F$1),MONTH($F$1)-1,1)),
MONTH(B58)=MONTH(DATE(YEAR($F$1),MONTH($F$1)-1,1))),
$F$1,
DATE(YEAR(B58),MONTH(B58)+1,1))</f>
        <v>35400</v>
      </c>
      <c r="B60" s="152">
        <f t="shared" ref="B60" si="34">IF(
AND(
YEAR(B58)=YEAR(DATE(YEAR($F$2),MONTH($F$2)-1,1)),
MONTH(B58)=MONTH(DATE(YEAR($F$2),MONTH($F$2)-1,1))
),
$F$2,
EOMONTH(B58,1)
)</f>
        <v>35430</v>
      </c>
      <c r="C60" s="436"/>
      <c r="D60" s="149" t="s">
        <v>108</v>
      </c>
      <c r="E60" s="149">
        <f t="shared" si="0"/>
        <v>30</v>
      </c>
      <c r="F60" s="153">
        <f>IF(AND(A60&gt;=$F$1,B60&lt;=$F$2),((VLOOKUP(YEAR(B60),'DIF MES'!A$2:E$38,5)*E60)/30),0)</f>
        <v>0</v>
      </c>
      <c r="G60" s="154">
        <f>VLOOKUP(100*YEAR(A60)+MONTH(A60)-1,IPC!A$14:E$861,2)</f>
        <v>26.33</v>
      </c>
      <c r="H60" s="151">
        <f t="shared" si="2"/>
        <v>105.29</v>
      </c>
      <c r="I60" s="153">
        <f t="shared" si="14"/>
        <v>0</v>
      </c>
      <c r="J60" s="153">
        <f t="shared" si="7"/>
        <v>0</v>
      </c>
      <c r="K60" s="155">
        <f t="shared" si="3"/>
        <v>0</v>
      </c>
      <c r="L60" s="153">
        <f t="shared" si="4"/>
        <v>0</v>
      </c>
      <c r="M60" s="184"/>
      <c r="N60" s="6"/>
    </row>
    <row r="61" spans="1:17" x14ac:dyDescent="0.35">
      <c r="A61" s="152">
        <f t="shared" si="15"/>
        <v>35431</v>
      </c>
      <c r="B61" s="152">
        <f t="shared" si="16"/>
        <v>35461</v>
      </c>
      <c r="C61" s="434">
        <v>1997</v>
      </c>
      <c r="D61" s="149" t="s">
        <v>96</v>
      </c>
      <c r="E61" s="149">
        <f t="shared" si="0"/>
        <v>30</v>
      </c>
      <c r="F61" s="153">
        <f>IF(AND(A61&gt;=$F$1,B61&lt;=$F$2),((VLOOKUP(YEAR(B61),'DIF MES'!A$2:E$38,5)*E61)/30),0)</f>
        <v>0</v>
      </c>
      <c r="G61" s="154">
        <f>VLOOKUP(100*YEAR(A61)+MONTH(A61)-1,IPC!A$14:E$861,2)</f>
        <v>26.52</v>
      </c>
      <c r="H61" s="151">
        <f t="shared" si="2"/>
        <v>105.29</v>
      </c>
      <c r="I61" s="153">
        <f t="shared" si="14"/>
        <v>0</v>
      </c>
      <c r="J61" s="153">
        <f t="shared" si="7"/>
        <v>0</v>
      </c>
      <c r="K61" s="155">
        <f t="shared" si="3"/>
        <v>0</v>
      </c>
      <c r="L61" s="153">
        <f t="shared" si="4"/>
        <v>0</v>
      </c>
      <c r="M61" s="184"/>
      <c r="N61" s="6"/>
    </row>
    <row r="62" spans="1:17" x14ac:dyDescent="0.35">
      <c r="A62" s="152">
        <f t="shared" si="15"/>
        <v>35462</v>
      </c>
      <c r="B62" s="152">
        <f t="shared" si="16"/>
        <v>35489</v>
      </c>
      <c r="C62" s="435"/>
      <c r="D62" s="149" t="s">
        <v>97</v>
      </c>
      <c r="E62" s="149">
        <f t="shared" si="0"/>
        <v>30</v>
      </c>
      <c r="F62" s="153">
        <f>IF(AND(A62&gt;=$F$1,B62&lt;=$F$2),((VLOOKUP(YEAR(B62),'DIF MES'!A$2:E$38,5)*E62)/30),0)</f>
        <v>0</v>
      </c>
      <c r="G62" s="154">
        <f>VLOOKUP(100*YEAR(A62)+MONTH(A62)-1,IPC!A$14:E$861,2)</f>
        <v>26.96</v>
      </c>
      <c r="H62" s="151">
        <f t="shared" si="2"/>
        <v>105.29</v>
      </c>
      <c r="I62" s="153">
        <f t="shared" si="14"/>
        <v>0</v>
      </c>
      <c r="J62" s="153">
        <f t="shared" si="7"/>
        <v>0</v>
      </c>
      <c r="K62" s="155">
        <f t="shared" si="3"/>
        <v>0</v>
      </c>
      <c r="L62" s="153">
        <f t="shared" si="4"/>
        <v>0</v>
      </c>
      <c r="M62" s="184"/>
      <c r="N62" s="6"/>
    </row>
    <row r="63" spans="1:17" x14ac:dyDescent="0.35">
      <c r="A63" s="152">
        <f t="shared" si="15"/>
        <v>35490</v>
      </c>
      <c r="B63" s="152">
        <f t="shared" si="16"/>
        <v>35520</v>
      </c>
      <c r="C63" s="435"/>
      <c r="D63" s="149" t="s">
        <v>98</v>
      </c>
      <c r="E63" s="149">
        <f t="shared" si="0"/>
        <v>30</v>
      </c>
      <c r="F63" s="153">
        <f>IF(AND(A63&gt;=$F$1,B63&lt;=$F$2),((VLOOKUP(YEAR(B63),'DIF MES'!A$2:E$38,5)*E63)/30),0)</f>
        <v>0</v>
      </c>
      <c r="G63" s="154">
        <f>VLOOKUP(100*YEAR(A63)+MONTH(A63)-1,IPC!A$14:E$861,2)</f>
        <v>27.8</v>
      </c>
      <c r="H63" s="151">
        <f t="shared" si="2"/>
        <v>105.29</v>
      </c>
      <c r="I63" s="153">
        <f t="shared" si="14"/>
        <v>0</v>
      </c>
      <c r="J63" s="153">
        <f t="shared" si="7"/>
        <v>0</v>
      </c>
      <c r="K63" s="155">
        <f t="shared" si="3"/>
        <v>0</v>
      </c>
      <c r="L63" s="153">
        <f t="shared" si="4"/>
        <v>0</v>
      </c>
      <c r="M63" s="184"/>
      <c r="N63" s="6"/>
    </row>
    <row r="64" spans="1:17" x14ac:dyDescent="0.35">
      <c r="A64" s="152">
        <f t="shared" si="15"/>
        <v>35521</v>
      </c>
      <c r="B64" s="152">
        <f t="shared" si="16"/>
        <v>35550</v>
      </c>
      <c r="C64" s="435"/>
      <c r="D64" s="149" t="s">
        <v>99</v>
      </c>
      <c r="E64" s="149">
        <f t="shared" si="0"/>
        <v>30</v>
      </c>
      <c r="F64" s="153">
        <f>IF(AND(A64&gt;=$F$1,B64&lt;=$F$2),((VLOOKUP(YEAR(B64),'DIF MES'!A$2:E$38,5)*E64)/30),0)</f>
        <v>0</v>
      </c>
      <c r="G64" s="154">
        <f>VLOOKUP(100*YEAR(A64)+MONTH(A64)-1,IPC!A$14:E$861,2)</f>
        <v>28.23</v>
      </c>
      <c r="H64" s="151">
        <f t="shared" si="2"/>
        <v>105.29</v>
      </c>
      <c r="I64" s="153">
        <f t="shared" si="14"/>
        <v>0</v>
      </c>
      <c r="J64" s="153">
        <f t="shared" si="7"/>
        <v>0</v>
      </c>
      <c r="K64" s="155">
        <f t="shared" si="3"/>
        <v>0</v>
      </c>
      <c r="L64" s="153">
        <f t="shared" si="4"/>
        <v>0</v>
      </c>
      <c r="M64" s="184"/>
      <c r="N64" s="6"/>
    </row>
    <row r="65" spans="1:14" x14ac:dyDescent="0.35">
      <c r="A65" s="152">
        <f t="shared" si="15"/>
        <v>35551</v>
      </c>
      <c r="B65" s="152">
        <f t="shared" si="16"/>
        <v>35581</v>
      </c>
      <c r="C65" s="435"/>
      <c r="D65" s="149" t="s">
        <v>100</v>
      </c>
      <c r="E65" s="149">
        <f t="shared" si="0"/>
        <v>30</v>
      </c>
      <c r="F65" s="153">
        <f>IF(AND(A65&gt;=$F$1,B65&lt;=$F$2),((VLOOKUP(YEAR(B65),'DIF MES'!A$2:E$38,5)*E65)/30),0)</f>
        <v>0</v>
      </c>
      <c r="G65" s="154">
        <f>VLOOKUP(100*YEAR(A65)+MONTH(A65)-1,IPC!A$14:E$861,2)</f>
        <v>28.69</v>
      </c>
      <c r="H65" s="151">
        <f t="shared" si="2"/>
        <v>105.29</v>
      </c>
      <c r="I65" s="153">
        <f t="shared" si="14"/>
        <v>0</v>
      </c>
      <c r="J65" s="153">
        <f t="shared" si="7"/>
        <v>0</v>
      </c>
      <c r="K65" s="155">
        <f t="shared" si="3"/>
        <v>0</v>
      </c>
      <c r="L65" s="153">
        <f t="shared" si="4"/>
        <v>0</v>
      </c>
      <c r="M65" s="184"/>
      <c r="N65" s="6"/>
    </row>
    <row r="66" spans="1:14" x14ac:dyDescent="0.35">
      <c r="A66" s="156">
        <f t="shared" ref="A66" si="35">A67</f>
        <v>35582</v>
      </c>
      <c r="B66" s="156">
        <f t="shared" ref="B66" si="36">B67</f>
        <v>35611</v>
      </c>
      <c r="C66" s="435"/>
      <c r="D66" s="157" t="s">
        <v>101</v>
      </c>
      <c r="E66" s="157">
        <f t="shared" si="0"/>
        <v>30</v>
      </c>
      <c r="F66" s="153">
        <f>IF(AND(A66&gt;=$F$1,B66&lt;=$F$2),((VLOOKUP(YEAR(B66),'DIF MES'!A$2:E$38,5)*E66)/30),0)</f>
        <v>0</v>
      </c>
      <c r="G66" s="158">
        <f>VLOOKUP(100*YEAR(A66)+MONTH(A66)-1,IPC!A$14:E$861,2)</f>
        <v>29.16</v>
      </c>
      <c r="H66" s="159">
        <f t="shared" si="2"/>
        <v>105.29</v>
      </c>
      <c r="I66" s="160">
        <f>F66*(H66/G66)</f>
        <v>0</v>
      </c>
      <c r="J66" s="161">
        <f>+I66-F66</f>
        <v>0</v>
      </c>
      <c r="K66" s="162">
        <f>IF(D66="adicional", 0, +I66*0.12)</f>
        <v>0</v>
      </c>
      <c r="L66" s="161">
        <f>+I66-K66</f>
        <v>0</v>
      </c>
      <c r="M66" s="184"/>
      <c r="N66" s="6"/>
    </row>
    <row r="67" spans="1:14" x14ac:dyDescent="0.35">
      <c r="A67" s="152">
        <f t="shared" ref="A67" si="37">IF(
AND(YEAR(B65)=YEAR(DATE(YEAR($F$1),MONTH($F$1)-1,1)),
MONTH(B65)=MONTH(DATE(YEAR($F$1),MONTH($F$1)-1,1))),
$F$1,
DATE(YEAR(B65),MONTH(B65)+1,1))</f>
        <v>35582</v>
      </c>
      <c r="B67" s="152">
        <f t="shared" ref="B67" si="38">IF(
AND(
YEAR(B65)=YEAR(DATE(YEAR($F$2),MONTH($F$2)-1,1)),
MONTH(B65)=MONTH(DATE(YEAR($F$2),MONTH($F$2)-1,1))
),
$F$2,
EOMONTH(B65,1)
)</f>
        <v>35611</v>
      </c>
      <c r="C67" s="435"/>
      <c r="D67" s="149" t="s">
        <v>102</v>
      </c>
      <c r="E67" s="149">
        <f t="shared" si="0"/>
        <v>30</v>
      </c>
      <c r="F67" s="153">
        <f>IF(AND(A67&gt;=$F$1,B67&lt;=$F$2),((VLOOKUP(YEAR(B67),'DIF MES'!A$2:E$38,5)*E67)/30),0)</f>
        <v>0</v>
      </c>
      <c r="G67" s="154">
        <f>VLOOKUP(100*YEAR(A67)+MONTH(A67)-1,IPC!A$14:E$861,2)</f>
        <v>29.16</v>
      </c>
      <c r="H67" s="151">
        <f t="shared" si="2"/>
        <v>105.29</v>
      </c>
      <c r="I67" s="153">
        <f>F67*(H67/G67)</f>
        <v>0</v>
      </c>
      <c r="J67" s="153">
        <f>+I67-F67</f>
        <v>0</v>
      </c>
      <c r="K67" s="155">
        <f>IF(D67="adicional", 0, +I67*0.12)</f>
        <v>0</v>
      </c>
      <c r="L67" s="153">
        <f>+I67-K67</f>
        <v>0</v>
      </c>
      <c r="M67" s="184"/>
      <c r="N67" s="6"/>
    </row>
    <row r="68" spans="1:14" x14ac:dyDescent="0.35">
      <c r="A68" s="152">
        <f t="shared" si="21"/>
        <v>35612</v>
      </c>
      <c r="B68" s="152">
        <f t="shared" si="22"/>
        <v>35642</v>
      </c>
      <c r="C68" s="435"/>
      <c r="D68" s="149" t="s">
        <v>103</v>
      </c>
      <c r="E68" s="149">
        <f t="shared" si="0"/>
        <v>30</v>
      </c>
      <c r="F68" s="153">
        <f>IF(AND(A68&gt;=$F$1,B68&lt;=$F$2),((VLOOKUP(YEAR(B68),'DIF MES'!A$2:E$38,5)*E68)/30),0)</f>
        <v>0</v>
      </c>
      <c r="G68" s="154">
        <f>VLOOKUP(100*YEAR(A68)+MONTH(A68)-1,IPC!A$14:E$861,2)</f>
        <v>29.51</v>
      </c>
      <c r="H68" s="151">
        <f t="shared" si="2"/>
        <v>105.29</v>
      </c>
      <c r="I68" s="153">
        <f t="shared" si="14"/>
        <v>0</v>
      </c>
      <c r="J68" s="153">
        <f t="shared" si="7"/>
        <v>0</v>
      </c>
      <c r="K68" s="155">
        <f t="shared" si="3"/>
        <v>0</v>
      </c>
      <c r="L68" s="153">
        <f t="shared" si="4"/>
        <v>0</v>
      </c>
      <c r="M68" s="184"/>
      <c r="N68" s="6"/>
    </row>
    <row r="69" spans="1:14" x14ac:dyDescent="0.35">
      <c r="A69" s="152">
        <f t="shared" si="21"/>
        <v>35643</v>
      </c>
      <c r="B69" s="152">
        <f t="shared" si="22"/>
        <v>35673</v>
      </c>
      <c r="C69" s="435"/>
      <c r="D69" s="149" t="s">
        <v>104</v>
      </c>
      <c r="E69" s="149">
        <f t="shared" ref="E69:E132" si="39">DAYS360(A69,B69+1)</f>
        <v>30</v>
      </c>
      <c r="F69" s="153">
        <f>IF(AND(A69&gt;=$F$1,B69&lt;=$F$2),((VLOOKUP(YEAR(B69),'DIF MES'!A$2:E$38,5)*E69)/30),0)</f>
        <v>0</v>
      </c>
      <c r="G69" s="154">
        <f>VLOOKUP(100*YEAR(A69)+MONTH(A69)-1,IPC!A$14:E$861,2)</f>
        <v>29.76</v>
      </c>
      <c r="H69" s="151">
        <f t="shared" si="2"/>
        <v>105.29</v>
      </c>
      <c r="I69" s="153">
        <f t="shared" si="14"/>
        <v>0</v>
      </c>
      <c r="J69" s="153">
        <f t="shared" si="7"/>
        <v>0</v>
      </c>
      <c r="K69" s="155">
        <f t="shared" si="3"/>
        <v>0</v>
      </c>
      <c r="L69" s="153">
        <f t="shared" si="4"/>
        <v>0</v>
      </c>
      <c r="M69" s="184"/>
      <c r="N69" s="6"/>
    </row>
    <row r="70" spans="1:14" ht="20" x14ac:dyDescent="0.35">
      <c r="A70" s="152">
        <f t="shared" si="21"/>
        <v>35674</v>
      </c>
      <c r="B70" s="152">
        <f t="shared" si="22"/>
        <v>35703</v>
      </c>
      <c r="C70" s="435"/>
      <c r="D70" s="149" t="s">
        <v>105</v>
      </c>
      <c r="E70" s="149">
        <f t="shared" si="39"/>
        <v>30</v>
      </c>
      <c r="F70" s="153">
        <f>IF(AND(A70&gt;=$F$1,B70&lt;=$F$2),((VLOOKUP(YEAR(B70),'DIF MES'!A$2:E$38,5)*E70)/30),0)</f>
        <v>0</v>
      </c>
      <c r="G70" s="154">
        <f>VLOOKUP(100*YEAR(A70)+MONTH(A70)-1,IPC!A$14:E$861,2)</f>
        <v>30.1</v>
      </c>
      <c r="H70" s="151">
        <f t="shared" ref="H70:H133" si="40">+$H$4</f>
        <v>105.29</v>
      </c>
      <c r="I70" s="153">
        <f t="shared" si="14"/>
        <v>0</v>
      </c>
      <c r="J70" s="153">
        <f t="shared" si="7"/>
        <v>0</v>
      </c>
      <c r="K70" s="155">
        <f t="shared" ref="K70:K133" si="41">IF(D70="adicional", 0, +I70*0.12)</f>
        <v>0</v>
      </c>
      <c r="L70" s="153">
        <f t="shared" ref="L70:L133" si="42">+I70-K70</f>
        <v>0</v>
      </c>
      <c r="M70" s="184"/>
      <c r="N70" s="6"/>
    </row>
    <row r="71" spans="1:14" x14ac:dyDescent="0.35">
      <c r="A71" s="152">
        <f t="shared" si="21"/>
        <v>35704</v>
      </c>
      <c r="B71" s="152">
        <f t="shared" si="22"/>
        <v>35734</v>
      </c>
      <c r="C71" s="435"/>
      <c r="D71" s="149" t="s">
        <v>106</v>
      </c>
      <c r="E71" s="149">
        <f t="shared" si="39"/>
        <v>30</v>
      </c>
      <c r="F71" s="153">
        <f>IF(AND(A71&gt;=$F$1,B71&lt;=$F$2),((VLOOKUP(YEAR(B71),'DIF MES'!A$2:E$38,5)*E71)/30),0)</f>
        <v>0</v>
      </c>
      <c r="G71" s="154">
        <f>VLOOKUP(100*YEAR(A71)+MONTH(A71)-1,IPC!A$14:E$861,2)</f>
        <v>30.48</v>
      </c>
      <c r="H71" s="151">
        <f t="shared" si="40"/>
        <v>105.29</v>
      </c>
      <c r="I71" s="153">
        <f t="shared" si="14"/>
        <v>0</v>
      </c>
      <c r="J71" s="153">
        <f t="shared" ref="J71:J134" si="43">+I71-F71</f>
        <v>0</v>
      </c>
      <c r="K71" s="155">
        <f t="shared" si="41"/>
        <v>0</v>
      </c>
      <c r="L71" s="153">
        <f t="shared" si="42"/>
        <v>0</v>
      </c>
      <c r="M71" s="184"/>
      <c r="N71" s="6"/>
    </row>
    <row r="72" spans="1:14" x14ac:dyDescent="0.35">
      <c r="A72" s="152">
        <f t="shared" si="21"/>
        <v>35735</v>
      </c>
      <c r="B72" s="152">
        <f t="shared" si="22"/>
        <v>35764</v>
      </c>
      <c r="C72" s="435"/>
      <c r="D72" s="149" t="s">
        <v>107</v>
      </c>
      <c r="E72" s="149">
        <f t="shared" si="39"/>
        <v>30</v>
      </c>
      <c r="F72" s="153">
        <f>IF(AND(A72&gt;=$F$1,B72&lt;=$F$2),((VLOOKUP(YEAR(B72),'DIF MES'!A$2:E$38,5)*E72)/30),0)</f>
        <v>0</v>
      </c>
      <c r="G72" s="154">
        <f>VLOOKUP(100*YEAR(A72)+MONTH(A72)-1,IPC!A$14:E$861,2)</f>
        <v>30.77</v>
      </c>
      <c r="H72" s="151">
        <f t="shared" si="40"/>
        <v>105.29</v>
      </c>
      <c r="I72" s="153">
        <f t="shared" si="14"/>
        <v>0</v>
      </c>
      <c r="J72" s="153">
        <f t="shared" si="43"/>
        <v>0</v>
      </c>
      <c r="K72" s="155">
        <f t="shared" si="41"/>
        <v>0</v>
      </c>
      <c r="L72" s="153">
        <f t="shared" si="42"/>
        <v>0</v>
      </c>
      <c r="M72" s="184"/>
      <c r="N72" s="6"/>
    </row>
    <row r="73" spans="1:14" x14ac:dyDescent="0.35">
      <c r="A73" s="156">
        <f t="shared" ref="A73" si="44">A72</f>
        <v>35735</v>
      </c>
      <c r="B73" s="156">
        <f t="shared" ref="B73" si="45">B72</f>
        <v>35764</v>
      </c>
      <c r="C73" s="435"/>
      <c r="D73" s="157" t="s">
        <v>101</v>
      </c>
      <c r="E73" s="157">
        <f t="shared" si="39"/>
        <v>30</v>
      </c>
      <c r="F73" s="153">
        <f>IF(AND(A73&gt;=$F$1,B73&lt;=$F$2),((VLOOKUP(YEAR(B73),'DIF MES'!A$2:E$38,5)*E73)/30),0)</f>
        <v>0</v>
      </c>
      <c r="G73" s="158">
        <f>VLOOKUP(100*YEAR(A73)+MONTH(A73)-1,IPC!A$14:E$861,2)</f>
        <v>30.77</v>
      </c>
      <c r="H73" s="159">
        <f t="shared" si="40"/>
        <v>105.29</v>
      </c>
      <c r="I73" s="161">
        <f t="shared" si="14"/>
        <v>0</v>
      </c>
      <c r="J73" s="161">
        <f t="shared" si="43"/>
        <v>0</v>
      </c>
      <c r="K73" s="162">
        <f t="shared" si="41"/>
        <v>0</v>
      </c>
      <c r="L73" s="161">
        <f t="shared" si="42"/>
        <v>0</v>
      </c>
      <c r="M73" s="184"/>
      <c r="N73" s="6"/>
    </row>
    <row r="74" spans="1:14" x14ac:dyDescent="0.35">
      <c r="A74" s="152">
        <f t="shared" ref="A74" si="46">IF(
AND(YEAR(B72)=YEAR(DATE(YEAR($F$1),MONTH($F$1)-1,1)),
MONTH(B72)=MONTH(DATE(YEAR($F$1),MONTH($F$1)-1,1))),
$F$1,
DATE(YEAR(B72),MONTH(B72)+1,1))</f>
        <v>35765</v>
      </c>
      <c r="B74" s="152">
        <f t="shared" ref="B74" si="47">IF(
AND(
YEAR(B72)=YEAR(DATE(YEAR($F$2),MONTH($F$2)-1,1)),
MONTH(B72)=MONTH(DATE(YEAR($F$2),MONTH($F$2)-1,1))
),
$F$2,
EOMONTH(B72,1)
)</f>
        <v>35795</v>
      </c>
      <c r="C74" s="436"/>
      <c r="D74" s="149" t="s">
        <v>108</v>
      </c>
      <c r="E74" s="149">
        <f t="shared" si="39"/>
        <v>30</v>
      </c>
      <c r="F74" s="153">
        <f>IF(AND(A74&gt;=$F$1,B74&lt;=$F$2),((VLOOKUP(YEAR(B74),'DIF MES'!A$2:E$38,5)*E74)/30),0)</f>
        <v>0</v>
      </c>
      <c r="G74" s="154">
        <f>VLOOKUP(100*YEAR(A74)+MONTH(A74)-1,IPC!A$14:E$861,2)</f>
        <v>31.02</v>
      </c>
      <c r="H74" s="151">
        <f t="shared" si="40"/>
        <v>105.29</v>
      </c>
      <c r="I74" s="153">
        <f t="shared" si="14"/>
        <v>0</v>
      </c>
      <c r="J74" s="153">
        <f t="shared" si="43"/>
        <v>0</v>
      </c>
      <c r="K74" s="155">
        <f t="shared" si="41"/>
        <v>0</v>
      </c>
      <c r="L74" s="153">
        <f t="shared" si="42"/>
        <v>0</v>
      </c>
      <c r="M74" s="184"/>
      <c r="N74" s="6"/>
    </row>
    <row r="75" spans="1:14" x14ac:dyDescent="0.35">
      <c r="A75" s="152">
        <f t="shared" si="15"/>
        <v>35796</v>
      </c>
      <c r="B75" s="152">
        <f t="shared" si="16"/>
        <v>35826</v>
      </c>
      <c r="C75" s="434">
        <v>1998</v>
      </c>
      <c r="D75" s="149" t="s">
        <v>96</v>
      </c>
      <c r="E75" s="149">
        <f t="shared" si="39"/>
        <v>30</v>
      </c>
      <c r="F75" s="153">
        <f>IF(AND(A75&gt;=$F$1,B75&lt;=$F$2),((VLOOKUP(YEAR(B75),'DIF MES'!A$2:E$38,5)*E75)/30),0)</f>
        <v>0</v>
      </c>
      <c r="G75" s="154">
        <f>VLOOKUP(100*YEAR(A75)+MONTH(A75)-1,IPC!A$14:E$861,2)</f>
        <v>31.21</v>
      </c>
      <c r="H75" s="151">
        <f t="shared" si="40"/>
        <v>105.29</v>
      </c>
      <c r="I75" s="153">
        <f t="shared" si="14"/>
        <v>0</v>
      </c>
      <c r="J75" s="153">
        <f t="shared" si="43"/>
        <v>0</v>
      </c>
      <c r="K75" s="155">
        <f t="shared" si="41"/>
        <v>0</v>
      </c>
      <c r="L75" s="153">
        <f t="shared" si="42"/>
        <v>0</v>
      </c>
      <c r="M75" s="184"/>
      <c r="N75" s="6"/>
    </row>
    <row r="76" spans="1:14" x14ac:dyDescent="0.35">
      <c r="A76" s="152">
        <f t="shared" si="15"/>
        <v>35827</v>
      </c>
      <c r="B76" s="152">
        <f t="shared" si="16"/>
        <v>35854</v>
      </c>
      <c r="C76" s="435"/>
      <c r="D76" s="149" t="s">
        <v>97</v>
      </c>
      <c r="E76" s="149">
        <f t="shared" si="39"/>
        <v>30</v>
      </c>
      <c r="F76" s="153">
        <f>IF(AND(A76&gt;=$F$1,B76&lt;=$F$2),((VLOOKUP(YEAR(B76),'DIF MES'!A$2:E$38,5)*E76)/30),0)</f>
        <v>0</v>
      </c>
      <c r="G76" s="154">
        <f>VLOOKUP(100*YEAR(A76)+MONTH(A76)-1,IPC!A$14:E$861,2)</f>
        <v>31.77</v>
      </c>
      <c r="H76" s="151">
        <f t="shared" si="40"/>
        <v>105.29</v>
      </c>
      <c r="I76" s="153">
        <f t="shared" si="14"/>
        <v>0</v>
      </c>
      <c r="J76" s="153">
        <f t="shared" si="43"/>
        <v>0</v>
      </c>
      <c r="K76" s="155">
        <f t="shared" si="41"/>
        <v>0</v>
      </c>
      <c r="L76" s="153">
        <f t="shared" si="42"/>
        <v>0</v>
      </c>
      <c r="M76" s="184"/>
      <c r="N76" s="6"/>
    </row>
    <row r="77" spans="1:14" x14ac:dyDescent="0.35">
      <c r="A77" s="152">
        <f t="shared" si="15"/>
        <v>35855</v>
      </c>
      <c r="B77" s="152">
        <f t="shared" si="16"/>
        <v>35885</v>
      </c>
      <c r="C77" s="435"/>
      <c r="D77" s="149" t="s">
        <v>98</v>
      </c>
      <c r="E77" s="149">
        <f t="shared" si="39"/>
        <v>30</v>
      </c>
      <c r="F77" s="153">
        <f>IF(AND(A77&gt;=$F$1,B77&lt;=$F$2),((VLOOKUP(YEAR(B77),'DIF MES'!A$2:E$38,5)*E77)/30),0)</f>
        <v>0</v>
      </c>
      <c r="G77" s="154">
        <f>VLOOKUP(100*YEAR(A77)+MONTH(A77)-1,IPC!A$14:E$861,2)</f>
        <v>32.81</v>
      </c>
      <c r="H77" s="151">
        <f t="shared" si="40"/>
        <v>105.29</v>
      </c>
      <c r="I77" s="153">
        <f t="shared" si="14"/>
        <v>0</v>
      </c>
      <c r="J77" s="153">
        <f t="shared" si="43"/>
        <v>0</v>
      </c>
      <c r="K77" s="155">
        <f t="shared" si="41"/>
        <v>0</v>
      </c>
      <c r="L77" s="153">
        <f t="shared" si="42"/>
        <v>0</v>
      </c>
      <c r="M77" s="184"/>
      <c r="N77" s="6"/>
    </row>
    <row r="78" spans="1:14" x14ac:dyDescent="0.35">
      <c r="A78" s="152">
        <f t="shared" si="15"/>
        <v>35886</v>
      </c>
      <c r="B78" s="152">
        <f t="shared" si="16"/>
        <v>35915</v>
      </c>
      <c r="C78" s="435"/>
      <c r="D78" s="149" t="s">
        <v>99</v>
      </c>
      <c r="E78" s="149">
        <f t="shared" si="39"/>
        <v>30</v>
      </c>
      <c r="F78" s="153">
        <f>IF(AND(A78&gt;=$F$1,B78&lt;=$F$2),((VLOOKUP(YEAR(B78),'DIF MES'!A$2:E$38,5)*E78)/30),0)</f>
        <v>0</v>
      </c>
      <c r="G78" s="154">
        <f>VLOOKUP(100*YEAR(A78)+MONTH(A78)-1,IPC!A$14:E$861,2)</f>
        <v>33.67</v>
      </c>
      <c r="H78" s="151">
        <f t="shared" si="40"/>
        <v>105.29</v>
      </c>
      <c r="I78" s="153">
        <f t="shared" si="14"/>
        <v>0</v>
      </c>
      <c r="J78" s="153">
        <f t="shared" si="43"/>
        <v>0</v>
      </c>
      <c r="K78" s="155">
        <f t="shared" si="41"/>
        <v>0</v>
      </c>
      <c r="L78" s="153">
        <f t="shared" si="42"/>
        <v>0</v>
      </c>
      <c r="M78" s="184"/>
      <c r="N78" s="6"/>
    </row>
    <row r="79" spans="1:14" x14ac:dyDescent="0.35">
      <c r="A79" s="152">
        <f t="shared" si="15"/>
        <v>35916</v>
      </c>
      <c r="B79" s="152">
        <f t="shared" si="16"/>
        <v>35946</v>
      </c>
      <c r="C79" s="435"/>
      <c r="D79" s="149" t="s">
        <v>100</v>
      </c>
      <c r="E79" s="149">
        <f t="shared" si="39"/>
        <v>30</v>
      </c>
      <c r="F79" s="153">
        <f>IF(AND(A79&gt;=$F$1,B79&lt;=$F$2),((VLOOKUP(YEAR(B79),'DIF MES'!A$2:E$38,5)*E79)/30),0)</f>
        <v>0</v>
      </c>
      <c r="G79" s="154">
        <f>VLOOKUP(100*YEAR(A79)+MONTH(A79)-1,IPC!A$14:E$861,2)</f>
        <v>34.65</v>
      </c>
      <c r="H79" s="151">
        <f t="shared" si="40"/>
        <v>105.29</v>
      </c>
      <c r="I79" s="153">
        <f t="shared" si="14"/>
        <v>0</v>
      </c>
      <c r="J79" s="153">
        <f t="shared" si="43"/>
        <v>0</v>
      </c>
      <c r="K79" s="155">
        <f t="shared" si="41"/>
        <v>0</v>
      </c>
      <c r="L79" s="153">
        <f t="shared" si="42"/>
        <v>0</v>
      </c>
      <c r="M79" s="184"/>
      <c r="N79" s="6"/>
    </row>
    <row r="80" spans="1:14" x14ac:dyDescent="0.35">
      <c r="A80" s="156">
        <f t="shared" ref="A80" si="48">A81</f>
        <v>35947</v>
      </c>
      <c r="B80" s="156">
        <f t="shared" ref="B80" si="49">B81</f>
        <v>35976</v>
      </c>
      <c r="C80" s="435"/>
      <c r="D80" s="157" t="s">
        <v>101</v>
      </c>
      <c r="E80" s="157">
        <f t="shared" si="39"/>
        <v>30</v>
      </c>
      <c r="F80" s="153">
        <f>IF(AND(A80&gt;=$F$1,B80&lt;=$F$2),((VLOOKUP(YEAR(B80),'DIF MES'!A$2:E$38,5)*E80)/30),0)</f>
        <v>0</v>
      </c>
      <c r="G80" s="158">
        <f>VLOOKUP(100*YEAR(A80)+MONTH(A80)-1,IPC!A$14:E$861,2)</f>
        <v>35.19</v>
      </c>
      <c r="H80" s="159">
        <f t="shared" si="40"/>
        <v>105.29</v>
      </c>
      <c r="I80" s="160">
        <f>F80*(H80/G80)</f>
        <v>0</v>
      </c>
      <c r="J80" s="161">
        <f>+I80-F80</f>
        <v>0</v>
      </c>
      <c r="K80" s="162">
        <f>IF(D80="adicional", 0, +I80*0.12)</f>
        <v>0</v>
      </c>
      <c r="L80" s="161">
        <f>+I80-K80</f>
        <v>0</v>
      </c>
      <c r="M80" s="184"/>
      <c r="N80" s="6"/>
    </row>
    <row r="81" spans="1:14" x14ac:dyDescent="0.35">
      <c r="A81" s="152">
        <f t="shared" ref="A81" si="50">IF(
AND(YEAR(B79)=YEAR(DATE(YEAR($F$1),MONTH($F$1)-1,1)),
MONTH(B79)=MONTH(DATE(YEAR($F$1),MONTH($F$1)-1,1))),
$F$1,
DATE(YEAR(B79),MONTH(B79)+1,1))</f>
        <v>35947</v>
      </c>
      <c r="B81" s="152">
        <f t="shared" ref="B81" si="51">IF(
AND(
YEAR(B79)=YEAR(DATE(YEAR($F$2),MONTH($F$2)-1,1)),
MONTH(B79)=MONTH(DATE(YEAR($F$2),MONTH($F$2)-1,1))
),
$F$2,
EOMONTH(B79,1)
)</f>
        <v>35976</v>
      </c>
      <c r="C81" s="435"/>
      <c r="D81" s="149" t="s">
        <v>102</v>
      </c>
      <c r="E81" s="149">
        <f t="shared" si="39"/>
        <v>30</v>
      </c>
      <c r="F81" s="153">
        <f>IF(AND(A81&gt;=$F$1,B81&lt;=$F$2),((VLOOKUP(YEAR(B81),'DIF MES'!A$2:E$38,5)*E81)/30),0)</f>
        <v>0</v>
      </c>
      <c r="G81" s="154">
        <f>VLOOKUP(100*YEAR(A81)+MONTH(A81)-1,IPC!A$14:E$861,2)</f>
        <v>35.19</v>
      </c>
      <c r="H81" s="151">
        <f t="shared" si="40"/>
        <v>105.29</v>
      </c>
      <c r="I81" s="153">
        <f>F81*(H81/G81)</f>
        <v>0</v>
      </c>
      <c r="J81" s="153">
        <f>+I81-F81</f>
        <v>0</v>
      </c>
      <c r="K81" s="155">
        <f>IF(D81="adicional", 0, +I81*0.12)</f>
        <v>0</v>
      </c>
      <c r="L81" s="153">
        <f>+I81-K81</f>
        <v>0</v>
      </c>
      <c r="M81" s="184"/>
      <c r="N81" s="6"/>
    </row>
    <row r="82" spans="1:14" x14ac:dyDescent="0.35">
      <c r="A82" s="152">
        <f t="shared" si="21"/>
        <v>35977</v>
      </c>
      <c r="B82" s="152">
        <f t="shared" si="22"/>
        <v>36007</v>
      </c>
      <c r="C82" s="435"/>
      <c r="D82" s="149" t="s">
        <v>103</v>
      </c>
      <c r="E82" s="149">
        <f t="shared" si="39"/>
        <v>30</v>
      </c>
      <c r="F82" s="153">
        <f>IF(AND(A82&gt;=$F$1,B82&lt;=$F$2),((VLOOKUP(YEAR(B82),'DIF MES'!A$2:E$38,5)*E82)/30),0)</f>
        <v>0</v>
      </c>
      <c r="G82" s="154">
        <f>VLOOKUP(100*YEAR(A82)+MONTH(A82)-1,IPC!A$14:E$861,2)</f>
        <v>35.619999999999997</v>
      </c>
      <c r="H82" s="151">
        <f t="shared" si="40"/>
        <v>105.29</v>
      </c>
      <c r="I82" s="153">
        <f t="shared" si="14"/>
        <v>0</v>
      </c>
      <c r="J82" s="153">
        <f t="shared" si="43"/>
        <v>0</v>
      </c>
      <c r="K82" s="155">
        <f t="shared" si="41"/>
        <v>0</v>
      </c>
      <c r="L82" s="153">
        <f t="shared" si="42"/>
        <v>0</v>
      </c>
      <c r="M82" s="184"/>
      <c r="N82" s="6"/>
    </row>
    <row r="83" spans="1:14" x14ac:dyDescent="0.35">
      <c r="A83" s="152">
        <f t="shared" si="21"/>
        <v>36008</v>
      </c>
      <c r="B83" s="152">
        <f t="shared" si="22"/>
        <v>36038</v>
      </c>
      <c r="C83" s="435"/>
      <c r="D83" s="149" t="s">
        <v>104</v>
      </c>
      <c r="E83" s="149">
        <f t="shared" si="39"/>
        <v>30</v>
      </c>
      <c r="F83" s="153">
        <f>IF(AND(A83&gt;=$F$1,B83&lt;=$F$2),((VLOOKUP(YEAR(B83),'DIF MES'!A$2:E$38,5)*E83)/30),0)</f>
        <v>0</v>
      </c>
      <c r="G83" s="154">
        <f>VLOOKUP(100*YEAR(A83)+MONTH(A83)-1,IPC!A$14:E$861,2)</f>
        <v>35.79</v>
      </c>
      <c r="H83" s="151">
        <f t="shared" si="40"/>
        <v>105.29</v>
      </c>
      <c r="I83" s="153">
        <f t="shared" si="14"/>
        <v>0</v>
      </c>
      <c r="J83" s="153">
        <f t="shared" si="43"/>
        <v>0</v>
      </c>
      <c r="K83" s="155">
        <f t="shared" si="41"/>
        <v>0</v>
      </c>
      <c r="L83" s="153">
        <f t="shared" si="42"/>
        <v>0</v>
      </c>
      <c r="M83" s="184"/>
      <c r="N83" s="6"/>
    </row>
    <row r="84" spans="1:14" ht="20" x14ac:dyDescent="0.35">
      <c r="A84" s="152">
        <f t="shared" si="21"/>
        <v>36039</v>
      </c>
      <c r="B84" s="152">
        <f t="shared" si="22"/>
        <v>36068</v>
      </c>
      <c r="C84" s="435"/>
      <c r="D84" s="149" t="s">
        <v>105</v>
      </c>
      <c r="E84" s="149">
        <f t="shared" si="39"/>
        <v>30</v>
      </c>
      <c r="F84" s="153">
        <f>IF(AND(A84&gt;=$F$1,B84&lt;=$F$2),((VLOOKUP(YEAR(B84),'DIF MES'!A$2:E$38,5)*E84)/30),0)</f>
        <v>0</v>
      </c>
      <c r="G84" s="154">
        <f>VLOOKUP(100*YEAR(A84)+MONTH(A84)-1,IPC!A$14:E$861,2)</f>
        <v>35.799999999999997</v>
      </c>
      <c r="H84" s="151">
        <f t="shared" si="40"/>
        <v>105.29</v>
      </c>
      <c r="I84" s="153">
        <f t="shared" si="14"/>
        <v>0</v>
      </c>
      <c r="J84" s="153">
        <f t="shared" si="43"/>
        <v>0</v>
      </c>
      <c r="K84" s="155">
        <f t="shared" si="41"/>
        <v>0</v>
      </c>
      <c r="L84" s="153">
        <f t="shared" si="42"/>
        <v>0</v>
      </c>
      <c r="M84" s="184"/>
      <c r="N84" s="6"/>
    </row>
    <row r="85" spans="1:14" x14ac:dyDescent="0.35">
      <c r="A85" s="152">
        <f t="shared" si="21"/>
        <v>36069</v>
      </c>
      <c r="B85" s="152">
        <f t="shared" si="22"/>
        <v>36099</v>
      </c>
      <c r="C85" s="435"/>
      <c r="D85" s="149" t="s">
        <v>106</v>
      </c>
      <c r="E85" s="149">
        <f t="shared" si="39"/>
        <v>30</v>
      </c>
      <c r="F85" s="153">
        <f>IF(AND(A85&gt;=$F$1,B85&lt;=$F$2),((VLOOKUP(YEAR(B85),'DIF MES'!A$2:E$38,5)*E85)/30),0)</f>
        <v>0</v>
      </c>
      <c r="G85" s="154">
        <f>VLOOKUP(100*YEAR(A85)+MONTH(A85)-1,IPC!A$14:E$861,2)</f>
        <v>35.9</v>
      </c>
      <c r="H85" s="151">
        <f t="shared" si="40"/>
        <v>105.29</v>
      </c>
      <c r="I85" s="153">
        <f t="shared" si="14"/>
        <v>0</v>
      </c>
      <c r="J85" s="153">
        <f t="shared" si="43"/>
        <v>0</v>
      </c>
      <c r="K85" s="155">
        <f t="shared" si="41"/>
        <v>0</v>
      </c>
      <c r="L85" s="153">
        <f t="shared" si="42"/>
        <v>0</v>
      </c>
      <c r="M85" s="184"/>
      <c r="N85" s="6"/>
    </row>
    <row r="86" spans="1:14" x14ac:dyDescent="0.35">
      <c r="A86" s="152">
        <f t="shared" si="21"/>
        <v>36100</v>
      </c>
      <c r="B86" s="152">
        <f t="shared" si="22"/>
        <v>36129</v>
      </c>
      <c r="C86" s="435"/>
      <c r="D86" s="149" t="s">
        <v>107</v>
      </c>
      <c r="E86" s="149">
        <f t="shared" si="39"/>
        <v>30</v>
      </c>
      <c r="F86" s="153">
        <f>IF(AND(A86&gt;=$F$1,B86&lt;=$F$2),((VLOOKUP(YEAR(B86),'DIF MES'!A$2:E$38,5)*E86)/30),0)</f>
        <v>0</v>
      </c>
      <c r="G86" s="154">
        <f>VLOOKUP(100*YEAR(A86)+MONTH(A86)-1,IPC!A$14:E$861,2)</f>
        <v>36.03</v>
      </c>
      <c r="H86" s="151">
        <f t="shared" si="40"/>
        <v>105.29</v>
      </c>
      <c r="I86" s="153">
        <f t="shared" si="14"/>
        <v>0</v>
      </c>
      <c r="J86" s="153">
        <f t="shared" si="43"/>
        <v>0</v>
      </c>
      <c r="K86" s="155">
        <f t="shared" si="41"/>
        <v>0</v>
      </c>
      <c r="L86" s="153">
        <f t="shared" si="42"/>
        <v>0</v>
      </c>
      <c r="M86" s="184"/>
      <c r="N86" s="6"/>
    </row>
    <row r="87" spans="1:14" x14ac:dyDescent="0.35">
      <c r="A87" s="156">
        <f t="shared" ref="A87" si="52">A86</f>
        <v>36100</v>
      </c>
      <c r="B87" s="156">
        <f t="shared" ref="B87" si="53">B86</f>
        <v>36129</v>
      </c>
      <c r="C87" s="435"/>
      <c r="D87" s="157" t="s">
        <v>101</v>
      </c>
      <c r="E87" s="157">
        <f t="shared" si="39"/>
        <v>30</v>
      </c>
      <c r="F87" s="153">
        <f>IF(AND(A87&gt;=$F$1,B87&lt;=$F$2),((VLOOKUP(YEAR(B87),'DIF MES'!A$2:E$38,5)*E87)/30),0)</f>
        <v>0</v>
      </c>
      <c r="G87" s="158">
        <f>VLOOKUP(100*YEAR(A87)+MONTH(A87)-1,IPC!A$14:E$861,2)</f>
        <v>36.03</v>
      </c>
      <c r="H87" s="159">
        <f t="shared" si="40"/>
        <v>105.29</v>
      </c>
      <c r="I87" s="161">
        <f t="shared" si="14"/>
        <v>0</v>
      </c>
      <c r="J87" s="161">
        <f t="shared" si="43"/>
        <v>0</v>
      </c>
      <c r="K87" s="162">
        <f t="shared" si="41"/>
        <v>0</v>
      </c>
      <c r="L87" s="161">
        <f t="shared" si="42"/>
        <v>0</v>
      </c>
      <c r="M87" s="184"/>
      <c r="N87" s="6"/>
    </row>
    <row r="88" spans="1:14" x14ac:dyDescent="0.35">
      <c r="A88" s="152">
        <f t="shared" ref="A88" si="54">IF(
AND(YEAR(B86)=YEAR(DATE(YEAR($F$1),MONTH($F$1)-1,1)),
MONTH(B86)=MONTH(DATE(YEAR($F$1),MONTH($F$1)-1,1))),
$F$1,
DATE(YEAR(B86),MONTH(B86)+1,1))</f>
        <v>36130</v>
      </c>
      <c r="B88" s="152">
        <f t="shared" ref="B88" si="55">IF(
AND(
YEAR(B86)=YEAR(DATE(YEAR($F$2),MONTH($F$2)-1,1)),
MONTH(B86)=MONTH(DATE(YEAR($F$2),MONTH($F$2)-1,1))
),
$F$2,
EOMONTH(B86,1)
)</f>
        <v>36160</v>
      </c>
      <c r="C88" s="436"/>
      <c r="D88" s="149" t="s">
        <v>108</v>
      </c>
      <c r="E88" s="149">
        <f t="shared" si="39"/>
        <v>30</v>
      </c>
      <c r="F88" s="153">
        <f>IF(AND(A88&gt;=$F$1,B88&lt;=$F$2),((VLOOKUP(YEAR(B88),'DIF MES'!A$2:E$38,5)*E88)/30),0)</f>
        <v>0</v>
      </c>
      <c r="G88" s="154">
        <f>VLOOKUP(100*YEAR(A88)+MONTH(A88)-1,IPC!A$14:E$861,2)</f>
        <v>36.1</v>
      </c>
      <c r="H88" s="151">
        <f t="shared" si="40"/>
        <v>105.29</v>
      </c>
      <c r="I88" s="153">
        <f t="shared" si="14"/>
        <v>0</v>
      </c>
      <c r="J88" s="153">
        <f t="shared" si="43"/>
        <v>0</v>
      </c>
      <c r="K88" s="155">
        <f t="shared" si="41"/>
        <v>0</v>
      </c>
      <c r="L88" s="153">
        <f t="shared" si="42"/>
        <v>0</v>
      </c>
      <c r="M88" s="184"/>
      <c r="N88" s="6"/>
    </row>
    <row r="89" spans="1:14" x14ac:dyDescent="0.35">
      <c r="A89" s="152">
        <f t="shared" si="15"/>
        <v>36161</v>
      </c>
      <c r="B89" s="152">
        <f t="shared" si="16"/>
        <v>36191</v>
      </c>
      <c r="C89" s="434">
        <v>1999</v>
      </c>
      <c r="D89" s="149" t="s">
        <v>96</v>
      </c>
      <c r="E89" s="149">
        <f t="shared" si="39"/>
        <v>30</v>
      </c>
      <c r="F89" s="153">
        <f>IF(AND(A89&gt;=$F$1,B89&lt;=$F$2),((VLOOKUP(YEAR(B89),'DIF MES'!A$2:E$38,5)*E89)/30),0)</f>
        <v>0</v>
      </c>
      <c r="G89" s="154">
        <f>VLOOKUP(100*YEAR(A89)+MONTH(A89)-1,IPC!A$14:E$861,2)</f>
        <v>36.42</v>
      </c>
      <c r="H89" s="151">
        <f t="shared" si="40"/>
        <v>105.29</v>
      </c>
      <c r="I89" s="153">
        <f t="shared" si="14"/>
        <v>0</v>
      </c>
      <c r="J89" s="153">
        <f t="shared" si="43"/>
        <v>0</v>
      </c>
      <c r="K89" s="155">
        <f t="shared" si="41"/>
        <v>0</v>
      </c>
      <c r="L89" s="153">
        <f t="shared" si="42"/>
        <v>0</v>
      </c>
      <c r="M89" s="184"/>
      <c r="N89" s="6"/>
    </row>
    <row r="90" spans="1:14" x14ac:dyDescent="0.35">
      <c r="A90" s="152">
        <f t="shared" si="15"/>
        <v>36192</v>
      </c>
      <c r="B90" s="152">
        <f t="shared" si="16"/>
        <v>36219</v>
      </c>
      <c r="C90" s="435"/>
      <c r="D90" s="149" t="s">
        <v>97</v>
      </c>
      <c r="E90" s="149">
        <f t="shared" si="39"/>
        <v>30</v>
      </c>
      <c r="F90" s="153">
        <f>IF(AND(A90&gt;=$F$1,B90&lt;=$F$2),((VLOOKUP(YEAR(B90),'DIF MES'!A$2:E$38,5)*E90)/30),0)</f>
        <v>0</v>
      </c>
      <c r="G90" s="154">
        <f>VLOOKUP(100*YEAR(A90)+MONTH(A90)-1,IPC!A$14:E$861,2)</f>
        <v>37.229999999999997</v>
      </c>
      <c r="H90" s="151">
        <f t="shared" si="40"/>
        <v>105.29</v>
      </c>
      <c r="I90" s="153">
        <f t="shared" ref="I90:I153" si="56">F90*(H90/G90)</f>
        <v>0</v>
      </c>
      <c r="J90" s="153">
        <f t="shared" si="43"/>
        <v>0</v>
      </c>
      <c r="K90" s="155">
        <f t="shared" si="41"/>
        <v>0</v>
      </c>
      <c r="L90" s="153">
        <f t="shared" si="42"/>
        <v>0</v>
      </c>
      <c r="M90" s="184"/>
      <c r="N90" s="6"/>
    </row>
    <row r="91" spans="1:14" x14ac:dyDescent="0.35">
      <c r="A91" s="152">
        <f t="shared" si="15"/>
        <v>36220</v>
      </c>
      <c r="B91" s="152">
        <f t="shared" si="16"/>
        <v>36250</v>
      </c>
      <c r="C91" s="435"/>
      <c r="D91" s="149" t="s">
        <v>98</v>
      </c>
      <c r="E91" s="149">
        <f t="shared" si="39"/>
        <v>30</v>
      </c>
      <c r="F91" s="153">
        <f>IF(AND(A91&gt;=$F$1,B91&lt;=$F$2),((VLOOKUP(YEAR(B91),'DIF MES'!A$2:E$38,5)*E91)/30),0)</f>
        <v>0</v>
      </c>
      <c r="G91" s="154">
        <f>VLOOKUP(100*YEAR(A91)+MONTH(A91)-1,IPC!A$14:E$861,2)</f>
        <v>37.86</v>
      </c>
      <c r="H91" s="151">
        <f t="shared" si="40"/>
        <v>105.29</v>
      </c>
      <c r="I91" s="153">
        <f t="shared" si="56"/>
        <v>0</v>
      </c>
      <c r="J91" s="153">
        <f t="shared" si="43"/>
        <v>0</v>
      </c>
      <c r="K91" s="155">
        <f t="shared" si="41"/>
        <v>0</v>
      </c>
      <c r="L91" s="153">
        <f t="shared" si="42"/>
        <v>0</v>
      </c>
      <c r="M91" s="184"/>
      <c r="N91" s="6"/>
    </row>
    <row r="92" spans="1:14" x14ac:dyDescent="0.35">
      <c r="A92" s="152">
        <f t="shared" si="15"/>
        <v>36251</v>
      </c>
      <c r="B92" s="152">
        <f t="shared" si="16"/>
        <v>36280</v>
      </c>
      <c r="C92" s="435"/>
      <c r="D92" s="149" t="s">
        <v>99</v>
      </c>
      <c r="E92" s="149">
        <f t="shared" si="39"/>
        <v>30</v>
      </c>
      <c r="F92" s="153">
        <f>IF(AND(A92&gt;=$F$1,B92&lt;=$F$2),((VLOOKUP(YEAR(B92),'DIF MES'!A$2:E$38,5)*E92)/30),0)</f>
        <v>0</v>
      </c>
      <c r="G92" s="154">
        <f>VLOOKUP(100*YEAR(A92)+MONTH(A92)-1,IPC!A$14:E$861,2)</f>
        <v>38.22</v>
      </c>
      <c r="H92" s="151">
        <f t="shared" si="40"/>
        <v>105.29</v>
      </c>
      <c r="I92" s="153">
        <f t="shared" si="56"/>
        <v>0</v>
      </c>
      <c r="J92" s="153">
        <f t="shared" si="43"/>
        <v>0</v>
      </c>
      <c r="K92" s="155">
        <f t="shared" si="41"/>
        <v>0</v>
      </c>
      <c r="L92" s="153">
        <f t="shared" si="42"/>
        <v>0</v>
      </c>
      <c r="M92" s="184"/>
      <c r="N92" s="6"/>
    </row>
    <row r="93" spans="1:14" x14ac:dyDescent="0.35">
      <c r="A93" s="152">
        <f t="shared" si="15"/>
        <v>36281</v>
      </c>
      <c r="B93" s="152">
        <f t="shared" si="16"/>
        <v>36311</v>
      </c>
      <c r="C93" s="435"/>
      <c r="D93" s="149" t="s">
        <v>100</v>
      </c>
      <c r="E93" s="149">
        <f t="shared" si="39"/>
        <v>30</v>
      </c>
      <c r="F93" s="153">
        <f>IF(AND(A93&gt;=$F$1,B93&lt;=$F$2),((VLOOKUP(YEAR(B93),'DIF MES'!A$2:E$38,5)*E93)/30),0)</f>
        <v>0</v>
      </c>
      <c r="G93" s="154">
        <f>VLOOKUP(100*YEAR(A93)+MONTH(A93)-1,IPC!A$14:E$861,2)</f>
        <v>38.520000000000003</v>
      </c>
      <c r="H93" s="151">
        <f t="shared" si="40"/>
        <v>105.29</v>
      </c>
      <c r="I93" s="153">
        <f t="shared" si="56"/>
        <v>0</v>
      </c>
      <c r="J93" s="153">
        <f t="shared" si="43"/>
        <v>0</v>
      </c>
      <c r="K93" s="155">
        <f t="shared" si="41"/>
        <v>0</v>
      </c>
      <c r="L93" s="153">
        <f t="shared" si="42"/>
        <v>0</v>
      </c>
      <c r="M93" s="184"/>
      <c r="N93" s="6"/>
    </row>
    <row r="94" spans="1:14" x14ac:dyDescent="0.35">
      <c r="A94" s="156">
        <f t="shared" ref="A94" si="57">A95</f>
        <v>36312</v>
      </c>
      <c r="B94" s="156">
        <f t="shared" ref="B94" si="58">B95</f>
        <v>36341</v>
      </c>
      <c r="C94" s="435"/>
      <c r="D94" s="157" t="s">
        <v>101</v>
      </c>
      <c r="E94" s="157">
        <f t="shared" si="39"/>
        <v>30</v>
      </c>
      <c r="F94" s="153">
        <f>IF(AND(A94&gt;=$F$1,B94&lt;=$F$2),((VLOOKUP(YEAR(B94),'DIF MES'!A$2:E$38,5)*E94)/30),0)</f>
        <v>0</v>
      </c>
      <c r="G94" s="158">
        <f>VLOOKUP(100*YEAR(A94)+MONTH(A94)-1,IPC!A$14:E$861,2)</f>
        <v>38.700000000000003</v>
      </c>
      <c r="H94" s="159">
        <f t="shared" si="40"/>
        <v>105.29</v>
      </c>
      <c r="I94" s="160">
        <f>F94*(H94/G94)</f>
        <v>0</v>
      </c>
      <c r="J94" s="161">
        <f>+I94-F94</f>
        <v>0</v>
      </c>
      <c r="K94" s="162">
        <f>IF(D94="adicional", 0, +I94*0.12)</f>
        <v>0</v>
      </c>
      <c r="L94" s="161">
        <f>+I94-K94</f>
        <v>0</v>
      </c>
      <c r="M94" s="184"/>
      <c r="N94" s="6"/>
    </row>
    <row r="95" spans="1:14" x14ac:dyDescent="0.35">
      <c r="A95" s="152">
        <f t="shared" ref="A95" si="59">IF(
AND(YEAR(B93)=YEAR(DATE(YEAR($F$1),MONTH($F$1)-1,1)),
MONTH(B93)=MONTH(DATE(YEAR($F$1),MONTH($F$1)-1,1))),
$F$1,
DATE(YEAR(B93),MONTH(B93)+1,1))</f>
        <v>36312</v>
      </c>
      <c r="B95" s="152">
        <f t="shared" ref="B95" si="60">IF(
AND(
YEAR(B93)=YEAR(DATE(YEAR($F$2),MONTH($F$2)-1,1)),
MONTH(B93)=MONTH(DATE(YEAR($F$2),MONTH($F$2)-1,1))
),
$F$2,
EOMONTH(B93,1)
)</f>
        <v>36341</v>
      </c>
      <c r="C95" s="435"/>
      <c r="D95" s="149" t="s">
        <v>102</v>
      </c>
      <c r="E95" s="149">
        <f t="shared" si="39"/>
        <v>30</v>
      </c>
      <c r="F95" s="153">
        <f>IF(AND(A95&gt;=$F$1,B95&lt;=$F$2),((VLOOKUP(YEAR(B95),'DIF MES'!A$2:E$38,5)*E95)/30),0)</f>
        <v>0</v>
      </c>
      <c r="G95" s="154">
        <f>VLOOKUP(100*YEAR(A95)+MONTH(A95)-1,IPC!A$14:E$861,2)</f>
        <v>38.700000000000003</v>
      </c>
      <c r="H95" s="151">
        <f t="shared" si="40"/>
        <v>105.29</v>
      </c>
      <c r="I95" s="153">
        <f>F95*(H95/G95)</f>
        <v>0</v>
      </c>
      <c r="J95" s="153">
        <f>+I95-F95</f>
        <v>0</v>
      </c>
      <c r="K95" s="155">
        <f>IF(D95="adicional", 0, +I95*0.12)</f>
        <v>0</v>
      </c>
      <c r="L95" s="153">
        <f>+I95-K95</f>
        <v>0</v>
      </c>
      <c r="M95" s="184"/>
      <c r="N95" s="6"/>
    </row>
    <row r="96" spans="1:14" x14ac:dyDescent="0.35">
      <c r="A96" s="152">
        <f t="shared" si="21"/>
        <v>36342</v>
      </c>
      <c r="B96" s="152">
        <f t="shared" si="22"/>
        <v>36372</v>
      </c>
      <c r="C96" s="435"/>
      <c r="D96" s="149" t="s">
        <v>103</v>
      </c>
      <c r="E96" s="149">
        <f t="shared" si="39"/>
        <v>30</v>
      </c>
      <c r="F96" s="153">
        <f>IF(AND(A96&gt;=$F$1,B96&lt;=$F$2),((VLOOKUP(YEAR(B96),'DIF MES'!A$2:E$38,5)*E96)/30),0)</f>
        <v>0</v>
      </c>
      <c r="G96" s="154">
        <f>VLOOKUP(100*YEAR(A96)+MONTH(A96)-1,IPC!A$14:E$861,2)</f>
        <v>38.81</v>
      </c>
      <c r="H96" s="151">
        <f t="shared" si="40"/>
        <v>105.29</v>
      </c>
      <c r="I96" s="153">
        <f t="shared" si="56"/>
        <v>0</v>
      </c>
      <c r="J96" s="153">
        <f t="shared" si="43"/>
        <v>0</v>
      </c>
      <c r="K96" s="155">
        <f t="shared" si="41"/>
        <v>0</v>
      </c>
      <c r="L96" s="153">
        <f t="shared" si="42"/>
        <v>0</v>
      </c>
      <c r="M96" s="184"/>
      <c r="N96" s="6"/>
    </row>
    <row r="97" spans="1:14" x14ac:dyDescent="0.35">
      <c r="A97" s="152">
        <f t="shared" si="21"/>
        <v>36373</v>
      </c>
      <c r="B97" s="152">
        <f t="shared" si="22"/>
        <v>36403</v>
      </c>
      <c r="C97" s="435"/>
      <c r="D97" s="149" t="s">
        <v>104</v>
      </c>
      <c r="E97" s="149">
        <f t="shared" si="39"/>
        <v>30</v>
      </c>
      <c r="F97" s="153">
        <f>IF(AND(A97&gt;=$F$1,B97&lt;=$F$2),((VLOOKUP(YEAR(B97),'DIF MES'!A$2:E$38,5)*E97)/30),0)</f>
        <v>0</v>
      </c>
      <c r="G97" s="154">
        <f>VLOOKUP(100*YEAR(A97)+MONTH(A97)-1,IPC!A$14:E$861,2)</f>
        <v>38.93</v>
      </c>
      <c r="H97" s="151">
        <f t="shared" si="40"/>
        <v>105.29</v>
      </c>
      <c r="I97" s="153">
        <f t="shared" si="56"/>
        <v>0</v>
      </c>
      <c r="J97" s="153">
        <f t="shared" si="43"/>
        <v>0</v>
      </c>
      <c r="K97" s="155">
        <f t="shared" si="41"/>
        <v>0</v>
      </c>
      <c r="L97" s="153">
        <f t="shared" si="42"/>
        <v>0</v>
      </c>
      <c r="M97" s="184"/>
      <c r="N97" s="6"/>
    </row>
    <row r="98" spans="1:14" ht="20" x14ac:dyDescent="0.35">
      <c r="A98" s="152">
        <f t="shared" si="21"/>
        <v>36404</v>
      </c>
      <c r="B98" s="152">
        <f t="shared" si="22"/>
        <v>36433</v>
      </c>
      <c r="C98" s="435"/>
      <c r="D98" s="149" t="s">
        <v>105</v>
      </c>
      <c r="E98" s="149">
        <f t="shared" si="39"/>
        <v>30</v>
      </c>
      <c r="F98" s="153">
        <f>IF(AND(A98&gt;=$F$1,B98&lt;=$F$2),((VLOOKUP(YEAR(B98),'DIF MES'!A$2:E$38,5)*E98)/30),0)</f>
        <v>0</v>
      </c>
      <c r="G98" s="154">
        <f>VLOOKUP(100*YEAR(A98)+MONTH(A98)-1,IPC!A$14:E$861,2)</f>
        <v>39.119999999999997</v>
      </c>
      <c r="H98" s="151">
        <f t="shared" si="40"/>
        <v>105.29</v>
      </c>
      <c r="I98" s="153">
        <f t="shared" si="56"/>
        <v>0</v>
      </c>
      <c r="J98" s="153">
        <f t="shared" si="43"/>
        <v>0</v>
      </c>
      <c r="K98" s="155">
        <f t="shared" si="41"/>
        <v>0</v>
      </c>
      <c r="L98" s="153">
        <f t="shared" si="42"/>
        <v>0</v>
      </c>
      <c r="M98" s="184"/>
      <c r="N98" s="6"/>
    </row>
    <row r="99" spans="1:14" x14ac:dyDescent="0.35">
      <c r="A99" s="152">
        <f t="shared" si="21"/>
        <v>36434</v>
      </c>
      <c r="B99" s="152">
        <f t="shared" si="22"/>
        <v>36464</v>
      </c>
      <c r="C99" s="435"/>
      <c r="D99" s="149" t="s">
        <v>106</v>
      </c>
      <c r="E99" s="149">
        <f t="shared" si="39"/>
        <v>30</v>
      </c>
      <c r="F99" s="153">
        <f>IF(AND(A99&gt;=$F$1,B99&lt;=$F$2),((VLOOKUP(YEAR(B99),'DIF MES'!A$2:E$38,5)*E99)/30),0)</f>
        <v>0</v>
      </c>
      <c r="G99" s="154">
        <f>VLOOKUP(100*YEAR(A99)+MONTH(A99)-1,IPC!A$14:E$861,2)</f>
        <v>39.25</v>
      </c>
      <c r="H99" s="151">
        <f t="shared" si="40"/>
        <v>105.29</v>
      </c>
      <c r="I99" s="153">
        <f t="shared" si="56"/>
        <v>0</v>
      </c>
      <c r="J99" s="153">
        <f t="shared" si="43"/>
        <v>0</v>
      </c>
      <c r="K99" s="155">
        <f t="shared" si="41"/>
        <v>0</v>
      </c>
      <c r="L99" s="153">
        <f t="shared" si="42"/>
        <v>0</v>
      </c>
      <c r="M99" s="184"/>
      <c r="N99" s="6"/>
    </row>
    <row r="100" spans="1:14" x14ac:dyDescent="0.35">
      <c r="A100" s="152">
        <f t="shared" si="21"/>
        <v>36465</v>
      </c>
      <c r="B100" s="152">
        <f t="shared" si="22"/>
        <v>36494</v>
      </c>
      <c r="C100" s="435"/>
      <c r="D100" s="149" t="s">
        <v>107</v>
      </c>
      <c r="E100" s="149">
        <f t="shared" si="39"/>
        <v>30</v>
      </c>
      <c r="F100" s="153">
        <f>IF(AND(A100&gt;=$F$1,B100&lt;=$F$2),((VLOOKUP(YEAR(B100),'DIF MES'!A$2:E$38,5)*E100)/30),0)</f>
        <v>0</v>
      </c>
      <c r="G100" s="154">
        <f>VLOOKUP(100*YEAR(A100)+MONTH(A100)-1,IPC!A$14:E$861,2)</f>
        <v>39.39</v>
      </c>
      <c r="H100" s="151">
        <f t="shared" si="40"/>
        <v>105.29</v>
      </c>
      <c r="I100" s="153">
        <f t="shared" si="56"/>
        <v>0</v>
      </c>
      <c r="J100" s="153">
        <f t="shared" si="43"/>
        <v>0</v>
      </c>
      <c r="K100" s="155">
        <f t="shared" si="41"/>
        <v>0</v>
      </c>
      <c r="L100" s="153">
        <f t="shared" si="42"/>
        <v>0</v>
      </c>
      <c r="M100" s="184"/>
      <c r="N100" s="6"/>
    </row>
    <row r="101" spans="1:14" x14ac:dyDescent="0.35">
      <c r="A101" s="156">
        <f t="shared" ref="A101" si="61">A100</f>
        <v>36465</v>
      </c>
      <c r="B101" s="156">
        <f t="shared" ref="B101" si="62">B100</f>
        <v>36494</v>
      </c>
      <c r="C101" s="435"/>
      <c r="D101" s="157" t="s">
        <v>101</v>
      </c>
      <c r="E101" s="157">
        <f t="shared" si="39"/>
        <v>30</v>
      </c>
      <c r="F101" s="153">
        <f>IF(AND(A101&gt;=$F$1,B101&lt;=$F$2),((VLOOKUP(YEAR(B101),'DIF MES'!A$2:E$38,5)*E101)/30),0)</f>
        <v>0</v>
      </c>
      <c r="G101" s="158">
        <f>VLOOKUP(100*YEAR(A101)+MONTH(A101)-1,IPC!A$14:E$861,2)</f>
        <v>39.39</v>
      </c>
      <c r="H101" s="159">
        <f t="shared" si="40"/>
        <v>105.29</v>
      </c>
      <c r="I101" s="161">
        <f t="shared" si="56"/>
        <v>0</v>
      </c>
      <c r="J101" s="161">
        <f t="shared" si="43"/>
        <v>0</v>
      </c>
      <c r="K101" s="162">
        <f t="shared" si="41"/>
        <v>0</v>
      </c>
      <c r="L101" s="161">
        <f t="shared" si="42"/>
        <v>0</v>
      </c>
      <c r="M101" s="184"/>
      <c r="N101" s="6"/>
    </row>
    <row r="102" spans="1:14" x14ac:dyDescent="0.35">
      <c r="A102" s="152">
        <f t="shared" ref="A102" si="63">IF(
AND(YEAR(B100)=YEAR(DATE(YEAR($F$1),MONTH($F$1)-1,1)),
MONTH(B100)=MONTH(DATE(YEAR($F$1),MONTH($F$1)-1,1))),
$F$1,
DATE(YEAR(B100),MONTH(B100)+1,1))</f>
        <v>36495</v>
      </c>
      <c r="B102" s="152">
        <f t="shared" ref="B102" si="64">IF(
AND(
YEAR(B100)=YEAR(DATE(YEAR($F$2),MONTH($F$2)-1,1)),
MONTH(B100)=MONTH(DATE(YEAR($F$2),MONTH($F$2)-1,1))
),
$F$2,
EOMONTH(B100,1)
)</f>
        <v>36525</v>
      </c>
      <c r="C102" s="436"/>
      <c r="D102" s="149" t="s">
        <v>108</v>
      </c>
      <c r="E102" s="149">
        <f t="shared" si="39"/>
        <v>30</v>
      </c>
      <c r="F102" s="153">
        <f>IF(AND(A102&gt;=$F$1,B102&lt;=$F$2),((VLOOKUP(YEAR(B102),'DIF MES'!A$2:E$38,5)*E102)/30),0)</f>
        <v>0</v>
      </c>
      <c r="G102" s="154">
        <f>VLOOKUP(100*YEAR(A102)+MONTH(A102)-1,IPC!A$14:E$861,2)</f>
        <v>39.58</v>
      </c>
      <c r="H102" s="151">
        <f t="shared" si="40"/>
        <v>105.29</v>
      </c>
      <c r="I102" s="153">
        <f t="shared" si="56"/>
        <v>0</v>
      </c>
      <c r="J102" s="153">
        <f t="shared" si="43"/>
        <v>0</v>
      </c>
      <c r="K102" s="155">
        <f t="shared" si="41"/>
        <v>0</v>
      </c>
      <c r="L102" s="153">
        <f t="shared" si="42"/>
        <v>0</v>
      </c>
      <c r="M102" s="184"/>
      <c r="N102" s="6"/>
    </row>
    <row r="103" spans="1:14" x14ac:dyDescent="0.35">
      <c r="A103" s="152">
        <f t="shared" ref="A103:A163" si="65">IF(
AND(YEAR(B102)=YEAR(DATE(YEAR($F$1),MONTH($F$1)-1,1)),
MONTH(B102)=MONTH(DATE(YEAR($F$1),MONTH($F$1)-1,1))),
$F$1,
DATE(YEAR(B102),MONTH(B102)+1,1))</f>
        <v>36526</v>
      </c>
      <c r="B103" s="152">
        <f t="shared" ref="B103:B163" si="66">IF(
AND(
YEAR(B102)=YEAR(DATE(YEAR($F$2),MONTH($F$2)-1,1)),
MONTH(B102)=MONTH(DATE(YEAR($F$2),MONTH($F$2)-1,1))
),
$F$2,
EOMONTH(B102,1)
)</f>
        <v>36556</v>
      </c>
      <c r="C103" s="434">
        <v>2000</v>
      </c>
      <c r="D103" s="149" t="s">
        <v>96</v>
      </c>
      <c r="E103" s="149">
        <f t="shared" si="39"/>
        <v>30</v>
      </c>
      <c r="F103" s="153">
        <f>IF(AND(A103&gt;=$F$1,B103&lt;=$F$2),((VLOOKUP(YEAR(B103),'DIF MES'!A$2:E$38,5)*E103)/30),0)</f>
        <v>0</v>
      </c>
      <c r="G103" s="154">
        <f>VLOOKUP(100*YEAR(A103)+MONTH(A103)-1,IPC!A$14:E$861,2)</f>
        <v>39.79</v>
      </c>
      <c r="H103" s="151">
        <f t="shared" si="40"/>
        <v>105.29</v>
      </c>
      <c r="I103" s="153">
        <f t="shared" si="56"/>
        <v>0</v>
      </c>
      <c r="J103" s="153">
        <f t="shared" si="43"/>
        <v>0</v>
      </c>
      <c r="K103" s="155">
        <f t="shared" si="41"/>
        <v>0</v>
      </c>
      <c r="L103" s="153">
        <f t="shared" si="42"/>
        <v>0</v>
      </c>
      <c r="M103" s="184"/>
      <c r="N103" s="6"/>
    </row>
    <row r="104" spans="1:14" x14ac:dyDescent="0.35">
      <c r="A104" s="152">
        <f t="shared" si="65"/>
        <v>36557</v>
      </c>
      <c r="B104" s="152">
        <f t="shared" si="66"/>
        <v>36585</v>
      </c>
      <c r="C104" s="435"/>
      <c r="D104" s="149" t="s">
        <v>97</v>
      </c>
      <c r="E104" s="149">
        <f t="shared" si="39"/>
        <v>30</v>
      </c>
      <c r="F104" s="153">
        <f>IF(AND(A104&gt;=$F$1,B104&lt;=$F$2),((VLOOKUP(YEAR(B104),'DIF MES'!A$2:E$38,5)*E104)/30),0)</f>
        <v>0</v>
      </c>
      <c r="G104" s="154">
        <f>VLOOKUP(100*YEAR(A104)+MONTH(A104)-1,IPC!A$14:E$861,2)</f>
        <v>40.299999999999997</v>
      </c>
      <c r="H104" s="151">
        <f t="shared" si="40"/>
        <v>105.29</v>
      </c>
      <c r="I104" s="153">
        <f t="shared" si="56"/>
        <v>0</v>
      </c>
      <c r="J104" s="153">
        <f t="shared" si="43"/>
        <v>0</v>
      </c>
      <c r="K104" s="155">
        <f t="shared" si="41"/>
        <v>0</v>
      </c>
      <c r="L104" s="153">
        <f t="shared" si="42"/>
        <v>0</v>
      </c>
      <c r="M104" s="184"/>
      <c r="N104" s="6"/>
    </row>
    <row r="105" spans="1:14" x14ac:dyDescent="0.35">
      <c r="A105" s="152">
        <f t="shared" si="65"/>
        <v>36586</v>
      </c>
      <c r="B105" s="152">
        <f t="shared" si="66"/>
        <v>36616</v>
      </c>
      <c r="C105" s="435"/>
      <c r="D105" s="149" t="s">
        <v>98</v>
      </c>
      <c r="E105" s="149">
        <f t="shared" si="39"/>
        <v>30</v>
      </c>
      <c r="F105" s="153">
        <f>IF(AND(A105&gt;=$F$1,B105&lt;=$F$2),((VLOOKUP(YEAR(B105),'DIF MES'!A$2:E$38,5)*E105)/30),0)</f>
        <v>0</v>
      </c>
      <c r="G105" s="154">
        <f>VLOOKUP(100*YEAR(A105)+MONTH(A105)-1,IPC!A$14:E$861,2)</f>
        <v>41.23</v>
      </c>
      <c r="H105" s="151">
        <f t="shared" si="40"/>
        <v>105.29</v>
      </c>
      <c r="I105" s="153">
        <f t="shared" si="56"/>
        <v>0</v>
      </c>
      <c r="J105" s="153">
        <f t="shared" si="43"/>
        <v>0</v>
      </c>
      <c r="K105" s="155">
        <f t="shared" si="41"/>
        <v>0</v>
      </c>
      <c r="L105" s="153">
        <f t="shared" si="42"/>
        <v>0</v>
      </c>
      <c r="M105" s="184"/>
      <c r="N105" s="6"/>
    </row>
    <row r="106" spans="1:14" x14ac:dyDescent="0.35">
      <c r="A106" s="152">
        <f t="shared" si="65"/>
        <v>36617</v>
      </c>
      <c r="B106" s="152">
        <f t="shared" si="66"/>
        <v>36646</v>
      </c>
      <c r="C106" s="435"/>
      <c r="D106" s="149" t="s">
        <v>99</v>
      </c>
      <c r="E106" s="149">
        <f t="shared" si="39"/>
        <v>30</v>
      </c>
      <c r="F106" s="153">
        <f>IF(AND(A106&gt;=$F$1,B106&lt;=$F$2),((VLOOKUP(YEAR(B106),'DIF MES'!A$2:E$38,5)*E106)/30),0)</f>
        <v>0</v>
      </c>
      <c r="G106" s="154">
        <f>VLOOKUP(100*YEAR(A106)+MONTH(A106)-1,IPC!A$14:E$861,2)</f>
        <v>41.93</v>
      </c>
      <c r="H106" s="151">
        <f t="shared" si="40"/>
        <v>105.29</v>
      </c>
      <c r="I106" s="153">
        <f t="shared" si="56"/>
        <v>0</v>
      </c>
      <c r="J106" s="153">
        <f t="shared" si="43"/>
        <v>0</v>
      </c>
      <c r="K106" s="155">
        <f t="shared" si="41"/>
        <v>0</v>
      </c>
      <c r="L106" s="153">
        <f t="shared" si="42"/>
        <v>0</v>
      </c>
      <c r="M106" s="184"/>
      <c r="N106" s="6"/>
    </row>
    <row r="107" spans="1:14" x14ac:dyDescent="0.35">
      <c r="A107" s="152">
        <f t="shared" si="65"/>
        <v>36647</v>
      </c>
      <c r="B107" s="152">
        <f t="shared" si="66"/>
        <v>36677</v>
      </c>
      <c r="C107" s="435"/>
      <c r="D107" s="149" t="s">
        <v>100</v>
      </c>
      <c r="E107" s="149">
        <f t="shared" si="39"/>
        <v>30</v>
      </c>
      <c r="F107" s="153">
        <f>IF(AND(A107&gt;=$F$1,B107&lt;=$F$2),((VLOOKUP(YEAR(B107),'DIF MES'!A$2:E$38,5)*E107)/30),0)</f>
        <v>0</v>
      </c>
      <c r="G107" s="154">
        <f>VLOOKUP(100*YEAR(A107)+MONTH(A107)-1,IPC!A$14:E$861,2)</f>
        <v>42.35</v>
      </c>
      <c r="H107" s="151">
        <f t="shared" si="40"/>
        <v>105.29</v>
      </c>
      <c r="I107" s="153">
        <f t="shared" si="56"/>
        <v>0</v>
      </c>
      <c r="J107" s="153">
        <f t="shared" si="43"/>
        <v>0</v>
      </c>
      <c r="K107" s="155">
        <f t="shared" si="41"/>
        <v>0</v>
      </c>
      <c r="L107" s="153">
        <f t="shared" si="42"/>
        <v>0</v>
      </c>
      <c r="M107" s="184"/>
      <c r="N107" s="6"/>
    </row>
    <row r="108" spans="1:14" x14ac:dyDescent="0.35">
      <c r="A108" s="156">
        <f t="shared" ref="A108" si="67">A109</f>
        <v>36678</v>
      </c>
      <c r="B108" s="156">
        <f t="shared" ref="B108" si="68">B109</f>
        <v>36707</v>
      </c>
      <c r="C108" s="435"/>
      <c r="D108" s="157" t="s">
        <v>101</v>
      </c>
      <c r="E108" s="157">
        <f t="shared" si="39"/>
        <v>30</v>
      </c>
      <c r="F108" s="153">
        <f>IF(AND(A108&gt;=$F$1,B108&lt;=$F$2),((VLOOKUP(YEAR(B108),'DIF MES'!A$2:E$38,5)*E108)/30),0)</f>
        <v>0</v>
      </c>
      <c r="G108" s="158">
        <f>VLOOKUP(100*YEAR(A108)+MONTH(A108)-1,IPC!A$14:E$861,2)</f>
        <v>42.57</v>
      </c>
      <c r="H108" s="159">
        <f t="shared" si="40"/>
        <v>105.29</v>
      </c>
      <c r="I108" s="160">
        <f>F108*(H108/G108)</f>
        <v>0</v>
      </c>
      <c r="J108" s="161">
        <f>+I108-F108</f>
        <v>0</v>
      </c>
      <c r="K108" s="162">
        <f>IF(D108="adicional", 0, +I108*0.12)</f>
        <v>0</v>
      </c>
      <c r="L108" s="161">
        <f>+I108-K108</f>
        <v>0</v>
      </c>
      <c r="M108" s="184"/>
      <c r="N108" s="6"/>
    </row>
    <row r="109" spans="1:14" x14ac:dyDescent="0.35">
      <c r="A109" s="152">
        <f t="shared" ref="A109" si="69">IF(
AND(YEAR(B107)=YEAR(DATE(YEAR($F$1),MONTH($F$1)-1,1)),
MONTH(B107)=MONTH(DATE(YEAR($F$1),MONTH($F$1)-1,1))),
$F$1,
DATE(YEAR(B107),MONTH(B107)+1,1))</f>
        <v>36678</v>
      </c>
      <c r="B109" s="152">
        <f t="shared" ref="B109" si="70">IF(
AND(
YEAR(B107)=YEAR(DATE(YEAR($F$2),MONTH($F$2)-1,1)),
MONTH(B107)=MONTH(DATE(YEAR($F$2),MONTH($F$2)-1,1))
),
$F$2,
EOMONTH(B107,1)
)</f>
        <v>36707</v>
      </c>
      <c r="C109" s="435"/>
      <c r="D109" s="149" t="s">
        <v>102</v>
      </c>
      <c r="E109" s="149">
        <f t="shared" si="39"/>
        <v>30</v>
      </c>
      <c r="F109" s="153">
        <f>IF(AND(A109&gt;=$F$1,B109&lt;=$F$2),((VLOOKUP(YEAR(B109),'DIF MES'!A$2:E$38,5)*E109)/30),0)</f>
        <v>0</v>
      </c>
      <c r="G109" s="154">
        <f>VLOOKUP(100*YEAR(A109)+MONTH(A109)-1,IPC!A$14:E$861,2)</f>
        <v>42.57</v>
      </c>
      <c r="H109" s="151">
        <f t="shared" si="40"/>
        <v>105.29</v>
      </c>
      <c r="I109" s="153">
        <f>F109*(H109/G109)</f>
        <v>0</v>
      </c>
      <c r="J109" s="153">
        <f>+I109-F109</f>
        <v>0</v>
      </c>
      <c r="K109" s="155">
        <f>IF(D109="adicional", 0, +I109*0.12)</f>
        <v>0</v>
      </c>
      <c r="L109" s="153">
        <f>+I109-K109</f>
        <v>0</v>
      </c>
      <c r="M109" s="184"/>
      <c r="N109" s="6"/>
    </row>
    <row r="110" spans="1:14" x14ac:dyDescent="0.35">
      <c r="A110" s="152">
        <f t="shared" ref="A110:A170" si="71">IF(
AND(YEAR(B109)=YEAR(DATE(YEAR($F$1),MONTH($F$1)-1,1)),
MONTH(B109)=MONTH(DATE(YEAR($F$1),MONTH($F$1)-1,1))),
$F$1,
DATE(YEAR(B109),MONTH(B109)+1,1))</f>
        <v>36708</v>
      </c>
      <c r="B110" s="152">
        <f t="shared" ref="B110:B170" si="72">IF(
AND(
YEAR(B109)=YEAR(DATE(YEAR($F$2),MONTH($F$2)-1,1)),
MONTH(B109)=MONTH(DATE(YEAR($F$2),MONTH($F$2)-1,1))
),
$F$2,
EOMONTH(B109,1)
)</f>
        <v>36738</v>
      </c>
      <c r="C110" s="435"/>
      <c r="D110" s="149" t="s">
        <v>103</v>
      </c>
      <c r="E110" s="149">
        <f t="shared" si="39"/>
        <v>30</v>
      </c>
      <c r="F110" s="153">
        <f>IF(AND(A110&gt;=$F$1,B110&lt;=$F$2),((VLOOKUP(YEAR(B110),'DIF MES'!A$2:E$38,5)*E110)/30),0)</f>
        <v>0</v>
      </c>
      <c r="G110" s="154">
        <f>VLOOKUP(100*YEAR(A110)+MONTH(A110)-1,IPC!A$14:E$861,2)</f>
        <v>42.56</v>
      </c>
      <c r="H110" s="151">
        <f t="shared" si="40"/>
        <v>105.29</v>
      </c>
      <c r="I110" s="153">
        <f t="shared" si="56"/>
        <v>0</v>
      </c>
      <c r="J110" s="153">
        <f t="shared" si="43"/>
        <v>0</v>
      </c>
      <c r="K110" s="155">
        <f t="shared" si="41"/>
        <v>0</v>
      </c>
      <c r="L110" s="153">
        <f t="shared" si="42"/>
        <v>0</v>
      </c>
      <c r="M110" s="184"/>
      <c r="N110" s="6"/>
    </row>
    <row r="111" spans="1:14" x14ac:dyDescent="0.35">
      <c r="A111" s="152">
        <f t="shared" si="71"/>
        <v>36739</v>
      </c>
      <c r="B111" s="152">
        <f t="shared" si="72"/>
        <v>36769</v>
      </c>
      <c r="C111" s="435"/>
      <c r="D111" s="149" t="s">
        <v>104</v>
      </c>
      <c r="E111" s="149">
        <f t="shared" si="39"/>
        <v>30</v>
      </c>
      <c r="F111" s="153">
        <f>IF(AND(A111&gt;=$F$1,B111&lt;=$F$2),((VLOOKUP(YEAR(B111),'DIF MES'!A$2:E$38,5)*E111)/30),0)</f>
        <v>0</v>
      </c>
      <c r="G111" s="154">
        <f>VLOOKUP(100*YEAR(A111)+MONTH(A111)-1,IPC!A$14:E$861,2)</f>
        <v>42.55</v>
      </c>
      <c r="H111" s="151">
        <f t="shared" si="40"/>
        <v>105.29</v>
      </c>
      <c r="I111" s="153">
        <f t="shared" si="56"/>
        <v>0</v>
      </c>
      <c r="J111" s="153">
        <f t="shared" si="43"/>
        <v>0</v>
      </c>
      <c r="K111" s="155">
        <f t="shared" si="41"/>
        <v>0</v>
      </c>
      <c r="L111" s="153">
        <f t="shared" si="42"/>
        <v>0</v>
      </c>
      <c r="M111" s="184"/>
      <c r="N111" s="6"/>
    </row>
    <row r="112" spans="1:14" ht="20" x14ac:dyDescent="0.35">
      <c r="A112" s="152">
        <f t="shared" si="71"/>
        <v>36770</v>
      </c>
      <c r="B112" s="152">
        <f t="shared" si="72"/>
        <v>36799</v>
      </c>
      <c r="C112" s="435"/>
      <c r="D112" s="149" t="s">
        <v>105</v>
      </c>
      <c r="E112" s="149">
        <f t="shared" si="39"/>
        <v>30</v>
      </c>
      <c r="F112" s="153">
        <f>IF(AND(A112&gt;=$F$1,B112&lt;=$F$2),((VLOOKUP(YEAR(B112),'DIF MES'!A$2:E$38,5)*E112)/30),0)</f>
        <v>0</v>
      </c>
      <c r="G112" s="154">
        <f>VLOOKUP(100*YEAR(A112)+MONTH(A112)-1,IPC!A$14:E$861,2)</f>
        <v>42.68</v>
      </c>
      <c r="H112" s="151">
        <f t="shared" si="40"/>
        <v>105.29</v>
      </c>
      <c r="I112" s="153">
        <f t="shared" si="56"/>
        <v>0</v>
      </c>
      <c r="J112" s="153">
        <f t="shared" si="43"/>
        <v>0</v>
      </c>
      <c r="K112" s="155">
        <f t="shared" si="41"/>
        <v>0</v>
      </c>
      <c r="L112" s="153">
        <f t="shared" si="42"/>
        <v>0</v>
      </c>
      <c r="M112" s="184"/>
      <c r="N112" s="6"/>
    </row>
    <row r="113" spans="1:14" x14ac:dyDescent="0.35">
      <c r="A113" s="152">
        <f t="shared" si="71"/>
        <v>36800</v>
      </c>
      <c r="B113" s="152">
        <f t="shared" si="72"/>
        <v>36830</v>
      </c>
      <c r="C113" s="435"/>
      <c r="D113" s="149" t="s">
        <v>106</v>
      </c>
      <c r="E113" s="149">
        <f t="shared" si="39"/>
        <v>30</v>
      </c>
      <c r="F113" s="153">
        <f>IF(AND(A113&gt;=$F$1,B113&lt;=$F$2),((VLOOKUP(YEAR(B113),'DIF MES'!A$2:E$38,5)*E113)/30),0)</f>
        <v>0</v>
      </c>
      <c r="G113" s="154">
        <f>VLOOKUP(100*YEAR(A113)+MONTH(A113)-1,IPC!A$14:E$861,2)</f>
        <v>42.86</v>
      </c>
      <c r="H113" s="151">
        <f t="shared" si="40"/>
        <v>105.29</v>
      </c>
      <c r="I113" s="153">
        <f t="shared" si="56"/>
        <v>0</v>
      </c>
      <c r="J113" s="153">
        <f t="shared" si="43"/>
        <v>0</v>
      </c>
      <c r="K113" s="155">
        <f t="shared" si="41"/>
        <v>0</v>
      </c>
      <c r="L113" s="153">
        <f t="shared" si="42"/>
        <v>0</v>
      </c>
      <c r="M113" s="184"/>
      <c r="N113" s="6"/>
    </row>
    <row r="114" spans="1:14" x14ac:dyDescent="0.35">
      <c r="A114" s="152">
        <f t="shared" si="71"/>
        <v>36831</v>
      </c>
      <c r="B114" s="152">
        <f t="shared" si="72"/>
        <v>36860</v>
      </c>
      <c r="C114" s="435"/>
      <c r="D114" s="149" t="s">
        <v>107</v>
      </c>
      <c r="E114" s="149">
        <f t="shared" si="39"/>
        <v>30</v>
      </c>
      <c r="F114" s="153">
        <f>IF(AND(A114&gt;=$F$1,B114&lt;=$F$2),((VLOOKUP(YEAR(B114),'DIF MES'!A$2:E$38,5)*E114)/30),0)</f>
        <v>0</v>
      </c>
      <c r="G114" s="154">
        <f>VLOOKUP(100*YEAR(A114)+MONTH(A114)-1,IPC!A$14:E$861,2)</f>
        <v>42.93</v>
      </c>
      <c r="H114" s="151">
        <f t="shared" si="40"/>
        <v>105.29</v>
      </c>
      <c r="I114" s="153">
        <f t="shared" si="56"/>
        <v>0</v>
      </c>
      <c r="J114" s="153">
        <f t="shared" si="43"/>
        <v>0</v>
      </c>
      <c r="K114" s="155">
        <f t="shared" si="41"/>
        <v>0</v>
      </c>
      <c r="L114" s="153">
        <f t="shared" si="42"/>
        <v>0</v>
      </c>
      <c r="M114" s="184"/>
      <c r="N114" s="6"/>
    </row>
    <row r="115" spans="1:14" x14ac:dyDescent="0.35">
      <c r="A115" s="156">
        <f t="shared" ref="A115" si="73">A114</f>
        <v>36831</v>
      </c>
      <c r="B115" s="156">
        <f t="shared" ref="B115" si="74">B114</f>
        <v>36860</v>
      </c>
      <c r="C115" s="435"/>
      <c r="D115" s="157" t="s">
        <v>101</v>
      </c>
      <c r="E115" s="157">
        <f t="shared" si="39"/>
        <v>30</v>
      </c>
      <c r="F115" s="153">
        <f>IF(AND(A115&gt;=$F$1,B115&lt;=$F$2),((VLOOKUP(YEAR(B115),'DIF MES'!A$2:E$38,5)*E115)/30),0)</f>
        <v>0</v>
      </c>
      <c r="G115" s="158">
        <f>VLOOKUP(100*YEAR(A115)+MONTH(A115)-1,IPC!A$14:E$861,2)</f>
        <v>42.93</v>
      </c>
      <c r="H115" s="159">
        <f t="shared" si="40"/>
        <v>105.29</v>
      </c>
      <c r="I115" s="161">
        <f t="shared" si="56"/>
        <v>0</v>
      </c>
      <c r="J115" s="161">
        <f t="shared" si="43"/>
        <v>0</v>
      </c>
      <c r="K115" s="162">
        <f t="shared" si="41"/>
        <v>0</v>
      </c>
      <c r="L115" s="161">
        <f t="shared" si="42"/>
        <v>0</v>
      </c>
      <c r="M115" s="184"/>
      <c r="N115" s="6"/>
    </row>
    <row r="116" spans="1:14" x14ac:dyDescent="0.35">
      <c r="A116" s="152">
        <f t="shared" ref="A116" si="75">IF(
AND(YEAR(B114)=YEAR(DATE(YEAR($F$1),MONTH($F$1)-1,1)),
MONTH(B114)=MONTH(DATE(YEAR($F$1),MONTH($F$1)-1,1))),
$F$1,
DATE(YEAR(B114),MONTH(B114)+1,1))</f>
        <v>36861</v>
      </c>
      <c r="B116" s="152">
        <f t="shared" ref="B116" si="76">IF(
AND(
YEAR(B114)=YEAR(DATE(YEAR($F$2),MONTH($F$2)-1,1)),
MONTH(B114)=MONTH(DATE(YEAR($F$2),MONTH($F$2)-1,1))
),
$F$2,
EOMONTH(B114,1)
)</f>
        <v>36891</v>
      </c>
      <c r="C116" s="436"/>
      <c r="D116" s="149" t="s">
        <v>108</v>
      </c>
      <c r="E116" s="149">
        <f t="shared" si="39"/>
        <v>30</v>
      </c>
      <c r="F116" s="153">
        <f>IF(AND(A116&gt;=$F$1,B116&lt;=$F$2),((VLOOKUP(YEAR(B116),'DIF MES'!A$2:E$38,5)*E116)/30),0)</f>
        <v>0</v>
      </c>
      <c r="G116" s="154">
        <f>VLOOKUP(100*YEAR(A116)+MONTH(A116)-1,IPC!A$14:E$861,2)</f>
        <v>43.07</v>
      </c>
      <c r="H116" s="151">
        <f t="shared" si="40"/>
        <v>105.29</v>
      </c>
      <c r="I116" s="153">
        <f t="shared" si="56"/>
        <v>0</v>
      </c>
      <c r="J116" s="153">
        <f t="shared" si="43"/>
        <v>0</v>
      </c>
      <c r="K116" s="155">
        <f t="shared" si="41"/>
        <v>0</v>
      </c>
      <c r="L116" s="153">
        <f t="shared" si="42"/>
        <v>0</v>
      </c>
      <c r="M116" s="184"/>
      <c r="N116" s="6"/>
    </row>
    <row r="117" spans="1:14" x14ac:dyDescent="0.35">
      <c r="A117" s="152">
        <f t="shared" si="65"/>
        <v>36892</v>
      </c>
      <c r="B117" s="152">
        <f t="shared" si="66"/>
        <v>36922</v>
      </c>
      <c r="C117" s="434">
        <v>2001</v>
      </c>
      <c r="D117" s="149" t="s">
        <v>96</v>
      </c>
      <c r="E117" s="149">
        <f t="shared" si="39"/>
        <v>30</v>
      </c>
      <c r="F117" s="153">
        <f>IF(AND(A117&gt;=$F$1,B117&lt;=$F$2),((VLOOKUP(YEAR(B117),'DIF MES'!A$2:E$38,5)*E117)/30),0)</f>
        <v>0</v>
      </c>
      <c r="G117" s="154">
        <f>VLOOKUP(100*YEAR(A117)+MONTH(A117)-1,IPC!A$14:E$861,2)</f>
        <v>43.27</v>
      </c>
      <c r="H117" s="151">
        <f t="shared" si="40"/>
        <v>105.29</v>
      </c>
      <c r="I117" s="153">
        <f t="shared" si="56"/>
        <v>0</v>
      </c>
      <c r="J117" s="153">
        <f t="shared" si="43"/>
        <v>0</v>
      </c>
      <c r="K117" s="155">
        <f t="shared" si="41"/>
        <v>0</v>
      </c>
      <c r="L117" s="153">
        <f t="shared" si="42"/>
        <v>0</v>
      </c>
      <c r="M117" s="184"/>
      <c r="N117" s="6"/>
    </row>
    <row r="118" spans="1:14" x14ac:dyDescent="0.35">
      <c r="A118" s="152">
        <f t="shared" si="65"/>
        <v>36923</v>
      </c>
      <c r="B118" s="152">
        <f t="shared" si="66"/>
        <v>36950</v>
      </c>
      <c r="C118" s="435"/>
      <c r="D118" s="149" t="s">
        <v>97</v>
      </c>
      <c r="E118" s="149">
        <f t="shared" si="39"/>
        <v>30</v>
      </c>
      <c r="F118" s="153">
        <f>IF(AND(A118&gt;=$F$1,B118&lt;=$F$2),((VLOOKUP(YEAR(B118),'DIF MES'!A$2:E$38,5)*E118)/30),0)</f>
        <v>0</v>
      </c>
      <c r="G118" s="154">
        <f>VLOOKUP(100*YEAR(A118)+MONTH(A118)-1,IPC!A$14:E$861,2)</f>
        <v>43.72</v>
      </c>
      <c r="H118" s="151">
        <f t="shared" si="40"/>
        <v>105.29</v>
      </c>
      <c r="I118" s="153">
        <f t="shared" si="56"/>
        <v>0</v>
      </c>
      <c r="J118" s="153">
        <f t="shared" si="43"/>
        <v>0</v>
      </c>
      <c r="K118" s="155">
        <f t="shared" si="41"/>
        <v>0</v>
      </c>
      <c r="L118" s="153">
        <f t="shared" si="42"/>
        <v>0</v>
      </c>
      <c r="M118" s="184"/>
      <c r="N118" s="6"/>
    </row>
    <row r="119" spans="1:14" x14ac:dyDescent="0.35">
      <c r="A119" s="152">
        <f t="shared" si="65"/>
        <v>36951</v>
      </c>
      <c r="B119" s="152">
        <f t="shared" si="66"/>
        <v>36981</v>
      </c>
      <c r="C119" s="435"/>
      <c r="D119" s="149" t="s">
        <v>98</v>
      </c>
      <c r="E119" s="149">
        <f t="shared" si="39"/>
        <v>30</v>
      </c>
      <c r="F119" s="153">
        <f>IF(AND(A119&gt;=$F$1,B119&lt;=$F$2),((VLOOKUP(YEAR(B119),'DIF MES'!A$2:E$38,5)*E119)/30),0)</f>
        <v>0</v>
      </c>
      <c r="G119" s="154">
        <f>VLOOKUP(100*YEAR(A119)+MONTH(A119)-1,IPC!A$14:E$861,2)</f>
        <v>44.55</v>
      </c>
      <c r="H119" s="151">
        <f t="shared" si="40"/>
        <v>105.29</v>
      </c>
      <c r="I119" s="153">
        <f t="shared" si="56"/>
        <v>0</v>
      </c>
      <c r="J119" s="153">
        <f t="shared" si="43"/>
        <v>0</v>
      </c>
      <c r="K119" s="155">
        <f t="shared" si="41"/>
        <v>0</v>
      </c>
      <c r="L119" s="153">
        <f t="shared" si="42"/>
        <v>0</v>
      </c>
      <c r="M119" s="184"/>
      <c r="N119" s="6"/>
    </row>
    <row r="120" spans="1:14" x14ac:dyDescent="0.35">
      <c r="A120" s="152">
        <f t="shared" si="65"/>
        <v>36982</v>
      </c>
      <c r="B120" s="152">
        <f t="shared" si="66"/>
        <v>37011</v>
      </c>
      <c r="C120" s="435"/>
      <c r="D120" s="149" t="s">
        <v>99</v>
      </c>
      <c r="E120" s="149">
        <f t="shared" si="39"/>
        <v>30</v>
      </c>
      <c r="F120" s="153">
        <f>IF(AND(A120&gt;=$F$1,B120&lt;=$F$2),((VLOOKUP(YEAR(B120),'DIF MES'!A$2:E$38,5)*E120)/30),0)</f>
        <v>0</v>
      </c>
      <c r="G120" s="154">
        <f>VLOOKUP(100*YEAR(A120)+MONTH(A120)-1,IPC!A$14:E$861,2)</f>
        <v>45.21</v>
      </c>
      <c r="H120" s="151">
        <f t="shared" si="40"/>
        <v>105.29</v>
      </c>
      <c r="I120" s="153">
        <f t="shared" si="56"/>
        <v>0</v>
      </c>
      <c r="J120" s="153">
        <f t="shared" si="43"/>
        <v>0</v>
      </c>
      <c r="K120" s="155">
        <f t="shared" si="41"/>
        <v>0</v>
      </c>
      <c r="L120" s="153">
        <f t="shared" si="42"/>
        <v>0</v>
      </c>
      <c r="M120" s="184"/>
      <c r="N120" s="6"/>
    </row>
    <row r="121" spans="1:14" x14ac:dyDescent="0.35">
      <c r="A121" s="152">
        <f t="shared" si="65"/>
        <v>37012</v>
      </c>
      <c r="B121" s="152">
        <f t="shared" si="66"/>
        <v>37042</v>
      </c>
      <c r="C121" s="435"/>
      <c r="D121" s="149" t="s">
        <v>100</v>
      </c>
      <c r="E121" s="149">
        <f t="shared" si="39"/>
        <v>30</v>
      </c>
      <c r="F121" s="153">
        <f>IF(AND(A121&gt;=$F$1,B121&lt;=$F$2),((VLOOKUP(YEAR(B121),'DIF MES'!A$2:E$38,5)*E121)/30),0)</f>
        <v>0</v>
      </c>
      <c r="G121" s="154">
        <f>VLOOKUP(100*YEAR(A121)+MONTH(A121)-1,IPC!A$14:E$861,2)</f>
        <v>45.73</v>
      </c>
      <c r="H121" s="151">
        <f t="shared" si="40"/>
        <v>105.29</v>
      </c>
      <c r="I121" s="153">
        <f t="shared" si="56"/>
        <v>0</v>
      </c>
      <c r="J121" s="153">
        <f t="shared" si="43"/>
        <v>0</v>
      </c>
      <c r="K121" s="155">
        <f t="shared" si="41"/>
        <v>0</v>
      </c>
      <c r="L121" s="153">
        <f t="shared" si="42"/>
        <v>0</v>
      </c>
      <c r="M121" s="184"/>
      <c r="N121" s="6"/>
    </row>
    <row r="122" spans="1:14" x14ac:dyDescent="0.35">
      <c r="A122" s="156">
        <f t="shared" ref="A122" si="77">A123</f>
        <v>37043</v>
      </c>
      <c r="B122" s="156">
        <f t="shared" ref="B122" si="78">B123</f>
        <v>37072</v>
      </c>
      <c r="C122" s="435"/>
      <c r="D122" s="157" t="s">
        <v>101</v>
      </c>
      <c r="E122" s="157">
        <f t="shared" si="39"/>
        <v>30</v>
      </c>
      <c r="F122" s="153">
        <f>IF(AND(A122&gt;=$F$1,B122&lt;=$F$2),((VLOOKUP(YEAR(B122),'DIF MES'!A$2:E$38,5)*E122)/30),0)</f>
        <v>0</v>
      </c>
      <c r="G122" s="158">
        <f>VLOOKUP(100*YEAR(A122)+MONTH(A122)-1,IPC!A$14:E$861,2)</f>
        <v>45.92</v>
      </c>
      <c r="H122" s="159">
        <f t="shared" si="40"/>
        <v>105.29</v>
      </c>
      <c r="I122" s="160">
        <f>F122*(H122/G122)</f>
        <v>0</v>
      </c>
      <c r="J122" s="161">
        <f>+I122-F122</f>
        <v>0</v>
      </c>
      <c r="K122" s="162">
        <f>IF(D122="adicional", 0, +I122*0.12)</f>
        <v>0</v>
      </c>
      <c r="L122" s="161">
        <f>+I122-K122</f>
        <v>0</v>
      </c>
      <c r="M122" s="184"/>
      <c r="N122" s="6"/>
    </row>
    <row r="123" spans="1:14" x14ac:dyDescent="0.35">
      <c r="A123" s="152">
        <f t="shared" ref="A123" si="79">IF(
AND(YEAR(B121)=YEAR(DATE(YEAR($F$1),MONTH($F$1)-1,1)),
MONTH(B121)=MONTH(DATE(YEAR($F$1),MONTH($F$1)-1,1))),
$F$1,
DATE(YEAR(B121),MONTH(B121)+1,1))</f>
        <v>37043</v>
      </c>
      <c r="B123" s="152">
        <f t="shared" ref="B123" si="80">IF(
AND(
YEAR(B121)=YEAR(DATE(YEAR($F$2),MONTH($F$2)-1,1)),
MONTH(B121)=MONTH(DATE(YEAR($F$2),MONTH($F$2)-1,1))
),
$F$2,
EOMONTH(B121,1)
)</f>
        <v>37072</v>
      </c>
      <c r="C123" s="435"/>
      <c r="D123" s="149" t="s">
        <v>102</v>
      </c>
      <c r="E123" s="149">
        <f t="shared" si="39"/>
        <v>30</v>
      </c>
      <c r="F123" s="153">
        <f>IF(AND(A123&gt;=$F$1,B123&lt;=$F$2),((VLOOKUP(YEAR(B123),'DIF MES'!A$2:E$38,5)*E123)/30),0)</f>
        <v>0</v>
      </c>
      <c r="G123" s="154">
        <f>VLOOKUP(100*YEAR(A123)+MONTH(A123)-1,IPC!A$14:E$861,2)</f>
        <v>45.92</v>
      </c>
      <c r="H123" s="151">
        <f t="shared" si="40"/>
        <v>105.29</v>
      </c>
      <c r="I123" s="153">
        <f>F123*(H123/G123)</f>
        <v>0</v>
      </c>
      <c r="J123" s="153">
        <f>+I123-F123</f>
        <v>0</v>
      </c>
      <c r="K123" s="155">
        <f>IF(D123="adicional", 0, +I123*0.12)</f>
        <v>0</v>
      </c>
      <c r="L123" s="153">
        <f>+I123-K123</f>
        <v>0</v>
      </c>
      <c r="M123" s="184"/>
      <c r="N123" s="6"/>
    </row>
    <row r="124" spans="1:14" x14ac:dyDescent="0.35">
      <c r="A124" s="152">
        <f t="shared" si="71"/>
        <v>37073</v>
      </c>
      <c r="B124" s="152">
        <f t="shared" si="72"/>
        <v>37103</v>
      </c>
      <c r="C124" s="435"/>
      <c r="D124" s="149" t="s">
        <v>103</v>
      </c>
      <c r="E124" s="149">
        <f t="shared" si="39"/>
        <v>30</v>
      </c>
      <c r="F124" s="153">
        <f>IF(AND(A124&gt;=$F$1,B124&lt;=$F$2),((VLOOKUP(YEAR(B124),'DIF MES'!A$2:E$38,5)*E124)/30),0)</f>
        <v>0</v>
      </c>
      <c r="G124" s="154">
        <f>VLOOKUP(100*YEAR(A124)+MONTH(A124)-1,IPC!A$14:E$861,2)</f>
        <v>45.94</v>
      </c>
      <c r="H124" s="151">
        <f t="shared" si="40"/>
        <v>105.29</v>
      </c>
      <c r="I124" s="153">
        <f t="shared" si="56"/>
        <v>0</v>
      </c>
      <c r="J124" s="153">
        <f t="shared" si="43"/>
        <v>0</v>
      </c>
      <c r="K124" s="155">
        <f t="shared" si="41"/>
        <v>0</v>
      </c>
      <c r="L124" s="153">
        <f t="shared" si="42"/>
        <v>0</v>
      </c>
      <c r="M124" s="184"/>
      <c r="N124" s="6"/>
    </row>
    <row r="125" spans="1:14" x14ac:dyDescent="0.35">
      <c r="A125" s="152">
        <f t="shared" si="71"/>
        <v>37104</v>
      </c>
      <c r="B125" s="152">
        <f t="shared" si="72"/>
        <v>37134</v>
      </c>
      <c r="C125" s="435"/>
      <c r="D125" s="149" t="s">
        <v>104</v>
      </c>
      <c r="E125" s="149">
        <f t="shared" si="39"/>
        <v>30</v>
      </c>
      <c r="F125" s="153">
        <f>IF(AND(A125&gt;=$F$1,B125&lt;=$F$2),((VLOOKUP(YEAR(B125),'DIF MES'!A$2:E$38,5)*E125)/30),0)</f>
        <v>0</v>
      </c>
      <c r="G125" s="154">
        <f>VLOOKUP(100*YEAR(A125)+MONTH(A125)-1,IPC!A$14:E$861,2)</f>
        <v>45.99</v>
      </c>
      <c r="H125" s="151">
        <f t="shared" si="40"/>
        <v>105.29</v>
      </c>
      <c r="I125" s="153">
        <f t="shared" si="56"/>
        <v>0</v>
      </c>
      <c r="J125" s="153">
        <f t="shared" si="43"/>
        <v>0</v>
      </c>
      <c r="K125" s="155">
        <f t="shared" si="41"/>
        <v>0</v>
      </c>
      <c r="L125" s="153">
        <f t="shared" si="42"/>
        <v>0</v>
      </c>
      <c r="M125" s="184"/>
      <c r="N125" s="6"/>
    </row>
    <row r="126" spans="1:14" ht="20" x14ac:dyDescent="0.35">
      <c r="A126" s="152">
        <f t="shared" si="71"/>
        <v>37135</v>
      </c>
      <c r="B126" s="152">
        <f t="shared" si="72"/>
        <v>37164</v>
      </c>
      <c r="C126" s="435"/>
      <c r="D126" s="149" t="s">
        <v>105</v>
      </c>
      <c r="E126" s="149">
        <f t="shared" si="39"/>
        <v>30</v>
      </c>
      <c r="F126" s="153">
        <f>IF(AND(A126&gt;=$F$1,B126&lt;=$F$2),((VLOOKUP(YEAR(B126),'DIF MES'!A$2:E$38,5)*E126)/30),0)</f>
        <v>0</v>
      </c>
      <c r="G126" s="154">
        <f>VLOOKUP(100*YEAR(A126)+MONTH(A126)-1,IPC!A$14:E$861,2)</f>
        <v>46.11</v>
      </c>
      <c r="H126" s="151">
        <f t="shared" si="40"/>
        <v>105.29</v>
      </c>
      <c r="I126" s="153">
        <f t="shared" si="56"/>
        <v>0</v>
      </c>
      <c r="J126" s="153">
        <f t="shared" si="43"/>
        <v>0</v>
      </c>
      <c r="K126" s="155">
        <f t="shared" si="41"/>
        <v>0</v>
      </c>
      <c r="L126" s="153">
        <f t="shared" si="42"/>
        <v>0</v>
      </c>
      <c r="M126" s="184"/>
      <c r="N126" s="6"/>
    </row>
    <row r="127" spans="1:14" x14ac:dyDescent="0.35">
      <c r="A127" s="152">
        <f t="shared" si="71"/>
        <v>37165</v>
      </c>
      <c r="B127" s="152">
        <f t="shared" si="72"/>
        <v>37195</v>
      </c>
      <c r="C127" s="435"/>
      <c r="D127" s="149" t="s">
        <v>106</v>
      </c>
      <c r="E127" s="149">
        <f t="shared" si="39"/>
        <v>30</v>
      </c>
      <c r="F127" s="153">
        <f>IF(AND(A127&gt;=$F$1,B127&lt;=$F$2),((VLOOKUP(YEAR(B127),'DIF MES'!A$2:E$38,5)*E127)/30),0)</f>
        <v>0</v>
      </c>
      <c r="G127" s="154">
        <f>VLOOKUP(100*YEAR(A127)+MONTH(A127)-1,IPC!A$14:E$861,2)</f>
        <v>46.28</v>
      </c>
      <c r="H127" s="151">
        <f t="shared" si="40"/>
        <v>105.29</v>
      </c>
      <c r="I127" s="153">
        <f t="shared" si="56"/>
        <v>0</v>
      </c>
      <c r="J127" s="153">
        <f t="shared" si="43"/>
        <v>0</v>
      </c>
      <c r="K127" s="155">
        <f t="shared" si="41"/>
        <v>0</v>
      </c>
      <c r="L127" s="153">
        <f t="shared" si="42"/>
        <v>0</v>
      </c>
      <c r="M127" s="184"/>
      <c r="N127" s="6"/>
    </row>
    <row r="128" spans="1:14" x14ac:dyDescent="0.35">
      <c r="A128" s="152">
        <f t="shared" si="71"/>
        <v>37196</v>
      </c>
      <c r="B128" s="152">
        <f t="shared" si="72"/>
        <v>37225</v>
      </c>
      <c r="C128" s="435"/>
      <c r="D128" s="149" t="s">
        <v>107</v>
      </c>
      <c r="E128" s="149">
        <f t="shared" si="39"/>
        <v>30</v>
      </c>
      <c r="F128" s="153">
        <f>IF(AND(A128&gt;=$F$1,B128&lt;=$F$2),((VLOOKUP(YEAR(B128),'DIF MES'!A$2:E$38,5)*E128)/30),0)</f>
        <v>0</v>
      </c>
      <c r="G128" s="154">
        <f>VLOOKUP(100*YEAR(A128)+MONTH(A128)-1,IPC!A$14:E$861,2)</f>
        <v>46.37</v>
      </c>
      <c r="H128" s="151">
        <f t="shared" si="40"/>
        <v>105.29</v>
      </c>
      <c r="I128" s="153">
        <f t="shared" si="56"/>
        <v>0</v>
      </c>
      <c r="J128" s="153">
        <f t="shared" si="43"/>
        <v>0</v>
      </c>
      <c r="K128" s="155">
        <f t="shared" si="41"/>
        <v>0</v>
      </c>
      <c r="L128" s="153">
        <f t="shared" si="42"/>
        <v>0</v>
      </c>
      <c r="M128" s="184"/>
      <c r="N128" s="6"/>
    </row>
    <row r="129" spans="1:14" x14ac:dyDescent="0.35">
      <c r="A129" s="156">
        <f t="shared" ref="A129" si="81">A128</f>
        <v>37196</v>
      </c>
      <c r="B129" s="156">
        <f t="shared" ref="B129" si="82">B128</f>
        <v>37225</v>
      </c>
      <c r="C129" s="435"/>
      <c r="D129" s="157" t="s">
        <v>101</v>
      </c>
      <c r="E129" s="157">
        <f t="shared" si="39"/>
        <v>30</v>
      </c>
      <c r="F129" s="153">
        <f>IF(AND(A129&gt;=$F$1,B129&lt;=$F$2),((VLOOKUP(YEAR(B129),'DIF MES'!A$2:E$38,5)*E129)/30),0)</f>
        <v>0</v>
      </c>
      <c r="G129" s="158">
        <f>VLOOKUP(100*YEAR(A129)+MONTH(A129)-1,IPC!A$14:E$861,2)</f>
        <v>46.37</v>
      </c>
      <c r="H129" s="159">
        <f t="shared" si="40"/>
        <v>105.29</v>
      </c>
      <c r="I129" s="161">
        <f t="shared" si="56"/>
        <v>0</v>
      </c>
      <c r="J129" s="161">
        <f t="shared" si="43"/>
        <v>0</v>
      </c>
      <c r="K129" s="162">
        <f t="shared" si="41"/>
        <v>0</v>
      </c>
      <c r="L129" s="161">
        <f t="shared" si="42"/>
        <v>0</v>
      </c>
      <c r="M129" s="184"/>
      <c r="N129" s="6"/>
    </row>
    <row r="130" spans="1:14" x14ac:dyDescent="0.35">
      <c r="A130" s="152">
        <f t="shared" ref="A130" si="83">IF(
AND(YEAR(B128)=YEAR(DATE(YEAR($F$1),MONTH($F$1)-1,1)),
MONTH(B128)=MONTH(DATE(YEAR($F$1),MONTH($F$1)-1,1))),
$F$1,
DATE(YEAR(B128),MONTH(B128)+1,1))</f>
        <v>37226</v>
      </c>
      <c r="B130" s="152">
        <f t="shared" ref="B130" si="84">IF(
AND(
YEAR(B128)=YEAR(DATE(YEAR($F$2),MONTH($F$2)-1,1)),
MONTH(B128)=MONTH(DATE(YEAR($F$2),MONTH($F$2)-1,1))
),
$F$2,
EOMONTH(B128,1)
)</f>
        <v>37256</v>
      </c>
      <c r="C130" s="436"/>
      <c r="D130" s="149" t="s">
        <v>108</v>
      </c>
      <c r="E130" s="149">
        <f t="shared" si="39"/>
        <v>30</v>
      </c>
      <c r="F130" s="153">
        <f>IF(AND(A130&gt;=$F$1,B130&lt;=$F$2),((VLOOKUP(YEAR(B130),'DIF MES'!A$2:E$38,5)*E130)/30),0)</f>
        <v>0</v>
      </c>
      <c r="G130" s="154">
        <f>VLOOKUP(100*YEAR(A130)+MONTH(A130)-1,IPC!A$14:E$861,2)</f>
        <v>46.42</v>
      </c>
      <c r="H130" s="151">
        <f t="shared" si="40"/>
        <v>105.29</v>
      </c>
      <c r="I130" s="153">
        <f t="shared" si="56"/>
        <v>0</v>
      </c>
      <c r="J130" s="153">
        <f t="shared" si="43"/>
        <v>0</v>
      </c>
      <c r="K130" s="155">
        <f t="shared" si="41"/>
        <v>0</v>
      </c>
      <c r="L130" s="153">
        <f t="shared" si="42"/>
        <v>0</v>
      </c>
      <c r="M130" s="184"/>
      <c r="N130" s="6"/>
    </row>
    <row r="131" spans="1:14" x14ac:dyDescent="0.35">
      <c r="A131" s="152">
        <f t="shared" si="65"/>
        <v>37257</v>
      </c>
      <c r="B131" s="152">
        <f t="shared" si="66"/>
        <v>37287</v>
      </c>
      <c r="C131" s="434">
        <v>2002</v>
      </c>
      <c r="D131" s="149" t="s">
        <v>96</v>
      </c>
      <c r="E131" s="149">
        <f t="shared" si="39"/>
        <v>30</v>
      </c>
      <c r="F131" s="153">
        <f>IF(AND(A131&gt;=$F$1,B131&lt;=$F$2),((VLOOKUP(YEAR(B131),'DIF MES'!A$2:E$38,5)*E131)/30),0)</f>
        <v>0</v>
      </c>
      <c r="G131" s="154">
        <f>VLOOKUP(100*YEAR(A131)+MONTH(A131)-1,IPC!A$14:E$861,2)</f>
        <v>46.58</v>
      </c>
      <c r="H131" s="151">
        <f t="shared" si="40"/>
        <v>105.29</v>
      </c>
      <c r="I131" s="153">
        <f t="shared" si="56"/>
        <v>0</v>
      </c>
      <c r="J131" s="153">
        <f t="shared" si="43"/>
        <v>0</v>
      </c>
      <c r="K131" s="155">
        <f t="shared" si="41"/>
        <v>0</v>
      </c>
      <c r="L131" s="153">
        <f t="shared" si="42"/>
        <v>0</v>
      </c>
      <c r="M131" s="184"/>
      <c r="N131" s="6"/>
    </row>
    <row r="132" spans="1:14" x14ac:dyDescent="0.35">
      <c r="A132" s="152">
        <f t="shared" si="65"/>
        <v>37288</v>
      </c>
      <c r="B132" s="152">
        <f t="shared" si="66"/>
        <v>37315</v>
      </c>
      <c r="C132" s="435"/>
      <c r="D132" s="149" t="s">
        <v>97</v>
      </c>
      <c r="E132" s="149">
        <f t="shared" si="39"/>
        <v>30</v>
      </c>
      <c r="F132" s="153">
        <f>IF(AND(A132&gt;=$F$1,B132&lt;=$F$2),((VLOOKUP(YEAR(B132),'DIF MES'!A$2:E$38,5)*E132)/30),0)</f>
        <v>0</v>
      </c>
      <c r="G132" s="154">
        <f>VLOOKUP(100*YEAR(A132)+MONTH(A132)-1,IPC!A$14:E$861,2)</f>
        <v>46.95</v>
      </c>
      <c r="H132" s="151">
        <f t="shared" si="40"/>
        <v>105.29</v>
      </c>
      <c r="I132" s="153">
        <f t="shared" si="56"/>
        <v>0</v>
      </c>
      <c r="J132" s="153">
        <f t="shared" si="43"/>
        <v>0</v>
      </c>
      <c r="K132" s="155">
        <f t="shared" si="41"/>
        <v>0</v>
      </c>
      <c r="L132" s="153">
        <f t="shared" si="42"/>
        <v>0</v>
      </c>
      <c r="M132" s="184"/>
      <c r="N132" s="6"/>
    </row>
    <row r="133" spans="1:14" x14ac:dyDescent="0.35">
      <c r="A133" s="152">
        <f t="shared" si="65"/>
        <v>37316</v>
      </c>
      <c r="B133" s="152">
        <f t="shared" si="66"/>
        <v>37346</v>
      </c>
      <c r="C133" s="435"/>
      <c r="D133" s="149" t="s">
        <v>98</v>
      </c>
      <c r="E133" s="149">
        <f t="shared" ref="E133:E196" si="85">DAYS360(A133,B133+1)</f>
        <v>30</v>
      </c>
      <c r="F133" s="153">
        <f>IF(AND(A133&gt;=$F$1,B133&lt;=$F$2),((VLOOKUP(YEAR(B133),'DIF MES'!A$2:E$38,5)*E133)/30),0)</f>
        <v>0</v>
      </c>
      <c r="G133" s="154">
        <f>VLOOKUP(100*YEAR(A133)+MONTH(A133)-1,IPC!A$14:E$861,2)</f>
        <v>47.54</v>
      </c>
      <c r="H133" s="151">
        <f t="shared" si="40"/>
        <v>105.29</v>
      </c>
      <c r="I133" s="153">
        <f t="shared" si="56"/>
        <v>0</v>
      </c>
      <c r="J133" s="153">
        <f t="shared" si="43"/>
        <v>0</v>
      </c>
      <c r="K133" s="155">
        <f t="shared" si="41"/>
        <v>0</v>
      </c>
      <c r="L133" s="153">
        <f t="shared" si="42"/>
        <v>0</v>
      </c>
      <c r="M133" s="184"/>
      <c r="N133" s="6"/>
    </row>
    <row r="134" spans="1:14" x14ac:dyDescent="0.35">
      <c r="A134" s="152">
        <f t="shared" si="65"/>
        <v>37347</v>
      </c>
      <c r="B134" s="152">
        <f t="shared" si="66"/>
        <v>37376</v>
      </c>
      <c r="C134" s="435"/>
      <c r="D134" s="149" t="s">
        <v>99</v>
      </c>
      <c r="E134" s="149">
        <f t="shared" si="85"/>
        <v>30</v>
      </c>
      <c r="F134" s="153">
        <f>IF(AND(A134&gt;=$F$1,B134&lt;=$F$2),((VLOOKUP(YEAR(B134),'DIF MES'!A$2:E$38,5)*E134)/30),0)</f>
        <v>0</v>
      </c>
      <c r="G134" s="154">
        <f>VLOOKUP(100*YEAR(A134)+MONTH(A134)-1,IPC!A$14:E$861,2)</f>
        <v>47.87</v>
      </c>
      <c r="H134" s="151">
        <f t="shared" ref="H134:H197" si="86">+$H$4</f>
        <v>105.29</v>
      </c>
      <c r="I134" s="153">
        <f t="shared" si="56"/>
        <v>0</v>
      </c>
      <c r="J134" s="153">
        <f t="shared" si="43"/>
        <v>0</v>
      </c>
      <c r="K134" s="155">
        <f t="shared" ref="K134:K197" si="87">IF(D134="adicional", 0, +I134*0.12)</f>
        <v>0</v>
      </c>
      <c r="L134" s="153">
        <f t="shared" ref="L134:L197" si="88">+I134-K134</f>
        <v>0</v>
      </c>
      <c r="M134" s="184"/>
      <c r="N134" s="6"/>
    </row>
    <row r="135" spans="1:14" x14ac:dyDescent="0.35">
      <c r="A135" s="152">
        <f t="shared" si="65"/>
        <v>37377</v>
      </c>
      <c r="B135" s="152">
        <f t="shared" si="66"/>
        <v>37407</v>
      </c>
      <c r="C135" s="435"/>
      <c r="D135" s="149" t="s">
        <v>100</v>
      </c>
      <c r="E135" s="149">
        <f t="shared" si="85"/>
        <v>30</v>
      </c>
      <c r="F135" s="153">
        <f>IF(AND(A135&gt;=$F$1,B135&lt;=$F$2),((VLOOKUP(YEAR(B135),'DIF MES'!A$2:E$38,5)*E135)/30),0)</f>
        <v>0</v>
      </c>
      <c r="G135" s="154">
        <f>VLOOKUP(100*YEAR(A135)+MONTH(A135)-1,IPC!A$14:E$861,2)</f>
        <v>48.31</v>
      </c>
      <c r="H135" s="151">
        <f t="shared" si="86"/>
        <v>105.29</v>
      </c>
      <c r="I135" s="153">
        <f t="shared" si="56"/>
        <v>0</v>
      </c>
      <c r="J135" s="153">
        <f t="shared" ref="J135:J198" si="89">+I135-F135</f>
        <v>0</v>
      </c>
      <c r="K135" s="155">
        <f t="shared" si="87"/>
        <v>0</v>
      </c>
      <c r="L135" s="153">
        <f t="shared" si="88"/>
        <v>0</v>
      </c>
      <c r="M135" s="184"/>
      <c r="N135" s="6"/>
    </row>
    <row r="136" spans="1:14" x14ac:dyDescent="0.35">
      <c r="A136" s="156">
        <f t="shared" ref="A136" si="90">A137</f>
        <v>37408</v>
      </c>
      <c r="B136" s="156">
        <f t="shared" ref="B136" si="91">B137</f>
        <v>37437</v>
      </c>
      <c r="C136" s="435"/>
      <c r="D136" s="157" t="s">
        <v>101</v>
      </c>
      <c r="E136" s="157">
        <f t="shared" si="85"/>
        <v>30</v>
      </c>
      <c r="F136" s="153">
        <f>IF(AND(A136&gt;=$F$1,B136&lt;=$F$2),((VLOOKUP(YEAR(B136),'DIF MES'!A$2:E$38,5)*E136)/30),0)</f>
        <v>0</v>
      </c>
      <c r="G136" s="158">
        <f>VLOOKUP(100*YEAR(A136)+MONTH(A136)-1,IPC!A$14:E$861,2)</f>
        <v>48.6</v>
      </c>
      <c r="H136" s="159">
        <f t="shared" si="86"/>
        <v>105.29</v>
      </c>
      <c r="I136" s="160">
        <f>F136*(H136/G136)</f>
        <v>0</v>
      </c>
      <c r="J136" s="161">
        <f>+I136-F136</f>
        <v>0</v>
      </c>
      <c r="K136" s="162">
        <f>IF(D136="adicional", 0, +I136*0.12)</f>
        <v>0</v>
      </c>
      <c r="L136" s="161">
        <f>+I136-K136</f>
        <v>0</v>
      </c>
      <c r="M136" s="184"/>
      <c r="N136" s="6"/>
    </row>
    <row r="137" spans="1:14" x14ac:dyDescent="0.35">
      <c r="A137" s="152">
        <f t="shared" ref="A137" si="92">IF(
AND(YEAR(B135)=YEAR(DATE(YEAR($F$1),MONTH($F$1)-1,1)),
MONTH(B135)=MONTH(DATE(YEAR($F$1),MONTH($F$1)-1,1))),
$F$1,
DATE(YEAR(B135),MONTH(B135)+1,1))</f>
        <v>37408</v>
      </c>
      <c r="B137" s="152">
        <f t="shared" ref="B137" si="93">IF(
AND(
YEAR(B135)=YEAR(DATE(YEAR($F$2),MONTH($F$2)-1,1)),
MONTH(B135)=MONTH(DATE(YEAR($F$2),MONTH($F$2)-1,1))
),
$F$2,
EOMONTH(B135,1)
)</f>
        <v>37437</v>
      </c>
      <c r="C137" s="435"/>
      <c r="D137" s="149" t="s">
        <v>102</v>
      </c>
      <c r="E137" s="149">
        <f t="shared" si="85"/>
        <v>30</v>
      </c>
      <c r="F137" s="153">
        <f>IF(AND(A137&gt;=$F$1,B137&lt;=$F$2),((VLOOKUP(YEAR(B137),'DIF MES'!A$2:E$38,5)*E137)/30),0)</f>
        <v>0</v>
      </c>
      <c r="G137" s="154">
        <f>VLOOKUP(100*YEAR(A137)+MONTH(A137)-1,IPC!A$14:E$861,2)</f>
        <v>48.6</v>
      </c>
      <c r="H137" s="151">
        <f t="shared" si="86"/>
        <v>105.29</v>
      </c>
      <c r="I137" s="153">
        <f>F137*(H137/G137)</f>
        <v>0</v>
      </c>
      <c r="J137" s="153">
        <f>+I137-F137</f>
        <v>0</v>
      </c>
      <c r="K137" s="155">
        <f>IF(D137="adicional", 0, +I137*0.12)</f>
        <v>0</v>
      </c>
      <c r="L137" s="153">
        <f>+I137-K137</f>
        <v>0</v>
      </c>
      <c r="M137" s="184"/>
      <c r="N137" s="6"/>
    </row>
    <row r="138" spans="1:14" x14ac:dyDescent="0.35">
      <c r="A138" s="152">
        <f t="shared" si="71"/>
        <v>37438</v>
      </c>
      <c r="B138" s="152">
        <f t="shared" si="72"/>
        <v>37468</v>
      </c>
      <c r="C138" s="435"/>
      <c r="D138" s="149" t="s">
        <v>103</v>
      </c>
      <c r="E138" s="149">
        <f t="shared" si="85"/>
        <v>30</v>
      </c>
      <c r="F138" s="153">
        <f>IF(AND(A138&gt;=$F$1,B138&lt;=$F$2),((VLOOKUP(YEAR(B138),'DIF MES'!A$2:E$38,5)*E138)/30),0)</f>
        <v>0</v>
      </c>
      <c r="G138" s="154">
        <f>VLOOKUP(100*YEAR(A138)+MONTH(A138)-1,IPC!A$14:E$861,2)</f>
        <v>48.81</v>
      </c>
      <c r="H138" s="151">
        <f t="shared" si="86"/>
        <v>105.29</v>
      </c>
      <c r="I138" s="153">
        <f t="shared" si="56"/>
        <v>0</v>
      </c>
      <c r="J138" s="153">
        <f t="shared" si="89"/>
        <v>0</v>
      </c>
      <c r="K138" s="155">
        <f t="shared" si="87"/>
        <v>0</v>
      </c>
      <c r="L138" s="153">
        <f t="shared" si="88"/>
        <v>0</v>
      </c>
      <c r="M138" s="184"/>
      <c r="N138" s="6"/>
    </row>
    <row r="139" spans="1:14" x14ac:dyDescent="0.35">
      <c r="A139" s="152">
        <f t="shared" si="71"/>
        <v>37469</v>
      </c>
      <c r="B139" s="152">
        <f t="shared" si="72"/>
        <v>37499</v>
      </c>
      <c r="C139" s="435"/>
      <c r="D139" s="149" t="s">
        <v>104</v>
      </c>
      <c r="E139" s="149">
        <f t="shared" si="85"/>
        <v>30</v>
      </c>
      <c r="F139" s="153">
        <f>IF(AND(A139&gt;=$F$1,B139&lt;=$F$2),((VLOOKUP(YEAR(B139),'DIF MES'!A$2:E$38,5)*E139)/30),0)</f>
        <v>0</v>
      </c>
      <c r="G139" s="154">
        <f>VLOOKUP(100*YEAR(A139)+MONTH(A139)-1,IPC!A$14:E$861,2)</f>
        <v>48.82</v>
      </c>
      <c r="H139" s="151">
        <f t="shared" si="86"/>
        <v>105.29</v>
      </c>
      <c r="I139" s="153">
        <f t="shared" si="56"/>
        <v>0</v>
      </c>
      <c r="J139" s="153">
        <f t="shared" si="89"/>
        <v>0</v>
      </c>
      <c r="K139" s="155">
        <f t="shared" si="87"/>
        <v>0</v>
      </c>
      <c r="L139" s="153">
        <f t="shared" si="88"/>
        <v>0</v>
      </c>
      <c r="M139" s="184"/>
      <c r="N139" s="6"/>
    </row>
    <row r="140" spans="1:14" ht="20" x14ac:dyDescent="0.35">
      <c r="A140" s="152">
        <f t="shared" si="71"/>
        <v>37500</v>
      </c>
      <c r="B140" s="152">
        <f t="shared" si="72"/>
        <v>37529</v>
      </c>
      <c r="C140" s="435"/>
      <c r="D140" s="149" t="s">
        <v>105</v>
      </c>
      <c r="E140" s="149">
        <f t="shared" si="85"/>
        <v>30</v>
      </c>
      <c r="F140" s="153">
        <f>IF(AND(A140&gt;=$F$1,B140&lt;=$F$2),((VLOOKUP(YEAR(B140),'DIF MES'!A$2:E$38,5)*E140)/30),0)</f>
        <v>0</v>
      </c>
      <c r="G140" s="154">
        <f>VLOOKUP(100*YEAR(A140)+MONTH(A140)-1,IPC!A$14:E$861,2)</f>
        <v>48.87</v>
      </c>
      <c r="H140" s="151">
        <f t="shared" si="86"/>
        <v>105.29</v>
      </c>
      <c r="I140" s="153">
        <f t="shared" si="56"/>
        <v>0</v>
      </c>
      <c r="J140" s="153">
        <f t="shared" si="89"/>
        <v>0</v>
      </c>
      <c r="K140" s="155">
        <f t="shared" si="87"/>
        <v>0</v>
      </c>
      <c r="L140" s="153">
        <f t="shared" si="88"/>
        <v>0</v>
      </c>
      <c r="M140" s="184"/>
      <c r="N140" s="6"/>
    </row>
    <row r="141" spans="1:14" ht="12.75" customHeight="1" x14ac:dyDescent="0.35">
      <c r="A141" s="152">
        <f t="shared" si="71"/>
        <v>37530</v>
      </c>
      <c r="B141" s="152">
        <f t="shared" si="72"/>
        <v>37560</v>
      </c>
      <c r="C141" s="435"/>
      <c r="D141" s="149" t="s">
        <v>106</v>
      </c>
      <c r="E141" s="149">
        <f t="shared" si="85"/>
        <v>30</v>
      </c>
      <c r="F141" s="153">
        <f>IF(AND(A141&gt;=$F$1,B141&lt;=$F$2),((VLOOKUP(YEAR(B141),'DIF MES'!A$2:E$38,5)*E141)/30),0)</f>
        <v>0</v>
      </c>
      <c r="G141" s="154">
        <f>VLOOKUP(100*YEAR(A141)+MONTH(A141)-1,IPC!A$14:E$861,2)</f>
        <v>49.04</v>
      </c>
      <c r="H141" s="151">
        <f t="shared" si="86"/>
        <v>105.29</v>
      </c>
      <c r="I141" s="153">
        <f t="shared" si="56"/>
        <v>0</v>
      </c>
      <c r="J141" s="153">
        <f t="shared" si="89"/>
        <v>0</v>
      </c>
      <c r="K141" s="155">
        <f t="shared" si="87"/>
        <v>0</v>
      </c>
      <c r="L141" s="153">
        <f t="shared" si="88"/>
        <v>0</v>
      </c>
      <c r="M141" s="184"/>
      <c r="N141" s="6"/>
    </row>
    <row r="142" spans="1:14" x14ac:dyDescent="0.35">
      <c r="A142" s="152">
        <f t="shared" si="71"/>
        <v>37561</v>
      </c>
      <c r="B142" s="152">
        <f t="shared" si="72"/>
        <v>37590</v>
      </c>
      <c r="C142" s="435"/>
      <c r="D142" s="149" t="s">
        <v>107</v>
      </c>
      <c r="E142" s="149">
        <f t="shared" si="85"/>
        <v>30</v>
      </c>
      <c r="F142" s="153">
        <f>IF(AND(A142&gt;=$F$1,B142&lt;=$F$2),((VLOOKUP(YEAR(B142),'DIF MES'!A$2:E$38,5)*E142)/30),0)</f>
        <v>0</v>
      </c>
      <c r="G142" s="154">
        <f>VLOOKUP(100*YEAR(A142)+MONTH(A142)-1,IPC!A$14:E$861,2)</f>
        <v>49.32</v>
      </c>
      <c r="H142" s="151">
        <f t="shared" si="86"/>
        <v>105.29</v>
      </c>
      <c r="I142" s="153">
        <f t="shared" si="56"/>
        <v>0</v>
      </c>
      <c r="J142" s="153">
        <f t="shared" si="89"/>
        <v>0</v>
      </c>
      <c r="K142" s="155">
        <f t="shared" si="87"/>
        <v>0</v>
      </c>
      <c r="L142" s="153">
        <f t="shared" si="88"/>
        <v>0</v>
      </c>
      <c r="M142" s="184"/>
      <c r="N142" s="6"/>
    </row>
    <row r="143" spans="1:14" x14ac:dyDescent="0.35">
      <c r="A143" s="156">
        <f t="shared" ref="A143" si="94">A142</f>
        <v>37561</v>
      </c>
      <c r="B143" s="156">
        <f t="shared" ref="B143" si="95">B142</f>
        <v>37590</v>
      </c>
      <c r="C143" s="435"/>
      <c r="D143" s="157" t="s">
        <v>101</v>
      </c>
      <c r="E143" s="157">
        <f t="shared" si="85"/>
        <v>30</v>
      </c>
      <c r="F143" s="153">
        <f>IF(AND(A143&gt;=$F$1,B143&lt;=$F$2),((VLOOKUP(YEAR(B143),'DIF MES'!A$2:E$38,5)*E143)/30),0)</f>
        <v>0</v>
      </c>
      <c r="G143" s="158">
        <f>VLOOKUP(100*YEAR(A143)+MONTH(A143)-1,IPC!A$14:E$861,2)</f>
        <v>49.32</v>
      </c>
      <c r="H143" s="159">
        <f t="shared" si="86"/>
        <v>105.29</v>
      </c>
      <c r="I143" s="161">
        <f t="shared" si="56"/>
        <v>0</v>
      </c>
      <c r="J143" s="161">
        <f t="shared" si="89"/>
        <v>0</v>
      </c>
      <c r="K143" s="162">
        <f t="shared" si="87"/>
        <v>0</v>
      </c>
      <c r="L143" s="161">
        <f t="shared" si="88"/>
        <v>0</v>
      </c>
      <c r="M143" s="184"/>
      <c r="N143" s="6"/>
    </row>
    <row r="144" spans="1:14" x14ac:dyDescent="0.35">
      <c r="A144" s="152">
        <f t="shared" ref="A144" si="96">IF(
AND(YEAR(B142)=YEAR(DATE(YEAR($F$1),MONTH($F$1)-1,1)),
MONTH(B142)=MONTH(DATE(YEAR($F$1),MONTH($F$1)-1,1))),
$F$1,
DATE(YEAR(B142),MONTH(B142)+1,1))</f>
        <v>37591</v>
      </c>
      <c r="B144" s="152">
        <f t="shared" ref="B144" si="97">IF(
AND(
YEAR(B142)=YEAR(DATE(YEAR($F$2),MONTH($F$2)-1,1)),
MONTH(B142)=MONTH(DATE(YEAR($F$2),MONTH($F$2)-1,1))
),
$F$2,
EOMONTH(B142,1)
)</f>
        <v>37621</v>
      </c>
      <c r="C144" s="436"/>
      <c r="D144" s="149" t="s">
        <v>108</v>
      </c>
      <c r="E144" s="149">
        <f t="shared" si="85"/>
        <v>30</v>
      </c>
      <c r="F144" s="153">
        <f>IF(AND(A144&gt;=$F$1,B144&lt;=$F$2),((VLOOKUP(YEAR(B144),'DIF MES'!A$2:E$38,5)*E144)/30),0)</f>
        <v>0</v>
      </c>
      <c r="G144" s="154">
        <f>VLOOKUP(100*YEAR(A144)+MONTH(A144)-1,IPC!A$14:E$861,2)</f>
        <v>49.7</v>
      </c>
      <c r="H144" s="151">
        <f t="shared" si="86"/>
        <v>105.29</v>
      </c>
      <c r="I144" s="153">
        <f t="shared" si="56"/>
        <v>0</v>
      </c>
      <c r="J144" s="153">
        <f t="shared" si="89"/>
        <v>0</v>
      </c>
      <c r="K144" s="155">
        <f t="shared" si="87"/>
        <v>0</v>
      </c>
      <c r="L144" s="153">
        <f t="shared" si="88"/>
        <v>0</v>
      </c>
      <c r="M144" s="184"/>
      <c r="N144" s="6"/>
    </row>
    <row r="145" spans="1:18" x14ac:dyDescent="0.35">
      <c r="A145" s="152">
        <f t="shared" si="65"/>
        <v>37622</v>
      </c>
      <c r="B145" s="152">
        <f t="shared" si="66"/>
        <v>37652</v>
      </c>
      <c r="C145" s="434">
        <v>2003</v>
      </c>
      <c r="D145" s="149" t="s">
        <v>96</v>
      </c>
      <c r="E145" s="149">
        <f t="shared" si="85"/>
        <v>30</v>
      </c>
      <c r="F145" s="153">
        <f>IF(AND(A145&gt;=$F$1,B145&lt;=$F$2),((VLOOKUP(YEAR(B145),'DIF MES'!A$2:E$38,5)*E145)/30),0)</f>
        <v>0</v>
      </c>
      <c r="G145" s="154">
        <f>VLOOKUP(100*YEAR(A145)+MONTH(A145)-1,IPC!A$14:E$861,2)</f>
        <v>49.83</v>
      </c>
      <c r="H145" s="151">
        <f t="shared" si="86"/>
        <v>105.29</v>
      </c>
      <c r="I145" s="153">
        <f t="shared" si="56"/>
        <v>0</v>
      </c>
      <c r="J145" s="153">
        <f t="shared" si="89"/>
        <v>0</v>
      </c>
      <c r="K145" s="155">
        <f t="shared" si="87"/>
        <v>0</v>
      </c>
      <c r="L145" s="153">
        <f t="shared" si="88"/>
        <v>0</v>
      </c>
      <c r="M145" s="184"/>
      <c r="N145" s="6"/>
    </row>
    <row r="146" spans="1:18" x14ac:dyDescent="0.35">
      <c r="A146" s="152">
        <f t="shared" si="65"/>
        <v>37653</v>
      </c>
      <c r="B146" s="152">
        <f t="shared" si="66"/>
        <v>37680</v>
      </c>
      <c r="C146" s="435"/>
      <c r="D146" s="149" t="s">
        <v>97</v>
      </c>
      <c r="E146" s="149">
        <f t="shared" si="85"/>
        <v>30</v>
      </c>
      <c r="F146" s="153">
        <f>IF(AND(A146&gt;=$F$1,B146&lt;=$F$2),((VLOOKUP(YEAR(B146),'DIF MES'!A$2:E$38,5)*E146)/30),0)</f>
        <v>0</v>
      </c>
      <c r="G146" s="154">
        <f>VLOOKUP(100*YEAR(A146)+MONTH(A146)-1,IPC!A$14:E$861,2)</f>
        <v>50.42</v>
      </c>
      <c r="H146" s="151">
        <f t="shared" si="86"/>
        <v>105.29</v>
      </c>
      <c r="I146" s="153">
        <f t="shared" si="56"/>
        <v>0</v>
      </c>
      <c r="J146" s="153">
        <f t="shared" si="89"/>
        <v>0</v>
      </c>
      <c r="K146" s="155">
        <f t="shared" si="87"/>
        <v>0</v>
      </c>
      <c r="L146" s="153">
        <f t="shared" si="88"/>
        <v>0</v>
      </c>
      <c r="M146" s="184"/>
      <c r="N146" s="6"/>
    </row>
    <row r="147" spans="1:18" x14ac:dyDescent="0.35">
      <c r="A147" s="152">
        <f t="shared" si="65"/>
        <v>37681</v>
      </c>
      <c r="B147" s="152">
        <f t="shared" si="66"/>
        <v>37711</v>
      </c>
      <c r="C147" s="435"/>
      <c r="D147" s="149" t="s">
        <v>98</v>
      </c>
      <c r="E147" s="149">
        <f t="shared" si="85"/>
        <v>30</v>
      </c>
      <c r="F147" s="153">
        <f>IF(AND(A147&gt;=$F$1,B147&lt;=$F$2),((VLOOKUP(YEAR(B147),'DIF MES'!A$2:E$38,5)*E147)/30),0)</f>
        <v>0</v>
      </c>
      <c r="G147" s="154">
        <f>VLOOKUP(100*YEAR(A147)+MONTH(A147)-1,IPC!A$14:E$861,2)</f>
        <v>50.98</v>
      </c>
      <c r="H147" s="151">
        <f t="shared" si="86"/>
        <v>105.29</v>
      </c>
      <c r="I147" s="153">
        <f t="shared" si="56"/>
        <v>0</v>
      </c>
      <c r="J147" s="153">
        <f t="shared" si="89"/>
        <v>0</v>
      </c>
      <c r="K147" s="155">
        <f t="shared" si="87"/>
        <v>0</v>
      </c>
      <c r="L147" s="153">
        <f t="shared" si="88"/>
        <v>0</v>
      </c>
      <c r="M147" s="184"/>
      <c r="N147" s="6"/>
      <c r="O147" s="4"/>
      <c r="R147" s="4"/>
    </row>
    <row r="148" spans="1:18" x14ac:dyDescent="0.35">
      <c r="A148" s="152">
        <f t="shared" si="65"/>
        <v>37712</v>
      </c>
      <c r="B148" s="152">
        <f t="shared" si="66"/>
        <v>37741</v>
      </c>
      <c r="C148" s="435"/>
      <c r="D148" s="149" t="s">
        <v>99</v>
      </c>
      <c r="E148" s="149">
        <f t="shared" si="85"/>
        <v>30</v>
      </c>
      <c r="F148" s="153">
        <f>IF(AND(A148&gt;=$F$1,B148&lt;=$F$2),((VLOOKUP(YEAR(B148),'DIF MES'!A$2:E$38,5)*E148)/30),0)</f>
        <v>0</v>
      </c>
      <c r="G148" s="154">
        <f>VLOOKUP(100*YEAR(A148)+MONTH(A148)-1,IPC!A$14:E$861,2)</f>
        <v>51.51</v>
      </c>
      <c r="H148" s="151">
        <f t="shared" si="86"/>
        <v>105.29</v>
      </c>
      <c r="I148" s="153">
        <f t="shared" si="56"/>
        <v>0</v>
      </c>
      <c r="J148" s="153">
        <f t="shared" si="89"/>
        <v>0</v>
      </c>
      <c r="K148" s="155">
        <f t="shared" si="87"/>
        <v>0</v>
      </c>
      <c r="L148" s="153">
        <f t="shared" si="88"/>
        <v>0</v>
      </c>
      <c r="M148" s="184"/>
      <c r="N148" s="6"/>
    </row>
    <row r="149" spans="1:18" x14ac:dyDescent="0.35">
      <c r="A149" s="152">
        <f t="shared" si="65"/>
        <v>37742</v>
      </c>
      <c r="B149" s="152">
        <f t="shared" si="66"/>
        <v>37772</v>
      </c>
      <c r="C149" s="435"/>
      <c r="D149" s="149" t="s">
        <v>100</v>
      </c>
      <c r="E149" s="149">
        <f t="shared" si="85"/>
        <v>30</v>
      </c>
      <c r="F149" s="153">
        <f>IF(AND(A149&gt;=$F$1,B149&lt;=$F$2),((VLOOKUP(YEAR(B149),'DIF MES'!A$2:E$38,5)*E149)/30),0)</f>
        <v>0</v>
      </c>
      <c r="G149" s="154">
        <f>VLOOKUP(100*YEAR(A149)+MONTH(A149)-1,IPC!A$14:E$861,2)</f>
        <v>52.1</v>
      </c>
      <c r="H149" s="151">
        <f t="shared" si="86"/>
        <v>105.29</v>
      </c>
      <c r="I149" s="153">
        <f t="shared" si="56"/>
        <v>0</v>
      </c>
      <c r="J149" s="153">
        <f t="shared" si="89"/>
        <v>0</v>
      </c>
      <c r="K149" s="155">
        <f t="shared" si="87"/>
        <v>0</v>
      </c>
      <c r="L149" s="153">
        <f t="shared" si="88"/>
        <v>0</v>
      </c>
      <c r="M149" s="184"/>
      <c r="N149" s="6"/>
    </row>
    <row r="150" spans="1:18" x14ac:dyDescent="0.35">
      <c r="A150" s="156">
        <f t="shared" ref="A150" si="98">A151</f>
        <v>37773</v>
      </c>
      <c r="B150" s="156">
        <f t="shared" ref="B150" si="99">B151</f>
        <v>37802</v>
      </c>
      <c r="C150" s="435"/>
      <c r="D150" s="157" t="s">
        <v>101</v>
      </c>
      <c r="E150" s="157">
        <f t="shared" si="85"/>
        <v>30</v>
      </c>
      <c r="F150" s="153">
        <f>IF(AND(A150&gt;=$F$1,B150&lt;=$F$2),((VLOOKUP(YEAR(B150),'DIF MES'!A$2:E$38,5)*E150)/30),0)</f>
        <v>0</v>
      </c>
      <c r="G150" s="158">
        <f>VLOOKUP(100*YEAR(A150)+MONTH(A150)-1,IPC!A$14:E$861,2)</f>
        <v>52.36</v>
      </c>
      <c r="H150" s="159">
        <f t="shared" si="86"/>
        <v>105.29</v>
      </c>
      <c r="I150" s="160">
        <f>F150*(H150/G150)</f>
        <v>0</v>
      </c>
      <c r="J150" s="161">
        <f>+I150-F150</f>
        <v>0</v>
      </c>
      <c r="K150" s="162">
        <f>IF(D150="adicional", 0, +I150*0.12)</f>
        <v>0</v>
      </c>
      <c r="L150" s="161">
        <f>+I150-K150</f>
        <v>0</v>
      </c>
      <c r="M150" s="184"/>
      <c r="N150" s="6"/>
    </row>
    <row r="151" spans="1:18" x14ac:dyDescent="0.35">
      <c r="A151" s="152">
        <f t="shared" ref="A151" si="100">IF(
AND(YEAR(B149)=YEAR(DATE(YEAR($F$1),MONTH($F$1)-1,1)),
MONTH(B149)=MONTH(DATE(YEAR($F$1),MONTH($F$1)-1,1))),
$F$1,
DATE(YEAR(B149),MONTH(B149)+1,1))</f>
        <v>37773</v>
      </c>
      <c r="B151" s="152">
        <f t="shared" ref="B151" si="101">IF(
AND(
YEAR(B149)=YEAR(DATE(YEAR($F$2),MONTH($F$2)-1,1)),
MONTH(B149)=MONTH(DATE(YEAR($F$2),MONTH($F$2)-1,1))
),
$F$2,
EOMONTH(B149,1)
)</f>
        <v>37802</v>
      </c>
      <c r="C151" s="435"/>
      <c r="D151" s="149" t="s">
        <v>102</v>
      </c>
      <c r="E151" s="149">
        <f t="shared" si="85"/>
        <v>30</v>
      </c>
      <c r="F151" s="153">
        <f>IF(AND(A151&gt;=$F$1,B151&lt;=$F$2),((VLOOKUP(YEAR(B151),'DIF MES'!A$2:E$38,5)*E151)/30),0)</f>
        <v>0</v>
      </c>
      <c r="G151" s="154">
        <f>VLOOKUP(100*YEAR(A151)+MONTH(A151)-1,IPC!A$14:E$861,2)</f>
        <v>52.36</v>
      </c>
      <c r="H151" s="151">
        <f t="shared" si="86"/>
        <v>105.29</v>
      </c>
      <c r="I151" s="153">
        <f>F151*(H151/G151)</f>
        <v>0</v>
      </c>
      <c r="J151" s="153">
        <f>+I151-F151</f>
        <v>0</v>
      </c>
      <c r="K151" s="155">
        <f>IF(D151="adicional", 0, +I151*0.12)</f>
        <v>0</v>
      </c>
      <c r="L151" s="153">
        <f>+I151-K151</f>
        <v>0</v>
      </c>
      <c r="M151" s="184"/>
      <c r="N151" s="6"/>
    </row>
    <row r="152" spans="1:18" x14ac:dyDescent="0.35">
      <c r="A152" s="152">
        <f t="shared" si="71"/>
        <v>37803</v>
      </c>
      <c r="B152" s="152">
        <f t="shared" si="72"/>
        <v>37833</v>
      </c>
      <c r="C152" s="435"/>
      <c r="D152" s="149" t="s">
        <v>103</v>
      </c>
      <c r="E152" s="149">
        <f t="shared" si="85"/>
        <v>30</v>
      </c>
      <c r="F152" s="153">
        <f>IF(AND(A152&gt;=$F$1,B152&lt;=$F$2),((VLOOKUP(YEAR(B152),'DIF MES'!A$2:E$38,5)*E152)/30),0)</f>
        <v>0</v>
      </c>
      <c r="G152" s="154">
        <f>VLOOKUP(100*YEAR(A152)+MONTH(A152)-1,IPC!A$14:E$861,2)</f>
        <v>52.33</v>
      </c>
      <c r="H152" s="151">
        <f t="shared" si="86"/>
        <v>105.29</v>
      </c>
      <c r="I152" s="153">
        <f t="shared" si="56"/>
        <v>0</v>
      </c>
      <c r="J152" s="153">
        <f t="shared" si="89"/>
        <v>0</v>
      </c>
      <c r="K152" s="155">
        <f t="shared" si="87"/>
        <v>0</v>
      </c>
      <c r="L152" s="153">
        <f t="shared" si="88"/>
        <v>0</v>
      </c>
      <c r="M152" s="184"/>
      <c r="N152" s="6"/>
    </row>
    <row r="153" spans="1:18" x14ac:dyDescent="0.35">
      <c r="A153" s="152">
        <f t="shared" si="71"/>
        <v>37834</v>
      </c>
      <c r="B153" s="152">
        <f t="shared" si="72"/>
        <v>37864</v>
      </c>
      <c r="C153" s="435"/>
      <c r="D153" s="149" t="s">
        <v>104</v>
      </c>
      <c r="E153" s="149">
        <f t="shared" si="85"/>
        <v>30</v>
      </c>
      <c r="F153" s="153">
        <f>IF(AND(A153&gt;=$F$1,B153&lt;=$F$2),((VLOOKUP(YEAR(B153),'DIF MES'!A$2:E$38,5)*E153)/30),0)</f>
        <v>0</v>
      </c>
      <c r="G153" s="154">
        <f>VLOOKUP(100*YEAR(A153)+MONTH(A153)-1,IPC!A$14:E$861,2)</f>
        <v>52.26</v>
      </c>
      <c r="H153" s="151">
        <f t="shared" si="86"/>
        <v>105.29</v>
      </c>
      <c r="I153" s="153">
        <f t="shared" si="56"/>
        <v>0</v>
      </c>
      <c r="J153" s="153">
        <f t="shared" si="89"/>
        <v>0</v>
      </c>
      <c r="K153" s="155">
        <f t="shared" si="87"/>
        <v>0</v>
      </c>
      <c r="L153" s="153">
        <f t="shared" si="88"/>
        <v>0</v>
      </c>
      <c r="M153" s="184"/>
      <c r="N153" s="6"/>
    </row>
    <row r="154" spans="1:18" ht="20" x14ac:dyDescent="0.35">
      <c r="A154" s="152">
        <f t="shared" si="71"/>
        <v>37865</v>
      </c>
      <c r="B154" s="152">
        <f t="shared" si="72"/>
        <v>37894</v>
      </c>
      <c r="C154" s="435"/>
      <c r="D154" s="149" t="s">
        <v>105</v>
      </c>
      <c r="E154" s="149">
        <f t="shared" si="85"/>
        <v>30</v>
      </c>
      <c r="F154" s="153">
        <f>IF(AND(A154&gt;=$F$1,B154&lt;=$F$2),((VLOOKUP(YEAR(B154),'DIF MES'!A$2:E$38,5)*E154)/30),0)</f>
        <v>0</v>
      </c>
      <c r="G154" s="154">
        <f>VLOOKUP(100*YEAR(A154)+MONTH(A154)-1,IPC!A$14:E$861,2)</f>
        <v>52.42</v>
      </c>
      <c r="H154" s="151">
        <f t="shared" si="86"/>
        <v>105.29</v>
      </c>
      <c r="I154" s="153">
        <f t="shared" ref="I154:I217" si="102">F154*(H154/G154)</f>
        <v>0</v>
      </c>
      <c r="J154" s="153">
        <f t="shared" si="89"/>
        <v>0</v>
      </c>
      <c r="K154" s="155">
        <f t="shared" si="87"/>
        <v>0</v>
      </c>
      <c r="L154" s="153">
        <f t="shared" si="88"/>
        <v>0</v>
      </c>
      <c r="M154" s="184"/>
      <c r="N154" s="6"/>
    </row>
    <row r="155" spans="1:18" x14ac:dyDescent="0.35">
      <c r="A155" s="152">
        <f t="shared" si="71"/>
        <v>37895</v>
      </c>
      <c r="B155" s="152">
        <f t="shared" si="72"/>
        <v>37925</v>
      </c>
      <c r="C155" s="435"/>
      <c r="D155" s="149" t="s">
        <v>106</v>
      </c>
      <c r="E155" s="149">
        <f t="shared" si="85"/>
        <v>30</v>
      </c>
      <c r="F155" s="153">
        <f>IF(AND(A155&gt;=$F$1,B155&lt;=$F$2),((VLOOKUP(YEAR(B155),'DIF MES'!A$2:E$38,5)*E155)/30),0)</f>
        <v>0</v>
      </c>
      <c r="G155" s="154">
        <f>VLOOKUP(100*YEAR(A155)+MONTH(A155)-1,IPC!A$14:E$861,2)</f>
        <v>52.53</v>
      </c>
      <c r="H155" s="151">
        <f t="shared" si="86"/>
        <v>105.29</v>
      </c>
      <c r="I155" s="153">
        <f t="shared" si="102"/>
        <v>0</v>
      </c>
      <c r="J155" s="153">
        <f t="shared" si="89"/>
        <v>0</v>
      </c>
      <c r="K155" s="155">
        <f t="shared" si="87"/>
        <v>0</v>
      </c>
      <c r="L155" s="153">
        <f t="shared" si="88"/>
        <v>0</v>
      </c>
      <c r="M155" s="184"/>
      <c r="N155" s="6"/>
    </row>
    <row r="156" spans="1:18" x14ac:dyDescent="0.35">
      <c r="A156" s="152">
        <f t="shared" si="71"/>
        <v>37926</v>
      </c>
      <c r="B156" s="152">
        <f t="shared" si="72"/>
        <v>37955</v>
      </c>
      <c r="C156" s="435"/>
      <c r="D156" s="149" t="s">
        <v>107</v>
      </c>
      <c r="E156" s="149">
        <f t="shared" si="85"/>
        <v>30</v>
      </c>
      <c r="F156" s="153">
        <f>IF(AND(A156&gt;=$F$1,B156&lt;=$F$2),((VLOOKUP(YEAR(B156),'DIF MES'!A$2:E$38,5)*E156)/30),0)</f>
        <v>0</v>
      </c>
      <c r="G156" s="154">
        <f>VLOOKUP(100*YEAR(A156)+MONTH(A156)-1,IPC!A$14:E$861,2)</f>
        <v>52.56</v>
      </c>
      <c r="H156" s="151">
        <f t="shared" si="86"/>
        <v>105.29</v>
      </c>
      <c r="I156" s="153">
        <f t="shared" si="102"/>
        <v>0</v>
      </c>
      <c r="J156" s="153">
        <f t="shared" si="89"/>
        <v>0</v>
      </c>
      <c r="K156" s="155">
        <f t="shared" si="87"/>
        <v>0</v>
      </c>
      <c r="L156" s="153">
        <f t="shared" si="88"/>
        <v>0</v>
      </c>
      <c r="M156" s="184"/>
      <c r="N156" s="6"/>
    </row>
    <row r="157" spans="1:18" x14ac:dyDescent="0.35">
      <c r="A157" s="156">
        <f t="shared" ref="A157" si="103">A156</f>
        <v>37926</v>
      </c>
      <c r="B157" s="156">
        <f t="shared" ref="B157" si="104">B156</f>
        <v>37955</v>
      </c>
      <c r="C157" s="435"/>
      <c r="D157" s="157" t="s">
        <v>101</v>
      </c>
      <c r="E157" s="157">
        <f t="shared" si="85"/>
        <v>30</v>
      </c>
      <c r="F157" s="153">
        <f>IF(AND(A157&gt;=$F$1,B157&lt;=$F$2),((VLOOKUP(YEAR(B157),'DIF MES'!A$2:E$38,5)*E157)/30),0)</f>
        <v>0</v>
      </c>
      <c r="G157" s="158">
        <f>VLOOKUP(100*YEAR(A157)+MONTH(A157)-1,IPC!A$14:E$861,2)</f>
        <v>52.56</v>
      </c>
      <c r="H157" s="159">
        <f t="shared" si="86"/>
        <v>105.29</v>
      </c>
      <c r="I157" s="161">
        <f t="shared" si="102"/>
        <v>0</v>
      </c>
      <c r="J157" s="161">
        <f t="shared" si="89"/>
        <v>0</v>
      </c>
      <c r="K157" s="162">
        <f t="shared" si="87"/>
        <v>0</v>
      </c>
      <c r="L157" s="161">
        <f t="shared" si="88"/>
        <v>0</v>
      </c>
      <c r="M157" s="184"/>
      <c r="N157" s="6"/>
    </row>
    <row r="158" spans="1:18" x14ac:dyDescent="0.35">
      <c r="A158" s="152">
        <f t="shared" ref="A158" si="105">IF(
AND(YEAR(B156)=YEAR(DATE(YEAR($F$1),MONTH($F$1)-1,1)),
MONTH(B156)=MONTH(DATE(YEAR($F$1),MONTH($F$1)-1,1))),
$F$1,
DATE(YEAR(B156),MONTH(B156)+1,1))</f>
        <v>37956</v>
      </c>
      <c r="B158" s="152">
        <f t="shared" ref="B158" si="106">IF(
AND(
YEAR(B156)=YEAR(DATE(YEAR($F$2),MONTH($F$2)-1,1)),
MONTH(B156)=MONTH(DATE(YEAR($F$2),MONTH($F$2)-1,1))
),
$F$2,
EOMONTH(B156,1)
)</f>
        <v>37986</v>
      </c>
      <c r="C158" s="436"/>
      <c r="D158" s="149" t="s">
        <v>108</v>
      </c>
      <c r="E158" s="149">
        <f t="shared" si="85"/>
        <v>30</v>
      </c>
      <c r="F158" s="153">
        <f>IF(AND(A158&gt;=$F$1,B158&lt;=$F$2),((VLOOKUP(YEAR(B158),'DIF MES'!A$2:E$38,5)*E158)/30),0)</f>
        <v>0</v>
      </c>
      <c r="G158" s="154">
        <f>VLOOKUP(100*YEAR(A158)+MONTH(A158)-1,IPC!A$14:E$861,2)</f>
        <v>52.75</v>
      </c>
      <c r="H158" s="151">
        <f t="shared" si="86"/>
        <v>105.29</v>
      </c>
      <c r="I158" s="153">
        <f t="shared" si="102"/>
        <v>0</v>
      </c>
      <c r="J158" s="153">
        <f t="shared" si="89"/>
        <v>0</v>
      </c>
      <c r="K158" s="155">
        <f t="shared" si="87"/>
        <v>0</v>
      </c>
      <c r="L158" s="153">
        <f t="shared" si="88"/>
        <v>0</v>
      </c>
      <c r="M158" s="184"/>
      <c r="N158" s="6"/>
    </row>
    <row r="159" spans="1:18" x14ac:dyDescent="0.35">
      <c r="A159" s="152">
        <f t="shared" si="65"/>
        <v>37987</v>
      </c>
      <c r="B159" s="152">
        <f t="shared" si="66"/>
        <v>38017</v>
      </c>
      <c r="C159" s="434">
        <v>2004</v>
      </c>
      <c r="D159" s="149" t="s">
        <v>96</v>
      </c>
      <c r="E159" s="149">
        <f t="shared" si="85"/>
        <v>30</v>
      </c>
      <c r="F159" s="153">
        <f>IF(AND(A159&gt;=$F$1,B159&lt;=$F$2),((VLOOKUP(YEAR(B159),'DIF MES'!A$2:E$38,5)*E159)/30),0)</f>
        <v>0</v>
      </c>
      <c r="G159" s="154">
        <f>VLOOKUP(100*YEAR(A159)+MONTH(A159)-1,IPC!A$14:E$861,2)</f>
        <v>53.07</v>
      </c>
      <c r="H159" s="151">
        <f t="shared" si="86"/>
        <v>105.29</v>
      </c>
      <c r="I159" s="153">
        <f t="shared" si="102"/>
        <v>0</v>
      </c>
      <c r="J159" s="153">
        <f t="shared" si="89"/>
        <v>0</v>
      </c>
      <c r="K159" s="155">
        <f t="shared" si="87"/>
        <v>0</v>
      </c>
      <c r="L159" s="153">
        <f t="shared" si="88"/>
        <v>0</v>
      </c>
      <c r="M159" s="184"/>
      <c r="N159" s="6"/>
    </row>
    <row r="160" spans="1:18" x14ac:dyDescent="0.35">
      <c r="A160" s="152">
        <f t="shared" si="65"/>
        <v>38018</v>
      </c>
      <c r="B160" s="152">
        <f t="shared" si="66"/>
        <v>38046</v>
      </c>
      <c r="C160" s="435"/>
      <c r="D160" s="149" t="s">
        <v>97</v>
      </c>
      <c r="E160" s="149">
        <f t="shared" si="85"/>
        <v>30</v>
      </c>
      <c r="F160" s="153">
        <f>IF(AND(A160&gt;=$F$1,B160&lt;=$F$2),((VLOOKUP(YEAR(B160),'DIF MES'!A$2:E$38,5)*E160)/30),0)</f>
        <v>0</v>
      </c>
      <c r="G160" s="154">
        <f>VLOOKUP(100*YEAR(A160)+MONTH(A160)-1,IPC!A$14:E$861,2)</f>
        <v>53.54</v>
      </c>
      <c r="H160" s="151">
        <f t="shared" si="86"/>
        <v>105.29</v>
      </c>
      <c r="I160" s="153">
        <f t="shared" si="102"/>
        <v>0</v>
      </c>
      <c r="J160" s="153">
        <f t="shared" si="89"/>
        <v>0</v>
      </c>
      <c r="K160" s="155">
        <f t="shared" si="87"/>
        <v>0</v>
      </c>
      <c r="L160" s="153">
        <f t="shared" si="88"/>
        <v>0</v>
      </c>
      <c r="M160" s="184"/>
      <c r="N160" s="6"/>
    </row>
    <row r="161" spans="1:14" x14ac:dyDescent="0.35">
      <c r="A161" s="152">
        <f t="shared" si="65"/>
        <v>38047</v>
      </c>
      <c r="B161" s="152">
        <f t="shared" si="66"/>
        <v>38077</v>
      </c>
      <c r="C161" s="435"/>
      <c r="D161" s="149" t="s">
        <v>98</v>
      </c>
      <c r="E161" s="149">
        <f t="shared" si="85"/>
        <v>30</v>
      </c>
      <c r="F161" s="153">
        <f>IF(AND(A161&gt;=$F$1,B161&lt;=$F$2),((VLOOKUP(YEAR(B161),'DIF MES'!A$2:E$38,5)*E161)/30),0)</f>
        <v>0</v>
      </c>
      <c r="G161" s="154">
        <f>VLOOKUP(100*YEAR(A161)+MONTH(A161)-1,IPC!A$14:E$861,2)</f>
        <v>54.18</v>
      </c>
      <c r="H161" s="151">
        <f t="shared" si="86"/>
        <v>105.29</v>
      </c>
      <c r="I161" s="153">
        <f t="shared" si="102"/>
        <v>0</v>
      </c>
      <c r="J161" s="153">
        <f t="shared" si="89"/>
        <v>0</v>
      </c>
      <c r="K161" s="155">
        <f t="shared" si="87"/>
        <v>0</v>
      </c>
      <c r="L161" s="153">
        <f t="shared" si="88"/>
        <v>0</v>
      </c>
      <c r="M161" s="184"/>
      <c r="N161" s="6"/>
    </row>
    <row r="162" spans="1:14" x14ac:dyDescent="0.35">
      <c r="A162" s="152">
        <f t="shared" si="65"/>
        <v>38078</v>
      </c>
      <c r="B162" s="152">
        <f t="shared" si="66"/>
        <v>38107</v>
      </c>
      <c r="C162" s="435"/>
      <c r="D162" s="149" t="s">
        <v>99</v>
      </c>
      <c r="E162" s="149">
        <f t="shared" si="85"/>
        <v>30</v>
      </c>
      <c r="F162" s="153">
        <f>IF(AND(A162&gt;=$F$1,B162&lt;=$F$2),((VLOOKUP(YEAR(B162),'DIF MES'!A$2:E$38,5)*E162)/30),0)</f>
        <v>0</v>
      </c>
      <c r="G162" s="154">
        <f>VLOOKUP(100*YEAR(A162)+MONTH(A162)-1,IPC!A$14:E$861,2)</f>
        <v>54.71</v>
      </c>
      <c r="H162" s="151">
        <f t="shared" si="86"/>
        <v>105.29</v>
      </c>
      <c r="I162" s="153">
        <f t="shared" si="102"/>
        <v>0</v>
      </c>
      <c r="J162" s="153">
        <f t="shared" si="89"/>
        <v>0</v>
      </c>
      <c r="K162" s="155">
        <f t="shared" si="87"/>
        <v>0</v>
      </c>
      <c r="L162" s="153">
        <f t="shared" si="88"/>
        <v>0</v>
      </c>
      <c r="M162" s="184"/>
      <c r="N162" s="6"/>
    </row>
    <row r="163" spans="1:14" x14ac:dyDescent="0.35">
      <c r="A163" s="152">
        <f t="shared" si="65"/>
        <v>38108</v>
      </c>
      <c r="B163" s="152">
        <f t="shared" si="66"/>
        <v>38138</v>
      </c>
      <c r="C163" s="435"/>
      <c r="D163" s="149" t="s">
        <v>100</v>
      </c>
      <c r="E163" s="149">
        <f t="shared" si="85"/>
        <v>30</v>
      </c>
      <c r="F163" s="153">
        <f>IF(AND(A163&gt;=$F$1,B163&lt;=$F$2),((VLOOKUP(YEAR(B163),'DIF MES'!A$2:E$38,5)*E163)/30),0)</f>
        <v>0</v>
      </c>
      <c r="G163" s="154">
        <f>VLOOKUP(100*YEAR(A163)+MONTH(A163)-1,IPC!A$14:E$861,2)</f>
        <v>54.96</v>
      </c>
      <c r="H163" s="151">
        <f t="shared" si="86"/>
        <v>105.29</v>
      </c>
      <c r="I163" s="153">
        <f t="shared" si="102"/>
        <v>0</v>
      </c>
      <c r="J163" s="153">
        <f t="shared" si="89"/>
        <v>0</v>
      </c>
      <c r="K163" s="155">
        <f t="shared" si="87"/>
        <v>0</v>
      </c>
      <c r="L163" s="153">
        <f t="shared" si="88"/>
        <v>0</v>
      </c>
      <c r="M163" s="184"/>
      <c r="N163" s="6"/>
    </row>
    <row r="164" spans="1:14" x14ac:dyDescent="0.35">
      <c r="A164" s="156">
        <f t="shared" ref="A164" si="107">A165</f>
        <v>38139</v>
      </c>
      <c r="B164" s="156">
        <f t="shared" ref="B164" si="108">B165</f>
        <v>38168</v>
      </c>
      <c r="C164" s="435"/>
      <c r="D164" s="157" t="s">
        <v>101</v>
      </c>
      <c r="E164" s="157">
        <f t="shared" si="85"/>
        <v>30</v>
      </c>
      <c r="F164" s="153">
        <f>IF(AND(A164&gt;=$F$1,B164&lt;=$F$2),((VLOOKUP(YEAR(B164),'DIF MES'!A$2:E$38,5)*E164)/30),0)</f>
        <v>0</v>
      </c>
      <c r="G164" s="158">
        <f>VLOOKUP(100*YEAR(A164)+MONTH(A164)-1,IPC!A$14:E$861,2)</f>
        <v>55.17</v>
      </c>
      <c r="H164" s="159">
        <f t="shared" si="86"/>
        <v>105.29</v>
      </c>
      <c r="I164" s="160">
        <f>F164*(H164/G164)</f>
        <v>0</v>
      </c>
      <c r="J164" s="161">
        <f>+I164-F164</f>
        <v>0</v>
      </c>
      <c r="K164" s="162">
        <f>IF(D164="adicional", 0, +I164*0.12)</f>
        <v>0</v>
      </c>
      <c r="L164" s="161">
        <f>+I164-K164</f>
        <v>0</v>
      </c>
      <c r="M164" s="184"/>
      <c r="N164" s="6"/>
    </row>
    <row r="165" spans="1:14" x14ac:dyDescent="0.35">
      <c r="A165" s="152">
        <f t="shared" ref="A165" si="109">IF(
AND(YEAR(B163)=YEAR(DATE(YEAR($F$1),MONTH($F$1)-1,1)),
MONTH(B163)=MONTH(DATE(YEAR($F$1),MONTH($F$1)-1,1))),
$F$1,
DATE(YEAR(B163),MONTH(B163)+1,1))</f>
        <v>38139</v>
      </c>
      <c r="B165" s="152">
        <f t="shared" ref="B165" si="110">IF(
AND(
YEAR(B163)=YEAR(DATE(YEAR($F$2),MONTH($F$2)-1,1)),
MONTH(B163)=MONTH(DATE(YEAR($F$2),MONTH($F$2)-1,1))
),
$F$2,
EOMONTH(B163,1)
)</f>
        <v>38168</v>
      </c>
      <c r="C165" s="435"/>
      <c r="D165" s="149" t="s">
        <v>102</v>
      </c>
      <c r="E165" s="149">
        <f t="shared" si="85"/>
        <v>30</v>
      </c>
      <c r="F165" s="153">
        <f>IF(AND(A165&gt;=$F$1,B165&lt;=$F$2),((VLOOKUP(YEAR(B165),'DIF MES'!A$2:E$38,5)*E165)/30),0)</f>
        <v>0</v>
      </c>
      <c r="G165" s="154">
        <f>VLOOKUP(100*YEAR(A165)+MONTH(A165)-1,IPC!A$14:E$861,2)</f>
        <v>55.17</v>
      </c>
      <c r="H165" s="151">
        <f t="shared" si="86"/>
        <v>105.29</v>
      </c>
      <c r="I165" s="153">
        <f>F165*(H165/G165)</f>
        <v>0</v>
      </c>
      <c r="J165" s="153">
        <f>+I165-F165</f>
        <v>0</v>
      </c>
      <c r="K165" s="155">
        <f>IF(D165="adicional", 0, +I165*0.12)</f>
        <v>0</v>
      </c>
      <c r="L165" s="153">
        <f>+I165-K165</f>
        <v>0</v>
      </c>
      <c r="M165" s="184"/>
      <c r="N165" s="6"/>
    </row>
    <row r="166" spans="1:14" x14ac:dyDescent="0.35">
      <c r="A166" s="152">
        <f t="shared" si="71"/>
        <v>38169</v>
      </c>
      <c r="B166" s="152">
        <f t="shared" si="72"/>
        <v>38199</v>
      </c>
      <c r="C166" s="435"/>
      <c r="D166" s="149" t="s">
        <v>103</v>
      </c>
      <c r="E166" s="149">
        <f t="shared" si="85"/>
        <v>30</v>
      </c>
      <c r="F166" s="153">
        <f>IF(AND(A166&gt;=$F$1,B166&lt;=$F$2),((VLOOKUP(YEAR(B166),'DIF MES'!A$2:E$38,5)*E166)/30),0)</f>
        <v>0</v>
      </c>
      <c r="G166" s="154">
        <f>VLOOKUP(100*YEAR(A166)+MONTH(A166)-1,IPC!A$14:E$861,2)</f>
        <v>55.51</v>
      </c>
      <c r="H166" s="151">
        <f t="shared" si="86"/>
        <v>105.29</v>
      </c>
      <c r="I166" s="153">
        <f t="shared" si="102"/>
        <v>0</v>
      </c>
      <c r="J166" s="153">
        <f t="shared" si="89"/>
        <v>0</v>
      </c>
      <c r="K166" s="155">
        <f t="shared" si="87"/>
        <v>0</v>
      </c>
      <c r="L166" s="153">
        <f t="shared" si="88"/>
        <v>0</v>
      </c>
      <c r="M166" s="184"/>
      <c r="N166" s="6"/>
    </row>
    <row r="167" spans="1:14" x14ac:dyDescent="0.35">
      <c r="A167" s="152">
        <f t="shared" si="71"/>
        <v>38200</v>
      </c>
      <c r="B167" s="152">
        <f t="shared" si="72"/>
        <v>38230</v>
      </c>
      <c r="C167" s="435"/>
      <c r="D167" s="149" t="s">
        <v>104</v>
      </c>
      <c r="E167" s="149">
        <f t="shared" si="85"/>
        <v>30</v>
      </c>
      <c r="F167" s="153">
        <f>IF(AND(A167&gt;=$F$1,B167&lt;=$F$2),((VLOOKUP(YEAR(B167),'DIF MES'!A$2:E$38,5)*E167)/30),0)</f>
        <v>0</v>
      </c>
      <c r="G167" s="154">
        <f>VLOOKUP(100*YEAR(A167)+MONTH(A167)-1,IPC!A$14:E$861,2)</f>
        <v>55.49</v>
      </c>
      <c r="H167" s="151">
        <f t="shared" si="86"/>
        <v>105.29</v>
      </c>
      <c r="I167" s="153">
        <f t="shared" si="102"/>
        <v>0</v>
      </c>
      <c r="J167" s="153">
        <f t="shared" si="89"/>
        <v>0</v>
      </c>
      <c r="K167" s="155">
        <f t="shared" si="87"/>
        <v>0</v>
      </c>
      <c r="L167" s="153">
        <f t="shared" si="88"/>
        <v>0</v>
      </c>
      <c r="M167" s="184"/>
      <c r="N167" s="6"/>
    </row>
    <row r="168" spans="1:14" ht="20" x14ac:dyDescent="0.35">
      <c r="A168" s="152">
        <f t="shared" si="71"/>
        <v>38231</v>
      </c>
      <c r="B168" s="152">
        <f t="shared" si="72"/>
        <v>38260</v>
      </c>
      <c r="C168" s="435"/>
      <c r="D168" s="149" t="s">
        <v>105</v>
      </c>
      <c r="E168" s="149">
        <f t="shared" si="85"/>
        <v>30</v>
      </c>
      <c r="F168" s="153">
        <f>IF(AND(A168&gt;=$F$1,B168&lt;=$F$2),((VLOOKUP(YEAR(B168),'DIF MES'!A$2:E$38,5)*E168)/30),0)</f>
        <v>0</v>
      </c>
      <c r="G168" s="154">
        <f>VLOOKUP(100*YEAR(A168)+MONTH(A168)-1,IPC!A$14:E$861,2)</f>
        <v>55.51</v>
      </c>
      <c r="H168" s="151">
        <f t="shared" si="86"/>
        <v>105.29</v>
      </c>
      <c r="I168" s="153">
        <f t="shared" si="102"/>
        <v>0</v>
      </c>
      <c r="J168" s="153">
        <f t="shared" si="89"/>
        <v>0</v>
      </c>
      <c r="K168" s="155">
        <f t="shared" si="87"/>
        <v>0</v>
      </c>
      <c r="L168" s="153">
        <f t="shared" si="88"/>
        <v>0</v>
      </c>
      <c r="M168" s="184"/>
      <c r="N168" s="6"/>
    </row>
    <row r="169" spans="1:14" x14ac:dyDescent="0.35">
      <c r="A169" s="152">
        <f t="shared" si="71"/>
        <v>38261</v>
      </c>
      <c r="B169" s="152">
        <f t="shared" si="72"/>
        <v>38291</v>
      </c>
      <c r="C169" s="435"/>
      <c r="D169" s="149" t="s">
        <v>106</v>
      </c>
      <c r="E169" s="149">
        <f t="shared" si="85"/>
        <v>30</v>
      </c>
      <c r="F169" s="153">
        <f>IF(AND(A169&gt;=$F$1,B169&lt;=$F$2),((VLOOKUP(YEAR(B169),'DIF MES'!A$2:E$38,5)*E169)/30),0)</f>
        <v>0</v>
      </c>
      <c r="G169" s="154">
        <f>VLOOKUP(100*YEAR(A169)+MONTH(A169)-1,IPC!A$14:E$861,2)</f>
        <v>55.67</v>
      </c>
      <c r="H169" s="151">
        <f t="shared" si="86"/>
        <v>105.29</v>
      </c>
      <c r="I169" s="153">
        <f t="shared" si="102"/>
        <v>0</v>
      </c>
      <c r="J169" s="153">
        <f t="shared" si="89"/>
        <v>0</v>
      </c>
      <c r="K169" s="155">
        <f t="shared" si="87"/>
        <v>0</v>
      </c>
      <c r="L169" s="153">
        <f t="shared" si="88"/>
        <v>0</v>
      </c>
      <c r="M169" s="184"/>
      <c r="N169" s="6"/>
    </row>
    <row r="170" spans="1:14" x14ac:dyDescent="0.35">
      <c r="A170" s="152">
        <f t="shared" si="71"/>
        <v>38292</v>
      </c>
      <c r="B170" s="152">
        <f t="shared" si="72"/>
        <v>38321</v>
      </c>
      <c r="C170" s="435"/>
      <c r="D170" s="149" t="s">
        <v>107</v>
      </c>
      <c r="E170" s="149">
        <f t="shared" si="85"/>
        <v>30</v>
      </c>
      <c r="F170" s="153">
        <f>IF(AND(A170&gt;=$F$1,B170&lt;=$F$2),((VLOOKUP(YEAR(B170),'DIF MES'!A$2:E$38,5)*E170)/30),0)</f>
        <v>0</v>
      </c>
      <c r="G170" s="154">
        <f>VLOOKUP(100*YEAR(A170)+MONTH(A170)-1,IPC!A$14:E$861,2)</f>
        <v>55.66</v>
      </c>
      <c r="H170" s="151">
        <f t="shared" si="86"/>
        <v>105.29</v>
      </c>
      <c r="I170" s="153">
        <f t="shared" si="102"/>
        <v>0</v>
      </c>
      <c r="J170" s="153">
        <f t="shared" si="89"/>
        <v>0</v>
      </c>
      <c r="K170" s="155">
        <f t="shared" si="87"/>
        <v>0</v>
      </c>
      <c r="L170" s="153">
        <f t="shared" si="88"/>
        <v>0</v>
      </c>
      <c r="M170" s="184"/>
      <c r="N170" s="6"/>
    </row>
    <row r="171" spans="1:14" x14ac:dyDescent="0.35">
      <c r="A171" s="156">
        <f t="shared" ref="A171" si="111">A170</f>
        <v>38292</v>
      </c>
      <c r="B171" s="156">
        <f t="shared" ref="B171" si="112">B170</f>
        <v>38321</v>
      </c>
      <c r="C171" s="435"/>
      <c r="D171" s="157" t="s">
        <v>101</v>
      </c>
      <c r="E171" s="157">
        <f t="shared" si="85"/>
        <v>30</v>
      </c>
      <c r="F171" s="153">
        <f>IF(AND(A171&gt;=$F$1,B171&lt;=$F$2),((VLOOKUP(YEAR(B171),'DIF MES'!A$2:E$38,5)*E171)/30),0)</f>
        <v>0</v>
      </c>
      <c r="G171" s="158">
        <f>VLOOKUP(100*YEAR(A171)+MONTH(A171)-1,IPC!A$14:E$861,2)</f>
        <v>55.66</v>
      </c>
      <c r="H171" s="159">
        <f t="shared" si="86"/>
        <v>105.29</v>
      </c>
      <c r="I171" s="161">
        <f t="shared" si="102"/>
        <v>0</v>
      </c>
      <c r="J171" s="161">
        <f t="shared" si="89"/>
        <v>0</v>
      </c>
      <c r="K171" s="155">
        <f t="shared" si="87"/>
        <v>0</v>
      </c>
      <c r="L171" s="161">
        <f t="shared" si="88"/>
        <v>0</v>
      </c>
      <c r="M171" s="184"/>
      <c r="N171" s="6"/>
    </row>
    <row r="172" spans="1:14" x14ac:dyDescent="0.35">
      <c r="A172" s="152">
        <f t="shared" ref="A172" si="113">IF(
AND(YEAR(B170)=YEAR(DATE(YEAR($F$1),MONTH($F$1)-1,1)),
MONTH(B170)=MONTH(DATE(YEAR($F$1),MONTH($F$1)-1,1))),
$F$1,
DATE(YEAR(B170),MONTH(B170)+1,1))</f>
        <v>38322</v>
      </c>
      <c r="B172" s="152">
        <f t="shared" ref="B172" si="114">IF(
AND(
YEAR(B170)=YEAR(DATE(YEAR($F$2),MONTH($F$2)-1,1)),
MONTH(B170)=MONTH(DATE(YEAR($F$2),MONTH($F$2)-1,1))
),
$F$2,
EOMONTH(B170,1)
)</f>
        <v>38352</v>
      </c>
      <c r="C172" s="436"/>
      <c r="D172" s="149" t="s">
        <v>108</v>
      </c>
      <c r="E172" s="149">
        <f t="shared" si="85"/>
        <v>30</v>
      </c>
      <c r="F172" s="153">
        <f>IF(AND(A172&gt;=$F$1,B172&lt;=$F$2),((VLOOKUP(YEAR(B172),'DIF MES'!A$2:E$38,5)*E172)/30),0)</f>
        <v>0</v>
      </c>
      <c r="G172" s="154">
        <f>VLOOKUP(100*YEAR(A172)+MONTH(A172)-1,IPC!A$14:E$861,2)</f>
        <v>55.82</v>
      </c>
      <c r="H172" s="151">
        <f t="shared" si="86"/>
        <v>105.29</v>
      </c>
      <c r="I172" s="153">
        <f t="shared" si="102"/>
        <v>0</v>
      </c>
      <c r="J172" s="153">
        <f t="shared" si="89"/>
        <v>0</v>
      </c>
      <c r="K172" s="155">
        <f t="shared" si="87"/>
        <v>0</v>
      </c>
      <c r="L172" s="153">
        <f t="shared" si="88"/>
        <v>0</v>
      </c>
      <c r="M172" s="184"/>
      <c r="N172" s="6"/>
    </row>
    <row r="173" spans="1:14" x14ac:dyDescent="0.35">
      <c r="A173" s="152">
        <f t="shared" ref="A173:A233" si="115">IF(
AND(YEAR(B172)=YEAR(DATE(YEAR($F$1),MONTH($F$1)-1,1)),
MONTH(B172)=MONTH(DATE(YEAR($F$1),MONTH($F$1)-1,1))),
$F$1,
DATE(YEAR(B172),MONTH(B172)+1,1))</f>
        <v>38353</v>
      </c>
      <c r="B173" s="152">
        <f t="shared" ref="B173:B233" si="116">IF(
AND(
YEAR(B172)=YEAR(DATE(YEAR($F$2),MONTH($F$2)-1,1)),
MONTH(B172)=MONTH(DATE(YEAR($F$2),MONTH($F$2)-1,1))
),
$F$2,
EOMONTH(B172,1)
)</f>
        <v>38383</v>
      </c>
      <c r="C173" s="434">
        <v>2005</v>
      </c>
      <c r="D173" s="149" t="s">
        <v>96</v>
      </c>
      <c r="E173" s="149">
        <f t="shared" si="85"/>
        <v>30</v>
      </c>
      <c r="F173" s="153">
        <f>IF(AND(A173&gt;=$F$1,B173&lt;=$F$2),((VLOOKUP(YEAR(B173),'DIF MES'!A$2:E$38,5)*E173)/30),0)</f>
        <v>0</v>
      </c>
      <c r="G173" s="154">
        <f>VLOOKUP(100*YEAR(A173)+MONTH(A173)-1,IPC!A$14:E$861,2)</f>
        <v>55.99</v>
      </c>
      <c r="H173" s="151">
        <f t="shared" si="86"/>
        <v>105.29</v>
      </c>
      <c r="I173" s="153">
        <f t="shared" si="102"/>
        <v>0</v>
      </c>
      <c r="J173" s="153">
        <f t="shared" si="89"/>
        <v>0</v>
      </c>
      <c r="K173" s="155">
        <f t="shared" si="87"/>
        <v>0</v>
      </c>
      <c r="L173" s="153">
        <f t="shared" si="88"/>
        <v>0</v>
      </c>
      <c r="M173" s="184"/>
      <c r="N173" s="6"/>
    </row>
    <row r="174" spans="1:14" x14ac:dyDescent="0.35">
      <c r="A174" s="152">
        <f t="shared" si="115"/>
        <v>38384</v>
      </c>
      <c r="B174" s="152">
        <f t="shared" si="116"/>
        <v>38411</v>
      </c>
      <c r="C174" s="435"/>
      <c r="D174" s="149" t="s">
        <v>97</v>
      </c>
      <c r="E174" s="149">
        <f t="shared" si="85"/>
        <v>30</v>
      </c>
      <c r="F174" s="153">
        <f>IF(AND(A174&gt;=$F$1,B174&lt;=$F$2),((VLOOKUP(YEAR(B174),'DIF MES'!A$2:E$38,5)*E174)/30),0)</f>
        <v>0</v>
      </c>
      <c r="G174" s="154">
        <f>VLOOKUP(100*YEAR(A174)+MONTH(A174)-1,IPC!A$14:E$861,2)</f>
        <v>56.45</v>
      </c>
      <c r="H174" s="151">
        <f t="shared" si="86"/>
        <v>105.29</v>
      </c>
      <c r="I174" s="153">
        <f t="shared" si="102"/>
        <v>0</v>
      </c>
      <c r="J174" s="153">
        <f t="shared" si="89"/>
        <v>0</v>
      </c>
      <c r="K174" s="155">
        <f t="shared" si="87"/>
        <v>0</v>
      </c>
      <c r="L174" s="153">
        <f t="shared" si="88"/>
        <v>0</v>
      </c>
      <c r="M174" s="184"/>
      <c r="N174" s="6"/>
    </row>
    <row r="175" spans="1:14" x14ac:dyDescent="0.35">
      <c r="A175" s="152">
        <f t="shared" si="115"/>
        <v>38412</v>
      </c>
      <c r="B175" s="152">
        <f t="shared" si="116"/>
        <v>38442</v>
      </c>
      <c r="C175" s="435"/>
      <c r="D175" s="149" t="s">
        <v>98</v>
      </c>
      <c r="E175" s="149">
        <f t="shared" si="85"/>
        <v>30</v>
      </c>
      <c r="F175" s="153">
        <f>IF(AND(A175&gt;=$F$1,B175&lt;=$F$2),((VLOOKUP(YEAR(B175),'DIF MES'!A$2:E$38,5)*E175)/30),0)</f>
        <v>0</v>
      </c>
      <c r="G175" s="154">
        <f>VLOOKUP(100*YEAR(A175)+MONTH(A175)-1,IPC!A$14:E$861,2)</f>
        <v>57.02</v>
      </c>
      <c r="H175" s="151">
        <f t="shared" si="86"/>
        <v>105.29</v>
      </c>
      <c r="I175" s="153">
        <f t="shared" si="102"/>
        <v>0</v>
      </c>
      <c r="J175" s="153">
        <f t="shared" si="89"/>
        <v>0</v>
      </c>
      <c r="K175" s="155">
        <f t="shared" si="87"/>
        <v>0</v>
      </c>
      <c r="L175" s="153">
        <f t="shared" si="88"/>
        <v>0</v>
      </c>
      <c r="M175" s="184"/>
      <c r="N175" s="6"/>
    </row>
    <row r="176" spans="1:14" x14ac:dyDescent="0.35">
      <c r="A176" s="152">
        <f t="shared" si="115"/>
        <v>38443</v>
      </c>
      <c r="B176" s="152">
        <f t="shared" si="116"/>
        <v>38472</v>
      </c>
      <c r="C176" s="435"/>
      <c r="D176" s="149" t="s">
        <v>99</v>
      </c>
      <c r="E176" s="149">
        <f t="shared" si="85"/>
        <v>30</v>
      </c>
      <c r="F176" s="153">
        <f>IF(AND(A176&gt;=$F$1,B176&lt;=$F$2),((VLOOKUP(YEAR(B176),'DIF MES'!A$2:E$38,5)*E176)/30),0)</f>
        <v>0</v>
      </c>
      <c r="G176" s="154">
        <f>VLOOKUP(100*YEAR(A176)+MONTH(A176)-1,IPC!A$14:E$861,2)</f>
        <v>57.46</v>
      </c>
      <c r="H176" s="151">
        <f t="shared" si="86"/>
        <v>105.29</v>
      </c>
      <c r="I176" s="153">
        <f t="shared" si="102"/>
        <v>0</v>
      </c>
      <c r="J176" s="153">
        <f t="shared" si="89"/>
        <v>0</v>
      </c>
      <c r="K176" s="155">
        <f t="shared" si="87"/>
        <v>0</v>
      </c>
      <c r="L176" s="153">
        <f t="shared" si="88"/>
        <v>0</v>
      </c>
      <c r="M176" s="184"/>
      <c r="N176" s="6"/>
    </row>
    <row r="177" spans="1:14" x14ac:dyDescent="0.35">
      <c r="A177" s="152">
        <f t="shared" si="115"/>
        <v>38473</v>
      </c>
      <c r="B177" s="152">
        <f t="shared" si="116"/>
        <v>38503</v>
      </c>
      <c r="C177" s="435"/>
      <c r="D177" s="149" t="s">
        <v>100</v>
      </c>
      <c r="E177" s="149">
        <f t="shared" si="85"/>
        <v>30</v>
      </c>
      <c r="F177" s="153">
        <f>IF(AND(A177&gt;=$F$1,B177&lt;=$F$2),((VLOOKUP(YEAR(B177),'DIF MES'!A$2:E$38,5)*E177)/30),0)</f>
        <v>0</v>
      </c>
      <c r="G177" s="154">
        <f>VLOOKUP(100*YEAR(A177)+MONTH(A177)-1,IPC!A$14:E$861,2)</f>
        <v>57.72</v>
      </c>
      <c r="H177" s="151">
        <f t="shared" si="86"/>
        <v>105.29</v>
      </c>
      <c r="I177" s="153">
        <f t="shared" si="102"/>
        <v>0</v>
      </c>
      <c r="J177" s="153">
        <f t="shared" si="89"/>
        <v>0</v>
      </c>
      <c r="K177" s="155">
        <f t="shared" si="87"/>
        <v>0</v>
      </c>
      <c r="L177" s="153">
        <f t="shared" si="88"/>
        <v>0</v>
      </c>
      <c r="M177" s="184"/>
      <c r="N177" s="6"/>
    </row>
    <row r="178" spans="1:14" x14ac:dyDescent="0.35">
      <c r="A178" s="156">
        <f t="shared" ref="A178" si="117">A179</f>
        <v>38504</v>
      </c>
      <c r="B178" s="156">
        <f t="shared" ref="B178" si="118">B179</f>
        <v>38533</v>
      </c>
      <c r="C178" s="435"/>
      <c r="D178" s="157" t="s">
        <v>101</v>
      </c>
      <c r="E178" s="157">
        <f t="shared" si="85"/>
        <v>30</v>
      </c>
      <c r="F178" s="153">
        <f>IF(AND(A178&gt;=$F$1,B178&lt;=$F$2),((VLOOKUP(YEAR(B178),'DIF MES'!A$2:E$38,5)*E178)/30),0)</f>
        <v>0</v>
      </c>
      <c r="G178" s="158">
        <f>VLOOKUP(100*YEAR(A178)+MONTH(A178)-1,IPC!A$14:E$861,2)</f>
        <v>57.95</v>
      </c>
      <c r="H178" s="159">
        <f t="shared" si="86"/>
        <v>105.29</v>
      </c>
      <c r="I178" s="160">
        <f>F178*(H178/G178)</f>
        <v>0</v>
      </c>
      <c r="J178" s="161">
        <f>+I178-F178</f>
        <v>0</v>
      </c>
      <c r="K178" s="155">
        <f>IF(D178="adicional", 0, +I178*0.12)</f>
        <v>0</v>
      </c>
      <c r="L178" s="161">
        <f>+I178-K178</f>
        <v>0</v>
      </c>
      <c r="M178" s="184"/>
      <c r="N178" s="6"/>
    </row>
    <row r="179" spans="1:14" x14ac:dyDescent="0.35">
      <c r="A179" s="152">
        <f t="shared" ref="A179" si="119">IF(
AND(YEAR(B177)=YEAR(DATE(YEAR($F$1),MONTH($F$1)-1,1)),
MONTH(B177)=MONTH(DATE(YEAR($F$1),MONTH($F$1)-1,1))),
$F$1,
DATE(YEAR(B177),MONTH(B177)+1,1))</f>
        <v>38504</v>
      </c>
      <c r="B179" s="152">
        <f t="shared" ref="B179" si="120">IF(
AND(
YEAR(B177)=YEAR(DATE(YEAR($F$2),MONTH($F$2)-1,1)),
MONTH(B177)=MONTH(DATE(YEAR($F$2),MONTH($F$2)-1,1))
),
$F$2,
EOMONTH(B177,1)
)</f>
        <v>38533</v>
      </c>
      <c r="C179" s="435"/>
      <c r="D179" s="149" t="s">
        <v>102</v>
      </c>
      <c r="E179" s="149">
        <f t="shared" si="85"/>
        <v>30</v>
      </c>
      <c r="F179" s="153">
        <f>IF(AND(A179&gt;=$F$1,B179&lt;=$F$2),((VLOOKUP(YEAR(B179),'DIF MES'!A$2:E$38,5)*E179)/30),0)</f>
        <v>0</v>
      </c>
      <c r="G179" s="154">
        <f>VLOOKUP(100*YEAR(A179)+MONTH(A179)-1,IPC!A$14:E$861,2)</f>
        <v>57.95</v>
      </c>
      <c r="H179" s="151">
        <f t="shared" si="86"/>
        <v>105.29</v>
      </c>
      <c r="I179" s="153">
        <f>F179*(H179/G179)</f>
        <v>0</v>
      </c>
      <c r="J179" s="153">
        <f>+I179-F179</f>
        <v>0</v>
      </c>
      <c r="K179" s="155">
        <f>IF(D179="adicional", 0, +I179*0.12)</f>
        <v>0</v>
      </c>
      <c r="L179" s="153">
        <f>+I179-K179</f>
        <v>0</v>
      </c>
      <c r="M179" s="184"/>
      <c r="N179" s="6"/>
    </row>
    <row r="180" spans="1:14" x14ac:dyDescent="0.35">
      <c r="A180" s="152">
        <f t="shared" ref="A180:A240" si="121">IF(
AND(YEAR(B179)=YEAR(DATE(YEAR($F$1),MONTH($F$1)-1,1)),
MONTH(B179)=MONTH(DATE(YEAR($F$1),MONTH($F$1)-1,1))),
$F$1,
DATE(YEAR(B179),MONTH(B179)+1,1))</f>
        <v>38534</v>
      </c>
      <c r="B180" s="152">
        <f t="shared" ref="B180:B240" si="122">IF(
AND(
YEAR(B179)=YEAR(DATE(YEAR($F$2),MONTH($F$2)-1,1)),
MONTH(B179)=MONTH(DATE(YEAR($F$2),MONTH($F$2)-1,1))
),
$F$2,
EOMONTH(B179,1)
)</f>
        <v>38564</v>
      </c>
      <c r="C180" s="435"/>
      <c r="D180" s="149" t="s">
        <v>103</v>
      </c>
      <c r="E180" s="149">
        <f t="shared" si="85"/>
        <v>30</v>
      </c>
      <c r="F180" s="153">
        <f>IF(AND(A180&gt;=$F$1,B180&lt;=$F$2),((VLOOKUP(YEAR(B180),'DIF MES'!A$2:E$38,5)*E180)/30),0)</f>
        <v>0</v>
      </c>
      <c r="G180" s="154">
        <f>VLOOKUP(100*YEAR(A180)+MONTH(A180)-1,IPC!A$14:E$861,2)</f>
        <v>58.18</v>
      </c>
      <c r="H180" s="151">
        <f t="shared" si="86"/>
        <v>105.29</v>
      </c>
      <c r="I180" s="153">
        <f t="shared" si="102"/>
        <v>0</v>
      </c>
      <c r="J180" s="153">
        <f t="shared" si="89"/>
        <v>0</v>
      </c>
      <c r="K180" s="155">
        <f t="shared" si="87"/>
        <v>0</v>
      </c>
      <c r="L180" s="153">
        <f t="shared" si="88"/>
        <v>0</v>
      </c>
      <c r="M180" s="184"/>
      <c r="N180" s="6"/>
    </row>
    <row r="181" spans="1:14" x14ac:dyDescent="0.35">
      <c r="A181" s="152">
        <f t="shared" si="121"/>
        <v>38565</v>
      </c>
      <c r="B181" s="152">
        <f t="shared" si="122"/>
        <v>38595</v>
      </c>
      <c r="C181" s="435"/>
      <c r="D181" s="149" t="s">
        <v>104</v>
      </c>
      <c r="E181" s="149">
        <f t="shared" si="85"/>
        <v>30</v>
      </c>
      <c r="F181" s="153">
        <f>IF(AND(A181&gt;=$F$1,B181&lt;=$F$2),((VLOOKUP(YEAR(B181),'DIF MES'!A$2:E$38,5)*E181)/30),0)</f>
        <v>0</v>
      </c>
      <c r="G181" s="154">
        <f>VLOOKUP(100*YEAR(A181)+MONTH(A181)-1,IPC!A$14:E$861,2)</f>
        <v>58.21</v>
      </c>
      <c r="H181" s="151">
        <f t="shared" si="86"/>
        <v>105.29</v>
      </c>
      <c r="I181" s="153">
        <f t="shared" si="102"/>
        <v>0</v>
      </c>
      <c r="J181" s="153">
        <f t="shared" si="89"/>
        <v>0</v>
      </c>
      <c r="K181" s="155">
        <f t="shared" si="87"/>
        <v>0</v>
      </c>
      <c r="L181" s="153">
        <f t="shared" si="88"/>
        <v>0</v>
      </c>
      <c r="M181" s="184"/>
      <c r="N181" s="6"/>
    </row>
    <row r="182" spans="1:14" ht="20" x14ac:dyDescent="0.35">
      <c r="A182" s="152">
        <f t="shared" si="121"/>
        <v>38596</v>
      </c>
      <c r="B182" s="152">
        <f t="shared" si="122"/>
        <v>38625</v>
      </c>
      <c r="C182" s="435"/>
      <c r="D182" s="149" t="s">
        <v>105</v>
      </c>
      <c r="E182" s="149">
        <f t="shared" si="85"/>
        <v>30</v>
      </c>
      <c r="F182" s="153">
        <f>IF(AND(A182&gt;=$F$1,B182&lt;=$F$2),((VLOOKUP(YEAR(B182),'DIF MES'!A$2:E$38,5)*E182)/30),0)</f>
        <v>0</v>
      </c>
      <c r="G182" s="154">
        <f>VLOOKUP(100*YEAR(A182)+MONTH(A182)-1,IPC!A$14:E$861,2)</f>
        <v>58.21</v>
      </c>
      <c r="H182" s="151">
        <f t="shared" si="86"/>
        <v>105.29</v>
      </c>
      <c r="I182" s="153">
        <f t="shared" si="102"/>
        <v>0</v>
      </c>
      <c r="J182" s="153">
        <f t="shared" si="89"/>
        <v>0</v>
      </c>
      <c r="K182" s="155">
        <f t="shared" si="87"/>
        <v>0</v>
      </c>
      <c r="L182" s="153">
        <f t="shared" si="88"/>
        <v>0</v>
      </c>
      <c r="M182" s="184"/>
      <c r="N182" s="6"/>
    </row>
    <row r="183" spans="1:14" x14ac:dyDescent="0.35">
      <c r="A183" s="152">
        <f t="shared" si="121"/>
        <v>38626</v>
      </c>
      <c r="B183" s="152">
        <f t="shared" si="122"/>
        <v>38656</v>
      </c>
      <c r="C183" s="435"/>
      <c r="D183" s="149" t="s">
        <v>106</v>
      </c>
      <c r="E183" s="149">
        <f t="shared" si="85"/>
        <v>30</v>
      </c>
      <c r="F183" s="153">
        <f>IF(AND(A183&gt;=$F$1,B183&lt;=$F$2),((VLOOKUP(YEAR(B183),'DIF MES'!A$2:E$38,5)*E183)/30),0)</f>
        <v>0</v>
      </c>
      <c r="G183" s="154">
        <f>VLOOKUP(100*YEAR(A183)+MONTH(A183)-1,IPC!A$14:E$861,2)</f>
        <v>58.46</v>
      </c>
      <c r="H183" s="151">
        <f t="shared" si="86"/>
        <v>105.29</v>
      </c>
      <c r="I183" s="153">
        <f t="shared" si="102"/>
        <v>0</v>
      </c>
      <c r="J183" s="153">
        <f t="shared" si="89"/>
        <v>0</v>
      </c>
      <c r="K183" s="155">
        <f t="shared" si="87"/>
        <v>0</v>
      </c>
      <c r="L183" s="153">
        <f t="shared" si="88"/>
        <v>0</v>
      </c>
      <c r="M183" s="184"/>
      <c r="N183" s="6"/>
    </row>
    <row r="184" spans="1:14" x14ac:dyDescent="0.35">
      <c r="A184" s="152">
        <f t="shared" si="121"/>
        <v>38657</v>
      </c>
      <c r="B184" s="152">
        <f t="shared" si="122"/>
        <v>38686</v>
      </c>
      <c r="C184" s="435"/>
      <c r="D184" s="149" t="s">
        <v>107</v>
      </c>
      <c r="E184" s="149">
        <f t="shared" si="85"/>
        <v>30</v>
      </c>
      <c r="F184" s="153">
        <f>IF(AND(A184&gt;=$F$1,B184&lt;=$F$2),((VLOOKUP(YEAR(B184),'DIF MES'!A$2:E$38,5)*E184)/30),0)</f>
        <v>0</v>
      </c>
      <c r="G184" s="154">
        <f>VLOOKUP(100*YEAR(A184)+MONTH(A184)-1,IPC!A$14:E$861,2)</f>
        <v>58.6</v>
      </c>
      <c r="H184" s="151">
        <f t="shared" si="86"/>
        <v>105.29</v>
      </c>
      <c r="I184" s="153">
        <f t="shared" si="102"/>
        <v>0</v>
      </c>
      <c r="J184" s="153">
        <f t="shared" si="89"/>
        <v>0</v>
      </c>
      <c r="K184" s="155">
        <f t="shared" si="87"/>
        <v>0</v>
      </c>
      <c r="L184" s="153">
        <f t="shared" si="88"/>
        <v>0</v>
      </c>
      <c r="M184" s="184"/>
      <c r="N184" s="6"/>
    </row>
    <row r="185" spans="1:14" x14ac:dyDescent="0.35">
      <c r="A185" s="156">
        <f t="shared" ref="A185" si="123">A184</f>
        <v>38657</v>
      </c>
      <c r="B185" s="156">
        <f t="shared" ref="B185" si="124">B184</f>
        <v>38686</v>
      </c>
      <c r="C185" s="435"/>
      <c r="D185" s="157" t="s">
        <v>101</v>
      </c>
      <c r="E185" s="157">
        <f t="shared" si="85"/>
        <v>30</v>
      </c>
      <c r="F185" s="153">
        <f>IF(AND(A185&gt;=$F$1,B185&lt;=$F$2),((VLOOKUP(YEAR(B185),'DIF MES'!A$2:E$38,5)*E185)/30),0)</f>
        <v>0</v>
      </c>
      <c r="G185" s="158">
        <f>VLOOKUP(100*YEAR(A185)+MONTH(A185)-1,IPC!A$14:E$861,2)</f>
        <v>58.6</v>
      </c>
      <c r="H185" s="159">
        <f t="shared" si="86"/>
        <v>105.29</v>
      </c>
      <c r="I185" s="161">
        <f t="shared" si="102"/>
        <v>0</v>
      </c>
      <c r="J185" s="161">
        <f t="shared" si="89"/>
        <v>0</v>
      </c>
      <c r="K185" s="155">
        <f t="shared" si="87"/>
        <v>0</v>
      </c>
      <c r="L185" s="161">
        <f t="shared" si="88"/>
        <v>0</v>
      </c>
      <c r="M185" s="184"/>
      <c r="N185" s="6"/>
    </row>
    <row r="186" spans="1:14" x14ac:dyDescent="0.35">
      <c r="A186" s="152">
        <f t="shared" ref="A186" si="125">IF(
AND(YEAR(B184)=YEAR(DATE(YEAR($F$1),MONTH($F$1)-1,1)),
MONTH(B184)=MONTH(DATE(YEAR($F$1),MONTH($F$1)-1,1))),
$F$1,
DATE(YEAR(B184),MONTH(B184)+1,1))</f>
        <v>38687</v>
      </c>
      <c r="B186" s="152">
        <f t="shared" ref="B186" si="126">IF(
AND(
YEAR(B184)=YEAR(DATE(YEAR($F$2),MONTH($F$2)-1,1)),
MONTH(B184)=MONTH(DATE(YEAR($F$2),MONTH($F$2)-1,1))
),
$F$2,
EOMONTH(B184,1)
)</f>
        <v>38717</v>
      </c>
      <c r="C186" s="436"/>
      <c r="D186" s="149" t="s">
        <v>108</v>
      </c>
      <c r="E186" s="149">
        <f t="shared" si="85"/>
        <v>30</v>
      </c>
      <c r="F186" s="153">
        <f>IF(AND(A186&gt;=$F$1,B186&lt;=$F$2),((VLOOKUP(YEAR(B186),'DIF MES'!A$2:E$38,5)*E186)/30),0)</f>
        <v>0</v>
      </c>
      <c r="G186" s="154">
        <f>VLOOKUP(100*YEAR(A186)+MONTH(A186)-1,IPC!A$14:E$861,2)</f>
        <v>58.66</v>
      </c>
      <c r="H186" s="151">
        <f t="shared" si="86"/>
        <v>105.29</v>
      </c>
      <c r="I186" s="153">
        <f t="shared" si="102"/>
        <v>0</v>
      </c>
      <c r="J186" s="153">
        <f t="shared" si="89"/>
        <v>0</v>
      </c>
      <c r="K186" s="155">
        <f t="shared" si="87"/>
        <v>0</v>
      </c>
      <c r="L186" s="153">
        <f t="shared" si="88"/>
        <v>0</v>
      </c>
      <c r="M186" s="184"/>
      <c r="N186" s="6"/>
    </row>
    <row r="187" spans="1:14" x14ac:dyDescent="0.35">
      <c r="A187" s="152">
        <f t="shared" si="115"/>
        <v>38718</v>
      </c>
      <c r="B187" s="152">
        <f t="shared" si="116"/>
        <v>38748</v>
      </c>
      <c r="C187" s="434">
        <v>2006</v>
      </c>
      <c r="D187" s="149" t="s">
        <v>96</v>
      </c>
      <c r="E187" s="149">
        <f t="shared" si="85"/>
        <v>30</v>
      </c>
      <c r="F187" s="153">
        <f>IF(AND(A187&gt;=$F$1,B187&lt;=$F$2),((VLOOKUP(YEAR(B187),'DIF MES'!A$2:E$38,5)*E187)/30),0)</f>
        <v>0</v>
      </c>
      <c r="G187" s="154">
        <f>VLOOKUP(100*YEAR(A187)+MONTH(A187)-1,IPC!A$14:E$861,2)</f>
        <v>58.7</v>
      </c>
      <c r="H187" s="151">
        <f t="shared" si="86"/>
        <v>105.29</v>
      </c>
      <c r="I187" s="153">
        <f t="shared" si="102"/>
        <v>0</v>
      </c>
      <c r="J187" s="153">
        <f t="shared" si="89"/>
        <v>0</v>
      </c>
      <c r="K187" s="155">
        <f t="shared" si="87"/>
        <v>0</v>
      </c>
      <c r="L187" s="153">
        <f t="shared" si="88"/>
        <v>0</v>
      </c>
      <c r="M187" s="184"/>
      <c r="N187" s="6"/>
    </row>
    <row r="188" spans="1:14" x14ac:dyDescent="0.35">
      <c r="A188" s="152">
        <f t="shared" si="115"/>
        <v>38749</v>
      </c>
      <c r="B188" s="152">
        <f t="shared" si="116"/>
        <v>38776</v>
      </c>
      <c r="C188" s="435"/>
      <c r="D188" s="149" t="s">
        <v>97</v>
      </c>
      <c r="E188" s="149">
        <f t="shared" si="85"/>
        <v>30</v>
      </c>
      <c r="F188" s="153">
        <f>IF(AND(A188&gt;=$F$1,B188&lt;=$F$2),((VLOOKUP(YEAR(B188),'DIF MES'!A$2:E$38,5)*E188)/30),0)</f>
        <v>0</v>
      </c>
      <c r="G188" s="154">
        <f>VLOOKUP(100*YEAR(A188)+MONTH(A188)-1,IPC!A$14:E$861,2)</f>
        <v>59.02</v>
      </c>
      <c r="H188" s="151">
        <f t="shared" si="86"/>
        <v>105.29</v>
      </c>
      <c r="I188" s="153">
        <f t="shared" si="102"/>
        <v>0</v>
      </c>
      <c r="J188" s="153">
        <f t="shared" si="89"/>
        <v>0</v>
      </c>
      <c r="K188" s="155">
        <f t="shared" si="87"/>
        <v>0</v>
      </c>
      <c r="L188" s="153">
        <f t="shared" si="88"/>
        <v>0</v>
      </c>
      <c r="M188" s="184"/>
      <c r="N188" s="6"/>
    </row>
    <row r="189" spans="1:14" x14ac:dyDescent="0.35">
      <c r="A189" s="152">
        <f t="shared" si="115"/>
        <v>38777</v>
      </c>
      <c r="B189" s="152">
        <f t="shared" si="116"/>
        <v>38807</v>
      </c>
      <c r="C189" s="435"/>
      <c r="D189" s="149" t="s">
        <v>98</v>
      </c>
      <c r="E189" s="149">
        <f t="shared" si="85"/>
        <v>30</v>
      </c>
      <c r="F189" s="153">
        <f>IF(AND(A189&gt;=$F$1,B189&lt;=$F$2),((VLOOKUP(YEAR(B189),'DIF MES'!A$2:E$38,5)*E189)/30),0)</f>
        <v>0</v>
      </c>
      <c r="G189" s="154">
        <f>VLOOKUP(100*YEAR(A189)+MONTH(A189)-1,IPC!A$14:E$861,2)</f>
        <v>59.41</v>
      </c>
      <c r="H189" s="151">
        <f t="shared" si="86"/>
        <v>105.29</v>
      </c>
      <c r="I189" s="153">
        <f t="shared" si="102"/>
        <v>0</v>
      </c>
      <c r="J189" s="153">
        <f t="shared" si="89"/>
        <v>0</v>
      </c>
      <c r="K189" s="155">
        <f t="shared" si="87"/>
        <v>0</v>
      </c>
      <c r="L189" s="153">
        <f t="shared" si="88"/>
        <v>0</v>
      </c>
      <c r="M189" s="184"/>
      <c r="N189" s="6"/>
    </row>
    <row r="190" spans="1:14" x14ac:dyDescent="0.35">
      <c r="A190" s="152">
        <f t="shared" si="115"/>
        <v>38808</v>
      </c>
      <c r="B190" s="152">
        <f t="shared" si="116"/>
        <v>38837</v>
      </c>
      <c r="C190" s="435"/>
      <c r="D190" s="149" t="s">
        <v>99</v>
      </c>
      <c r="E190" s="149">
        <f t="shared" si="85"/>
        <v>30</v>
      </c>
      <c r="F190" s="153">
        <f>IF(AND(A190&gt;=$F$1,B190&lt;=$F$2),((VLOOKUP(YEAR(B190),'DIF MES'!A$2:E$38,5)*E190)/30),0)</f>
        <v>0</v>
      </c>
      <c r="G190" s="154">
        <f>VLOOKUP(100*YEAR(A190)+MONTH(A190)-1,IPC!A$14:E$861,2)</f>
        <v>59.83</v>
      </c>
      <c r="H190" s="151">
        <f t="shared" si="86"/>
        <v>105.29</v>
      </c>
      <c r="I190" s="153">
        <f t="shared" si="102"/>
        <v>0</v>
      </c>
      <c r="J190" s="153">
        <f t="shared" si="89"/>
        <v>0</v>
      </c>
      <c r="K190" s="155">
        <f t="shared" si="87"/>
        <v>0</v>
      </c>
      <c r="L190" s="153">
        <f t="shared" si="88"/>
        <v>0</v>
      </c>
      <c r="M190" s="184"/>
      <c r="N190" s="6"/>
    </row>
    <row r="191" spans="1:14" x14ac:dyDescent="0.35">
      <c r="A191" s="152">
        <f t="shared" si="115"/>
        <v>38838</v>
      </c>
      <c r="B191" s="152">
        <f t="shared" si="116"/>
        <v>38868</v>
      </c>
      <c r="C191" s="435"/>
      <c r="D191" s="149" t="s">
        <v>100</v>
      </c>
      <c r="E191" s="149">
        <f t="shared" si="85"/>
        <v>30</v>
      </c>
      <c r="F191" s="153">
        <f>IF(AND(A191&gt;=$F$1,B191&lt;=$F$2),((VLOOKUP(YEAR(B191),'DIF MES'!A$2:E$38,5)*E191)/30),0)</f>
        <v>0</v>
      </c>
      <c r="G191" s="154">
        <f>VLOOKUP(100*YEAR(A191)+MONTH(A191)-1,IPC!A$14:E$861,2)</f>
        <v>60.09</v>
      </c>
      <c r="H191" s="151">
        <f t="shared" si="86"/>
        <v>105.29</v>
      </c>
      <c r="I191" s="153">
        <f t="shared" si="102"/>
        <v>0</v>
      </c>
      <c r="J191" s="153">
        <f t="shared" si="89"/>
        <v>0</v>
      </c>
      <c r="K191" s="155">
        <f t="shared" si="87"/>
        <v>0</v>
      </c>
      <c r="L191" s="153">
        <f t="shared" si="88"/>
        <v>0</v>
      </c>
      <c r="M191" s="184"/>
      <c r="N191" s="6"/>
    </row>
    <row r="192" spans="1:14" x14ac:dyDescent="0.35">
      <c r="A192" s="156">
        <f t="shared" ref="A192" si="127">A193</f>
        <v>38869</v>
      </c>
      <c r="B192" s="156">
        <f t="shared" ref="B192" si="128">B193</f>
        <v>38898</v>
      </c>
      <c r="C192" s="435"/>
      <c r="D192" s="157" t="s">
        <v>101</v>
      </c>
      <c r="E192" s="157">
        <f t="shared" si="85"/>
        <v>30</v>
      </c>
      <c r="F192" s="153">
        <f>IF(AND(A192&gt;=$F$1,B192&lt;=$F$2),((VLOOKUP(YEAR(B192),'DIF MES'!A$2:E$38,5)*E192)/30),0)</f>
        <v>0</v>
      </c>
      <c r="G192" s="158">
        <f>VLOOKUP(100*YEAR(A192)+MONTH(A192)-1,IPC!A$14:E$861,2)</f>
        <v>60.29</v>
      </c>
      <c r="H192" s="159">
        <f t="shared" si="86"/>
        <v>105.29</v>
      </c>
      <c r="I192" s="160">
        <f>F192*(H192/G192)</f>
        <v>0</v>
      </c>
      <c r="J192" s="161">
        <f>+I192-F192</f>
        <v>0</v>
      </c>
      <c r="K192" s="155">
        <f>IF(D192="adicional", 0, +I192*0.12)</f>
        <v>0</v>
      </c>
      <c r="L192" s="161">
        <f>+I192-K192</f>
        <v>0</v>
      </c>
      <c r="M192" s="184"/>
      <c r="N192" s="6"/>
    </row>
    <row r="193" spans="1:14" x14ac:dyDescent="0.35">
      <c r="A193" s="152">
        <f t="shared" ref="A193" si="129">IF(
AND(YEAR(B191)=YEAR(DATE(YEAR($F$1),MONTH($F$1)-1,1)),
MONTH(B191)=MONTH(DATE(YEAR($F$1),MONTH($F$1)-1,1))),
$F$1,
DATE(YEAR(B191),MONTH(B191)+1,1))</f>
        <v>38869</v>
      </c>
      <c r="B193" s="152">
        <f t="shared" ref="B193" si="130">IF(
AND(
YEAR(B191)=YEAR(DATE(YEAR($F$2),MONTH($F$2)-1,1)),
MONTH(B191)=MONTH(DATE(YEAR($F$2),MONTH($F$2)-1,1))
),
$F$2,
EOMONTH(B191,1)
)</f>
        <v>38898</v>
      </c>
      <c r="C193" s="435"/>
      <c r="D193" s="149" t="s">
        <v>102</v>
      </c>
      <c r="E193" s="149">
        <f t="shared" si="85"/>
        <v>30</v>
      </c>
      <c r="F193" s="153">
        <f>IF(AND(A193&gt;=$F$1,B193&lt;=$F$2),((VLOOKUP(YEAR(B193),'DIF MES'!A$2:E$38,5)*E193)/30),0)</f>
        <v>0</v>
      </c>
      <c r="G193" s="154">
        <f>VLOOKUP(100*YEAR(A193)+MONTH(A193)-1,IPC!A$14:E$861,2)</f>
        <v>60.29</v>
      </c>
      <c r="H193" s="151">
        <f t="shared" si="86"/>
        <v>105.29</v>
      </c>
      <c r="I193" s="153">
        <f>F193*(H193/G193)</f>
        <v>0</v>
      </c>
      <c r="J193" s="153">
        <f>+I193-F193</f>
        <v>0</v>
      </c>
      <c r="K193" s="155">
        <f>IF(D193="adicional", 0, +I193*0.12)</f>
        <v>0</v>
      </c>
      <c r="L193" s="153">
        <f>+I193-K193</f>
        <v>0</v>
      </c>
      <c r="M193" s="184"/>
      <c r="N193" s="6"/>
    </row>
    <row r="194" spans="1:14" x14ac:dyDescent="0.35">
      <c r="A194" s="152">
        <f t="shared" si="121"/>
        <v>38899</v>
      </c>
      <c r="B194" s="152">
        <f t="shared" si="122"/>
        <v>38929</v>
      </c>
      <c r="C194" s="435"/>
      <c r="D194" s="149" t="s">
        <v>103</v>
      </c>
      <c r="E194" s="149">
        <f t="shared" si="85"/>
        <v>30</v>
      </c>
      <c r="F194" s="153">
        <f>IF(AND(A194&gt;=$F$1,B194&lt;=$F$2),((VLOOKUP(YEAR(B194),'DIF MES'!A$2:E$38,5)*E194)/30),0)</f>
        <v>0</v>
      </c>
      <c r="G194" s="154">
        <f>VLOOKUP(100*YEAR(A194)+MONTH(A194)-1,IPC!A$14:E$861,2)</f>
        <v>60.48</v>
      </c>
      <c r="H194" s="151">
        <f t="shared" si="86"/>
        <v>105.29</v>
      </c>
      <c r="I194" s="153">
        <f t="shared" si="102"/>
        <v>0</v>
      </c>
      <c r="J194" s="153">
        <f t="shared" si="89"/>
        <v>0</v>
      </c>
      <c r="K194" s="155">
        <f t="shared" si="87"/>
        <v>0</v>
      </c>
      <c r="L194" s="153">
        <f t="shared" si="88"/>
        <v>0</v>
      </c>
      <c r="M194" s="184"/>
      <c r="N194" s="6"/>
    </row>
    <row r="195" spans="1:14" x14ac:dyDescent="0.35">
      <c r="A195" s="152">
        <f t="shared" si="121"/>
        <v>38930</v>
      </c>
      <c r="B195" s="152">
        <f t="shared" si="122"/>
        <v>38960</v>
      </c>
      <c r="C195" s="435"/>
      <c r="D195" s="149" t="s">
        <v>104</v>
      </c>
      <c r="E195" s="149">
        <f t="shared" si="85"/>
        <v>30</v>
      </c>
      <c r="F195" s="153">
        <f>IF(AND(A195&gt;=$F$1,B195&lt;=$F$2),((VLOOKUP(YEAR(B195),'DIF MES'!A$2:E$38,5)*E195)/30),0)</f>
        <v>0</v>
      </c>
      <c r="G195" s="154">
        <f>VLOOKUP(100*YEAR(A195)+MONTH(A195)-1,IPC!A$14:E$861,2)</f>
        <v>60.73</v>
      </c>
      <c r="H195" s="151">
        <f t="shared" si="86"/>
        <v>105.29</v>
      </c>
      <c r="I195" s="153">
        <f t="shared" si="102"/>
        <v>0</v>
      </c>
      <c r="J195" s="153">
        <f t="shared" si="89"/>
        <v>0</v>
      </c>
      <c r="K195" s="155">
        <f t="shared" si="87"/>
        <v>0</v>
      </c>
      <c r="L195" s="153">
        <f t="shared" si="88"/>
        <v>0</v>
      </c>
      <c r="M195" s="184"/>
      <c r="N195" s="6"/>
    </row>
    <row r="196" spans="1:14" ht="20" x14ac:dyDescent="0.35">
      <c r="A196" s="152">
        <f t="shared" si="121"/>
        <v>38961</v>
      </c>
      <c r="B196" s="152">
        <f t="shared" si="122"/>
        <v>38990</v>
      </c>
      <c r="C196" s="435"/>
      <c r="D196" s="149" t="s">
        <v>105</v>
      </c>
      <c r="E196" s="149">
        <f t="shared" si="85"/>
        <v>30</v>
      </c>
      <c r="F196" s="153">
        <f>IF(AND(A196&gt;=$F$1,B196&lt;=$F$2),((VLOOKUP(YEAR(B196),'DIF MES'!A$2:E$38,5)*E196)/30),0)</f>
        <v>0</v>
      </c>
      <c r="G196" s="154">
        <f>VLOOKUP(100*YEAR(A196)+MONTH(A196)-1,IPC!A$14:E$861,2)</f>
        <v>60.96</v>
      </c>
      <c r="H196" s="151">
        <f t="shared" si="86"/>
        <v>105.29</v>
      </c>
      <c r="I196" s="153">
        <f t="shared" si="102"/>
        <v>0</v>
      </c>
      <c r="J196" s="153">
        <f t="shared" si="89"/>
        <v>0</v>
      </c>
      <c r="K196" s="155">
        <f t="shared" si="87"/>
        <v>0</v>
      </c>
      <c r="L196" s="153">
        <f t="shared" si="88"/>
        <v>0</v>
      </c>
      <c r="M196" s="184"/>
      <c r="N196" s="6"/>
    </row>
    <row r="197" spans="1:14" x14ac:dyDescent="0.35">
      <c r="A197" s="152">
        <f t="shared" si="121"/>
        <v>38991</v>
      </c>
      <c r="B197" s="152">
        <f t="shared" si="122"/>
        <v>39021</v>
      </c>
      <c r="C197" s="435"/>
      <c r="D197" s="149" t="s">
        <v>106</v>
      </c>
      <c r="E197" s="149">
        <f t="shared" ref="E197:E260" si="131">DAYS360(A197,B197+1)</f>
        <v>30</v>
      </c>
      <c r="F197" s="153">
        <f>IF(AND(A197&gt;=$F$1,B197&lt;=$F$2),((VLOOKUP(YEAR(B197),'DIF MES'!A$2:E$38,5)*E197)/30),0)</f>
        <v>0</v>
      </c>
      <c r="G197" s="154">
        <f>VLOOKUP(100*YEAR(A197)+MONTH(A197)-1,IPC!A$14:E$861,2)</f>
        <v>61.14</v>
      </c>
      <c r="H197" s="151">
        <f t="shared" si="86"/>
        <v>105.29</v>
      </c>
      <c r="I197" s="153">
        <f t="shared" si="102"/>
        <v>0</v>
      </c>
      <c r="J197" s="153">
        <f t="shared" si="89"/>
        <v>0</v>
      </c>
      <c r="K197" s="155">
        <f t="shared" si="87"/>
        <v>0</v>
      </c>
      <c r="L197" s="153">
        <f t="shared" si="88"/>
        <v>0</v>
      </c>
      <c r="M197" s="184"/>
      <c r="N197" s="6"/>
    </row>
    <row r="198" spans="1:14" x14ac:dyDescent="0.35">
      <c r="A198" s="152">
        <f t="shared" si="121"/>
        <v>39022</v>
      </c>
      <c r="B198" s="152">
        <f t="shared" si="122"/>
        <v>39051</v>
      </c>
      <c r="C198" s="435"/>
      <c r="D198" s="149" t="s">
        <v>107</v>
      </c>
      <c r="E198" s="149">
        <f t="shared" si="131"/>
        <v>30</v>
      </c>
      <c r="F198" s="153">
        <f>IF(AND(A198&gt;=$F$1,B198&lt;=$F$2),((VLOOKUP(YEAR(B198),'DIF MES'!A$2:E$38,5)*E198)/30),0)</f>
        <v>0</v>
      </c>
      <c r="G198" s="154">
        <f>VLOOKUP(100*YEAR(A198)+MONTH(A198)-1,IPC!A$14:E$861,2)</f>
        <v>61.05</v>
      </c>
      <c r="H198" s="151">
        <f t="shared" ref="H198:H229" si="132">+$H$4</f>
        <v>105.29</v>
      </c>
      <c r="I198" s="153">
        <f t="shared" si="102"/>
        <v>0</v>
      </c>
      <c r="J198" s="153">
        <f t="shared" si="89"/>
        <v>0</v>
      </c>
      <c r="K198" s="155">
        <f t="shared" ref="K198:K261" si="133">IF(D198="adicional", 0, +I198*0.12)</f>
        <v>0</v>
      </c>
      <c r="L198" s="153">
        <f t="shared" ref="L198:L261" si="134">+I198-K198</f>
        <v>0</v>
      </c>
      <c r="M198" s="184"/>
      <c r="N198" s="6"/>
    </row>
    <row r="199" spans="1:14" x14ac:dyDescent="0.35">
      <c r="A199" s="156">
        <f t="shared" ref="A199" si="135">A198</f>
        <v>39022</v>
      </c>
      <c r="B199" s="156">
        <f t="shared" ref="B199" si="136">B198</f>
        <v>39051</v>
      </c>
      <c r="C199" s="435"/>
      <c r="D199" s="157" t="s">
        <v>101</v>
      </c>
      <c r="E199" s="157">
        <f t="shared" si="131"/>
        <v>30</v>
      </c>
      <c r="F199" s="153">
        <f>IF(AND(A199&gt;=$F$1,B199&lt;=$F$2),((VLOOKUP(YEAR(B199),'DIF MES'!A$2:E$38,5)*E199)/30),0)</f>
        <v>0</v>
      </c>
      <c r="G199" s="158">
        <f>VLOOKUP(100*YEAR(A199)+MONTH(A199)-1,IPC!A$14:E$861,2)</f>
        <v>61.05</v>
      </c>
      <c r="H199" s="159">
        <f t="shared" si="132"/>
        <v>105.29</v>
      </c>
      <c r="I199" s="161">
        <f t="shared" si="102"/>
        <v>0</v>
      </c>
      <c r="J199" s="161">
        <f t="shared" ref="J199:J261" si="137">+I199-F199</f>
        <v>0</v>
      </c>
      <c r="K199" s="155">
        <f t="shared" si="133"/>
        <v>0</v>
      </c>
      <c r="L199" s="161">
        <f t="shared" si="134"/>
        <v>0</v>
      </c>
      <c r="M199" s="184"/>
      <c r="N199" s="6"/>
    </row>
    <row r="200" spans="1:14" x14ac:dyDescent="0.35">
      <c r="A200" s="152">
        <f t="shared" ref="A200" si="138">IF(
AND(YEAR(B198)=YEAR(DATE(YEAR($F$1),MONTH($F$1)-1,1)),
MONTH(B198)=MONTH(DATE(YEAR($F$1),MONTH($F$1)-1,1))),
$F$1,
DATE(YEAR(B198),MONTH(B198)+1,1))</f>
        <v>39052</v>
      </c>
      <c r="B200" s="152">
        <f t="shared" ref="B200" si="139">IF(
AND(
YEAR(B198)=YEAR(DATE(YEAR($F$2),MONTH($F$2)-1,1)),
MONTH(B198)=MONTH(DATE(YEAR($F$2),MONTH($F$2)-1,1))
),
$F$2,
EOMONTH(B198,1)
)</f>
        <v>39082</v>
      </c>
      <c r="C200" s="436"/>
      <c r="D200" s="149" t="s">
        <v>108</v>
      </c>
      <c r="E200" s="149">
        <f t="shared" si="131"/>
        <v>30</v>
      </c>
      <c r="F200" s="153">
        <f>IF(AND(A200&gt;=$F$1,B200&lt;=$F$2),((VLOOKUP(YEAR(B200),'DIF MES'!A$2:E$38,5)*E200)/30),0)</f>
        <v>0</v>
      </c>
      <c r="G200" s="154">
        <f>VLOOKUP(100*YEAR(A200)+MONTH(A200)-1,IPC!A$14:E$861,2)</f>
        <v>61.19</v>
      </c>
      <c r="H200" s="151">
        <f t="shared" si="132"/>
        <v>105.29</v>
      </c>
      <c r="I200" s="153">
        <f t="shared" si="102"/>
        <v>0</v>
      </c>
      <c r="J200" s="153">
        <f t="shared" si="137"/>
        <v>0</v>
      </c>
      <c r="K200" s="155">
        <f t="shared" si="133"/>
        <v>0</v>
      </c>
      <c r="L200" s="153">
        <f t="shared" si="134"/>
        <v>0</v>
      </c>
      <c r="M200" s="184"/>
      <c r="N200" s="6"/>
    </row>
    <row r="201" spans="1:14" x14ac:dyDescent="0.35">
      <c r="A201" s="152">
        <f t="shared" si="115"/>
        <v>39085</v>
      </c>
      <c r="B201" s="152">
        <f t="shared" si="116"/>
        <v>39113</v>
      </c>
      <c r="C201" s="434">
        <v>2007</v>
      </c>
      <c r="D201" s="149" t="s">
        <v>96</v>
      </c>
      <c r="E201" s="149">
        <f t="shared" si="131"/>
        <v>28</v>
      </c>
      <c r="F201" s="153">
        <f>IF(AND(A201&gt;=$F$1,B201&lt;=$F$2),((VLOOKUP(YEAR(B201),'DIF MES'!A$2:E$38,5)*E201)/30),0)</f>
        <v>1866352.1333333333</v>
      </c>
      <c r="G201" s="154">
        <f>VLOOKUP(100*YEAR(A201)+MONTH(A201)-1,IPC!A$14:E$861,2)</f>
        <v>61.33</v>
      </c>
      <c r="H201" s="151">
        <f t="shared" si="132"/>
        <v>105.29</v>
      </c>
      <c r="I201" s="153">
        <f t="shared" si="102"/>
        <v>3204112.4428284145</v>
      </c>
      <c r="J201" s="153">
        <f t="shared" si="137"/>
        <v>1337760.3094950812</v>
      </c>
      <c r="K201" s="155">
        <f>IF(D201="adicional", 0, +I201*0.125)</f>
        <v>400514.05535355181</v>
      </c>
      <c r="L201" s="153">
        <f t="shared" si="134"/>
        <v>2803598.3874748629</v>
      </c>
      <c r="M201" s="184"/>
      <c r="N201" s="6"/>
    </row>
    <row r="202" spans="1:14" x14ac:dyDescent="0.35">
      <c r="A202" s="152">
        <f t="shared" si="115"/>
        <v>39114</v>
      </c>
      <c r="B202" s="152">
        <f t="shared" si="116"/>
        <v>39141</v>
      </c>
      <c r="C202" s="435"/>
      <c r="D202" s="149" t="s">
        <v>97</v>
      </c>
      <c r="E202" s="149">
        <f t="shared" si="131"/>
        <v>30</v>
      </c>
      <c r="F202" s="153">
        <f>IF(AND(A202&gt;=$F$1,B202&lt;=$F$2),((VLOOKUP(YEAR(B202),'DIF MES'!A$2:E$38,5)*E202)/30),0)</f>
        <v>1999663</v>
      </c>
      <c r="G202" s="154">
        <f>VLOOKUP(100*YEAR(A202)+MONTH(A202)-1,IPC!A$14:E$861,2)</f>
        <v>61.8</v>
      </c>
      <c r="H202" s="151">
        <f t="shared" si="132"/>
        <v>105.29</v>
      </c>
      <c r="I202" s="153">
        <f t="shared" si="102"/>
        <v>3406869.2114886735</v>
      </c>
      <c r="J202" s="153">
        <f t="shared" si="137"/>
        <v>1407206.2114886735</v>
      </c>
      <c r="K202" s="155">
        <f t="shared" ref="K202:K227" si="140">IF(D202="adicional", 0, +I202*0.125)</f>
        <v>425858.65143608418</v>
      </c>
      <c r="L202" s="153">
        <f t="shared" si="134"/>
        <v>2981010.5600525895</v>
      </c>
      <c r="M202" s="184"/>
      <c r="N202" s="6"/>
    </row>
    <row r="203" spans="1:14" x14ac:dyDescent="0.35">
      <c r="A203" s="152">
        <f t="shared" si="115"/>
        <v>39142</v>
      </c>
      <c r="B203" s="152">
        <f t="shared" si="116"/>
        <v>39172</v>
      </c>
      <c r="C203" s="435"/>
      <c r="D203" s="149" t="s">
        <v>98</v>
      </c>
      <c r="E203" s="149">
        <f t="shared" si="131"/>
        <v>30</v>
      </c>
      <c r="F203" s="153">
        <f>IF(AND(A203&gt;=$F$1,B203&lt;=$F$2),((VLOOKUP(YEAR(B203),'DIF MES'!A$2:E$38,5)*E203)/30),0)</f>
        <v>1999663</v>
      </c>
      <c r="G203" s="154">
        <f>VLOOKUP(100*YEAR(A203)+MONTH(A203)-1,IPC!A$14:E$861,2)</f>
        <v>62.53</v>
      </c>
      <c r="H203" s="151">
        <f t="shared" si="132"/>
        <v>105.29</v>
      </c>
      <c r="I203" s="153">
        <f t="shared" si="102"/>
        <v>3367096.0702063008</v>
      </c>
      <c r="J203" s="153">
        <f t="shared" si="137"/>
        <v>1367433.0702063008</v>
      </c>
      <c r="K203" s="155">
        <f t="shared" si="140"/>
        <v>420887.0087757876</v>
      </c>
      <c r="L203" s="153">
        <f t="shared" si="134"/>
        <v>2946209.0614305134</v>
      </c>
      <c r="M203" s="184"/>
      <c r="N203" s="6"/>
    </row>
    <row r="204" spans="1:14" x14ac:dyDescent="0.35">
      <c r="A204" s="152">
        <f t="shared" si="115"/>
        <v>39173</v>
      </c>
      <c r="B204" s="152">
        <f t="shared" si="116"/>
        <v>39202</v>
      </c>
      <c r="C204" s="435"/>
      <c r="D204" s="149" t="s">
        <v>99</v>
      </c>
      <c r="E204" s="149">
        <f t="shared" si="131"/>
        <v>30</v>
      </c>
      <c r="F204" s="153">
        <f>IF(AND(A204&gt;=$F$1,B204&lt;=$F$2),((VLOOKUP(YEAR(B204),'DIF MES'!A$2:E$38,5)*E204)/30),0)</f>
        <v>1999663</v>
      </c>
      <c r="G204" s="154">
        <f>VLOOKUP(100*YEAR(A204)+MONTH(A204)-1,IPC!A$14:E$861,2)</f>
        <v>63.29</v>
      </c>
      <c r="H204" s="151">
        <f t="shared" si="132"/>
        <v>105.29</v>
      </c>
      <c r="I204" s="153">
        <f t="shared" si="102"/>
        <v>3326663.2528045508</v>
      </c>
      <c r="J204" s="153">
        <f t="shared" si="137"/>
        <v>1327000.2528045508</v>
      </c>
      <c r="K204" s="155">
        <f t="shared" si="140"/>
        <v>415832.90660056885</v>
      </c>
      <c r="L204" s="153">
        <f t="shared" si="134"/>
        <v>2910830.3462039819</v>
      </c>
      <c r="M204" s="184"/>
      <c r="N204" s="6"/>
    </row>
    <row r="205" spans="1:14" x14ac:dyDescent="0.35">
      <c r="A205" s="152">
        <f t="shared" si="115"/>
        <v>39203</v>
      </c>
      <c r="B205" s="152">
        <f t="shared" si="116"/>
        <v>39233</v>
      </c>
      <c r="C205" s="435"/>
      <c r="D205" s="149" t="s">
        <v>100</v>
      </c>
      <c r="E205" s="149">
        <f t="shared" si="131"/>
        <v>30</v>
      </c>
      <c r="F205" s="153">
        <f>IF(AND(A205&gt;=$F$1,B205&lt;=$F$2),((VLOOKUP(YEAR(B205),'DIF MES'!A$2:E$38,5)*E205)/30),0)</f>
        <v>1999663</v>
      </c>
      <c r="G205" s="154">
        <f>VLOOKUP(100*YEAR(A205)+MONTH(A205)-1,IPC!A$14:E$861,2)</f>
        <v>63.85</v>
      </c>
      <c r="H205" s="151">
        <f t="shared" si="132"/>
        <v>105.29</v>
      </c>
      <c r="I205" s="153">
        <f t="shared" si="102"/>
        <v>3297486.566483947</v>
      </c>
      <c r="J205" s="153">
        <f t="shared" si="137"/>
        <v>1297823.566483947</v>
      </c>
      <c r="K205" s="155">
        <f t="shared" si="140"/>
        <v>412185.82081049337</v>
      </c>
      <c r="L205" s="153">
        <f t="shared" si="134"/>
        <v>2885300.7456734534</v>
      </c>
      <c r="M205" s="184"/>
      <c r="N205" s="6"/>
    </row>
    <row r="206" spans="1:14" x14ac:dyDescent="0.35">
      <c r="A206" s="156">
        <f t="shared" ref="A206" si="141">A207</f>
        <v>39234</v>
      </c>
      <c r="B206" s="156">
        <f t="shared" ref="B206" si="142">B207</f>
        <v>39263</v>
      </c>
      <c r="C206" s="435"/>
      <c r="D206" s="157" t="s">
        <v>101</v>
      </c>
      <c r="E206" s="157">
        <f t="shared" si="131"/>
        <v>30</v>
      </c>
      <c r="F206" s="153">
        <f>IF(AND(A206&gt;=$F$1,B206&lt;=$F$2),((VLOOKUP(YEAR(B206),'DIF MES'!A$2:E$38,5)*E206)/30),0)</f>
        <v>1999663</v>
      </c>
      <c r="G206" s="158">
        <f>VLOOKUP(100*YEAR(A206)+MONTH(A206)-1,IPC!A$14:E$861,2)</f>
        <v>64.05</v>
      </c>
      <c r="H206" s="159">
        <f t="shared" si="132"/>
        <v>105.29</v>
      </c>
      <c r="I206" s="160">
        <f>F206*(H206/G206)</f>
        <v>3287189.9651834508</v>
      </c>
      <c r="J206" s="161">
        <f>+I206-F206</f>
        <v>1287526.9651834508</v>
      </c>
      <c r="K206" s="155">
        <f t="shared" si="140"/>
        <v>0</v>
      </c>
      <c r="L206" s="161">
        <f>+I206-K206</f>
        <v>3287189.9651834508</v>
      </c>
      <c r="M206" s="184"/>
      <c r="N206" s="6"/>
    </row>
    <row r="207" spans="1:14" x14ac:dyDescent="0.35">
      <c r="A207" s="152">
        <f t="shared" ref="A207" si="143">IF(
AND(YEAR(B205)=YEAR(DATE(YEAR($F$1),MONTH($F$1)-1,1)),
MONTH(B205)=MONTH(DATE(YEAR($F$1),MONTH($F$1)-1,1))),
$F$1,
DATE(YEAR(B205),MONTH(B205)+1,1))</f>
        <v>39234</v>
      </c>
      <c r="B207" s="152">
        <f t="shared" ref="B207" si="144">IF(
AND(
YEAR(B205)=YEAR(DATE(YEAR($F$2),MONTH($F$2)-1,1)),
MONTH(B205)=MONTH(DATE(YEAR($F$2),MONTH($F$2)-1,1))
),
$F$2,
EOMONTH(B205,1)
)</f>
        <v>39263</v>
      </c>
      <c r="C207" s="435"/>
      <c r="D207" s="149" t="s">
        <v>102</v>
      </c>
      <c r="E207" s="149">
        <f t="shared" si="131"/>
        <v>30</v>
      </c>
      <c r="F207" s="153">
        <f>IF(AND(A207&gt;=$F$1,B207&lt;=$F$2),((VLOOKUP(YEAR(B207),'DIF MES'!A$2:E$38,5)*E207)/30),0)</f>
        <v>1999663</v>
      </c>
      <c r="G207" s="154">
        <f>VLOOKUP(100*YEAR(A207)+MONTH(A207)-1,IPC!A$14:E$861,2)</f>
        <v>64.05</v>
      </c>
      <c r="H207" s="151">
        <f t="shared" si="132"/>
        <v>105.29</v>
      </c>
      <c r="I207" s="153">
        <f>F207*(H207/G207)</f>
        <v>3287189.9651834508</v>
      </c>
      <c r="J207" s="153">
        <f>+I207-F207</f>
        <v>1287526.9651834508</v>
      </c>
      <c r="K207" s="155">
        <f t="shared" si="140"/>
        <v>410898.74564793136</v>
      </c>
      <c r="L207" s="153">
        <f>+I207-K207</f>
        <v>2876291.2195355194</v>
      </c>
      <c r="M207" s="184"/>
      <c r="N207" s="6"/>
    </row>
    <row r="208" spans="1:14" x14ac:dyDescent="0.35">
      <c r="A208" s="152">
        <f t="shared" si="121"/>
        <v>39264</v>
      </c>
      <c r="B208" s="152">
        <f t="shared" si="122"/>
        <v>39294</v>
      </c>
      <c r="C208" s="435"/>
      <c r="D208" s="149" t="s">
        <v>103</v>
      </c>
      <c r="E208" s="149">
        <f t="shared" si="131"/>
        <v>30</v>
      </c>
      <c r="F208" s="153">
        <f>IF(AND(A208&gt;=$F$1,B208&lt;=$F$2),((VLOOKUP(YEAR(B208),'DIF MES'!A$2:E$38,5)*E208)/30),0)</f>
        <v>1999663</v>
      </c>
      <c r="G208" s="154">
        <f>VLOOKUP(100*YEAR(A208)+MONTH(A208)-1,IPC!A$14:E$861,2)</f>
        <v>64.12</v>
      </c>
      <c r="H208" s="151">
        <f t="shared" si="132"/>
        <v>105.29</v>
      </c>
      <c r="I208" s="153">
        <f t="shared" si="102"/>
        <v>3283601.3298502807</v>
      </c>
      <c r="J208" s="153">
        <f t="shared" si="137"/>
        <v>1283938.3298502807</v>
      </c>
      <c r="K208" s="155">
        <f t="shared" si="140"/>
        <v>410450.16623128508</v>
      </c>
      <c r="L208" s="153">
        <f t="shared" si="134"/>
        <v>2873151.1636189958</v>
      </c>
      <c r="M208" s="184"/>
      <c r="N208" s="6"/>
    </row>
    <row r="209" spans="1:14" x14ac:dyDescent="0.35">
      <c r="A209" s="152">
        <f t="shared" si="121"/>
        <v>39295</v>
      </c>
      <c r="B209" s="152">
        <f t="shared" si="122"/>
        <v>39325</v>
      </c>
      <c r="C209" s="435"/>
      <c r="D209" s="149" t="s">
        <v>104</v>
      </c>
      <c r="E209" s="149">
        <f t="shared" si="131"/>
        <v>30</v>
      </c>
      <c r="F209" s="153">
        <f>IF(AND(A209&gt;=$F$1,B209&lt;=$F$2),((VLOOKUP(YEAR(B209),'DIF MES'!A$2:E$38,5)*E209)/30),0)</f>
        <v>1999663</v>
      </c>
      <c r="G209" s="154">
        <f>VLOOKUP(100*YEAR(A209)+MONTH(A209)-1,IPC!A$14:E$861,2)</f>
        <v>64.23</v>
      </c>
      <c r="H209" s="151">
        <f t="shared" si="132"/>
        <v>105.29</v>
      </c>
      <c r="I209" s="153">
        <f t="shared" si="102"/>
        <v>3277977.8494472988</v>
      </c>
      <c r="J209" s="153">
        <f t="shared" si="137"/>
        <v>1278314.8494472988</v>
      </c>
      <c r="K209" s="155">
        <f t="shared" si="140"/>
        <v>409747.23118091235</v>
      </c>
      <c r="L209" s="153">
        <f t="shared" si="134"/>
        <v>2868230.6182663864</v>
      </c>
      <c r="M209" s="184"/>
      <c r="N209" s="6"/>
    </row>
    <row r="210" spans="1:14" ht="20" x14ac:dyDescent="0.35">
      <c r="A210" s="152">
        <f t="shared" si="121"/>
        <v>39326</v>
      </c>
      <c r="B210" s="152">
        <f t="shared" si="122"/>
        <v>39355</v>
      </c>
      <c r="C210" s="435"/>
      <c r="D210" s="149" t="s">
        <v>105</v>
      </c>
      <c r="E210" s="149">
        <f t="shared" si="131"/>
        <v>30</v>
      </c>
      <c r="F210" s="153">
        <f>IF(AND(A210&gt;=$F$1,B210&lt;=$F$2),((VLOOKUP(YEAR(B210),'DIF MES'!A$2:E$38,5)*E210)/30),0)</f>
        <v>1999663</v>
      </c>
      <c r="G210" s="154">
        <f>VLOOKUP(100*YEAR(A210)+MONTH(A210)-1,IPC!A$14:E$861,2)</f>
        <v>64.14</v>
      </c>
      <c r="H210" s="151">
        <f t="shared" si="132"/>
        <v>105.29</v>
      </c>
      <c r="I210" s="153">
        <f t="shared" si="102"/>
        <v>3282577.4441845962</v>
      </c>
      <c r="J210" s="153">
        <f t="shared" si="137"/>
        <v>1282914.4441845962</v>
      </c>
      <c r="K210" s="155">
        <f t="shared" si="140"/>
        <v>410322.18052307452</v>
      </c>
      <c r="L210" s="153">
        <f t="shared" si="134"/>
        <v>2872255.2636615215</v>
      </c>
      <c r="M210" s="184"/>
      <c r="N210" s="6"/>
    </row>
    <row r="211" spans="1:14" x14ac:dyDescent="0.35">
      <c r="A211" s="152">
        <f t="shared" si="121"/>
        <v>39356</v>
      </c>
      <c r="B211" s="152">
        <f t="shared" si="122"/>
        <v>39386</v>
      </c>
      <c r="C211" s="435"/>
      <c r="D211" s="149" t="s">
        <v>106</v>
      </c>
      <c r="E211" s="149">
        <f t="shared" si="131"/>
        <v>30</v>
      </c>
      <c r="F211" s="153">
        <f>IF(AND(A211&gt;=$F$1,B211&lt;=$F$2),((VLOOKUP(YEAR(B211),'DIF MES'!A$2:E$38,5)*E211)/30),0)</f>
        <v>1999663</v>
      </c>
      <c r="G211" s="154">
        <f>VLOOKUP(100*YEAR(A211)+MONTH(A211)-1,IPC!A$14:E$861,2)</f>
        <v>64.2</v>
      </c>
      <c r="H211" s="151">
        <f t="shared" si="132"/>
        <v>105.29</v>
      </c>
      <c r="I211" s="153">
        <f t="shared" si="102"/>
        <v>3279509.6147975079</v>
      </c>
      <c r="J211" s="153">
        <f t="shared" si="137"/>
        <v>1279846.6147975079</v>
      </c>
      <c r="K211" s="155">
        <f t="shared" si="140"/>
        <v>409938.70184968848</v>
      </c>
      <c r="L211" s="153">
        <f t="shared" si="134"/>
        <v>2869570.9129478196</v>
      </c>
      <c r="M211" s="184"/>
      <c r="N211" s="6"/>
    </row>
    <row r="212" spans="1:14" x14ac:dyDescent="0.35">
      <c r="A212" s="152">
        <f t="shared" si="121"/>
        <v>39387</v>
      </c>
      <c r="B212" s="152">
        <f t="shared" si="122"/>
        <v>39416</v>
      </c>
      <c r="C212" s="435"/>
      <c r="D212" s="149" t="s">
        <v>107</v>
      </c>
      <c r="E212" s="149">
        <f t="shared" si="131"/>
        <v>30</v>
      </c>
      <c r="F212" s="153">
        <f>IF(AND(A212&gt;=$F$1,B212&lt;=$F$2),((VLOOKUP(YEAR(B212),'DIF MES'!A$2:E$38,5)*E212)/30),0)</f>
        <v>1999663</v>
      </c>
      <c r="G212" s="154">
        <f>VLOOKUP(100*YEAR(A212)+MONTH(A212)-1,IPC!A$14:E$861,2)</f>
        <v>64.2</v>
      </c>
      <c r="H212" s="151">
        <f t="shared" si="132"/>
        <v>105.29</v>
      </c>
      <c r="I212" s="153">
        <f t="shared" si="102"/>
        <v>3279509.6147975079</v>
      </c>
      <c r="J212" s="153">
        <f t="shared" si="137"/>
        <v>1279846.6147975079</v>
      </c>
      <c r="K212" s="155">
        <f t="shared" si="140"/>
        <v>409938.70184968848</v>
      </c>
      <c r="L212" s="153">
        <f t="shared" si="134"/>
        <v>2869570.9129478196</v>
      </c>
      <c r="M212" s="184"/>
      <c r="N212" s="6"/>
    </row>
    <row r="213" spans="1:14" x14ac:dyDescent="0.35">
      <c r="A213" s="156">
        <f t="shared" ref="A213" si="145">A212</f>
        <v>39387</v>
      </c>
      <c r="B213" s="156">
        <f t="shared" ref="B213" si="146">B212</f>
        <v>39416</v>
      </c>
      <c r="C213" s="435"/>
      <c r="D213" s="157" t="s">
        <v>101</v>
      </c>
      <c r="E213" s="157">
        <f t="shared" si="131"/>
        <v>30</v>
      </c>
      <c r="F213" s="153">
        <f>IF(AND(A213&gt;=$F$1,B213&lt;=$F$2),((VLOOKUP(YEAR(B213),'DIF MES'!A$2:E$38,5)*E213)/30),0)</f>
        <v>1999663</v>
      </c>
      <c r="G213" s="158">
        <f>VLOOKUP(100*YEAR(A213)+MONTH(A213)-1,IPC!A$14:E$861,2)</f>
        <v>64.2</v>
      </c>
      <c r="H213" s="159">
        <f t="shared" si="132"/>
        <v>105.29</v>
      </c>
      <c r="I213" s="161">
        <f t="shared" si="102"/>
        <v>3279509.6147975079</v>
      </c>
      <c r="J213" s="161">
        <f t="shared" si="137"/>
        <v>1279846.6147975079</v>
      </c>
      <c r="K213" s="155">
        <f t="shared" si="140"/>
        <v>0</v>
      </c>
      <c r="L213" s="161">
        <f t="shared" si="134"/>
        <v>3279509.6147975079</v>
      </c>
      <c r="M213" s="184"/>
      <c r="N213" s="6"/>
    </row>
    <row r="214" spans="1:14" x14ac:dyDescent="0.35">
      <c r="A214" s="152">
        <f t="shared" ref="A214" si="147">IF(
AND(YEAR(B212)=YEAR(DATE(YEAR($F$1),MONTH($F$1)-1,1)),
MONTH(B212)=MONTH(DATE(YEAR($F$1),MONTH($F$1)-1,1))),
$F$1,
DATE(YEAR(B212),MONTH(B212)+1,1))</f>
        <v>39417</v>
      </c>
      <c r="B214" s="152">
        <f t="shared" ref="B214" si="148">IF(
AND(
YEAR(B212)=YEAR(DATE(YEAR($F$2),MONTH($F$2)-1,1)),
MONTH(B212)=MONTH(DATE(YEAR($F$2),MONTH($F$2)-1,1))
),
$F$2,
EOMONTH(B212,1)
)</f>
        <v>39447</v>
      </c>
      <c r="C214" s="436"/>
      <c r="D214" s="149" t="s">
        <v>108</v>
      </c>
      <c r="E214" s="149">
        <f t="shared" si="131"/>
        <v>30</v>
      </c>
      <c r="F214" s="153">
        <f>IF(AND(A214&gt;=$F$1,B214&lt;=$F$2),((VLOOKUP(YEAR(B214),'DIF MES'!A$2:E$38,5)*E214)/30),0)</f>
        <v>1999663</v>
      </c>
      <c r="G214" s="154">
        <f>VLOOKUP(100*YEAR(A214)+MONTH(A214)-1,IPC!A$14:E$861,2)</f>
        <v>64.510000000000005</v>
      </c>
      <c r="H214" s="151">
        <f t="shared" si="132"/>
        <v>105.29</v>
      </c>
      <c r="I214" s="153">
        <f t="shared" si="102"/>
        <v>3263750.0739420243</v>
      </c>
      <c r="J214" s="153">
        <f t="shared" si="137"/>
        <v>1264087.0739420243</v>
      </c>
      <c r="K214" s="155">
        <f t="shared" si="140"/>
        <v>407968.75924275303</v>
      </c>
      <c r="L214" s="153">
        <f t="shared" si="134"/>
        <v>2855781.3146992712</v>
      </c>
      <c r="M214" s="184"/>
      <c r="N214" s="6"/>
    </row>
    <row r="215" spans="1:14" x14ac:dyDescent="0.35">
      <c r="A215" s="152">
        <f t="shared" si="115"/>
        <v>39448</v>
      </c>
      <c r="B215" s="152">
        <f t="shared" si="116"/>
        <v>39478</v>
      </c>
      <c r="C215" s="434">
        <v>2008</v>
      </c>
      <c r="D215" s="149" t="s">
        <v>96</v>
      </c>
      <c r="E215" s="149">
        <f t="shared" si="131"/>
        <v>30</v>
      </c>
      <c r="F215" s="153">
        <f>IF(AND(A215&gt;=$F$1,B215&lt;=$F$2),((VLOOKUP(YEAR(B215),'DIF MES'!A$2:E$38,5)*E215)/30),0)</f>
        <v>2113443.8246999998</v>
      </c>
      <c r="G215" s="154">
        <f>VLOOKUP(100*YEAR(A215)+MONTH(A215)-1,IPC!A$14:E$861,2)</f>
        <v>64.819999999999993</v>
      </c>
      <c r="H215" s="151">
        <f t="shared" si="132"/>
        <v>105.29</v>
      </c>
      <c r="I215" s="153">
        <f t="shared" si="102"/>
        <v>3432960.5106859459</v>
      </c>
      <c r="J215" s="153">
        <f t="shared" si="137"/>
        <v>1319516.6859859461</v>
      </c>
      <c r="K215" s="155">
        <f t="shared" si="140"/>
        <v>429120.06383574323</v>
      </c>
      <c r="L215" s="153">
        <f t="shared" si="134"/>
        <v>3003840.4468502025</v>
      </c>
      <c r="M215" s="184"/>
      <c r="N215" s="6"/>
    </row>
    <row r="216" spans="1:14" x14ac:dyDescent="0.35">
      <c r="A216" s="152">
        <f t="shared" si="115"/>
        <v>39479</v>
      </c>
      <c r="B216" s="152">
        <f t="shared" si="116"/>
        <v>39507</v>
      </c>
      <c r="C216" s="435"/>
      <c r="D216" s="149" t="s">
        <v>97</v>
      </c>
      <c r="E216" s="149">
        <f t="shared" si="131"/>
        <v>30</v>
      </c>
      <c r="F216" s="153">
        <f>IF(AND(A216&gt;=$F$1,B216&lt;=$F$2),((VLOOKUP(YEAR(B216),'DIF MES'!A$2:E$38,5)*E216)/30),0)</f>
        <v>2113443.8246999998</v>
      </c>
      <c r="G216" s="154">
        <f>VLOOKUP(100*YEAR(A216)+MONTH(A216)-1,IPC!A$14:E$861,2)</f>
        <v>65.510000000000005</v>
      </c>
      <c r="H216" s="151">
        <f t="shared" si="132"/>
        <v>105.29</v>
      </c>
      <c r="I216" s="153">
        <f t="shared" si="102"/>
        <v>3396802.0195796513</v>
      </c>
      <c r="J216" s="153">
        <f t="shared" si="137"/>
        <v>1283358.1948796515</v>
      </c>
      <c r="K216" s="155">
        <f t="shared" si="140"/>
        <v>424600.25244745641</v>
      </c>
      <c r="L216" s="153">
        <f t="shared" si="134"/>
        <v>2972201.7671321947</v>
      </c>
      <c r="M216" s="184"/>
      <c r="N216" s="6"/>
    </row>
    <row r="217" spans="1:14" x14ac:dyDescent="0.35">
      <c r="A217" s="152">
        <f t="shared" si="115"/>
        <v>39508</v>
      </c>
      <c r="B217" s="152">
        <f t="shared" si="116"/>
        <v>39538</v>
      </c>
      <c r="C217" s="435"/>
      <c r="D217" s="149" t="s">
        <v>98</v>
      </c>
      <c r="E217" s="149">
        <f t="shared" si="131"/>
        <v>30</v>
      </c>
      <c r="F217" s="153">
        <f>IF(AND(A217&gt;=$F$1,B217&lt;=$F$2),((VLOOKUP(YEAR(B217),'DIF MES'!A$2:E$38,5)*E217)/30),0)</f>
        <v>2113443.8246999998</v>
      </c>
      <c r="G217" s="154">
        <f>VLOOKUP(100*YEAR(A217)+MONTH(A217)-1,IPC!A$14:E$861,2)</f>
        <v>66.5</v>
      </c>
      <c r="H217" s="151">
        <f t="shared" si="132"/>
        <v>105.29</v>
      </c>
      <c r="I217" s="153">
        <f t="shared" si="102"/>
        <v>3346233.0872580903</v>
      </c>
      <c r="J217" s="153">
        <f t="shared" si="137"/>
        <v>1232789.2625580905</v>
      </c>
      <c r="K217" s="155">
        <f t="shared" si="140"/>
        <v>418279.13590726128</v>
      </c>
      <c r="L217" s="153">
        <f t="shared" si="134"/>
        <v>2927953.9513508291</v>
      </c>
      <c r="M217" s="184"/>
      <c r="N217" s="6"/>
    </row>
    <row r="218" spans="1:14" x14ac:dyDescent="0.35">
      <c r="A218" s="152">
        <f t="shared" si="115"/>
        <v>39539</v>
      </c>
      <c r="B218" s="152">
        <f t="shared" si="116"/>
        <v>39568</v>
      </c>
      <c r="C218" s="435"/>
      <c r="D218" s="149" t="s">
        <v>99</v>
      </c>
      <c r="E218" s="149">
        <f t="shared" si="131"/>
        <v>30</v>
      </c>
      <c r="F218" s="153">
        <f>IF(AND(A218&gt;=$F$1,B218&lt;=$F$2),((VLOOKUP(YEAR(B218),'DIF MES'!A$2:E$38,5)*E218)/30),0)</f>
        <v>2113443.8246999998</v>
      </c>
      <c r="G218" s="154">
        <f>VLOOKUP(100*YEAR(A218)+MONTH(A218)-1,IPC!A$14:E$861,2)</f>
        <v>67.040000000000006</v>
      </c>
      <c r="H218" s="151">
        <f t="shared" si="132"/>
        <v>105.29</v>
      </c>
      <c r="I218" s="153">
        <f t="shared" ref="I218:I281" si="149">F218*(H218/G218)</f>
        <v>3319279.5391208674</v>
      </c>
      <c r="J218" s="153">
        <f t="shared" si="137"/>
        <v>1205835.7144208676</v>
      </c>
      <c r="K218" s="155">
        <f t="shared" si="140"/>
        <v>414909.94239010842</v>
      </c>
      <c r="L218" s="153">
        <f t="shared" si="134"/>
        <v>2904369.5967307589</v>
      </c>
      <c r="M218" s="184"/>
      <c r="N218" s="6"/>
    </row>
    <row r="219" spans="1:14" x14ac:dyDescent="0.35">
      <c r="A219" s="152">
        <f t="shared" si="115"/>
        <v>39569</v>
      </c>
      <c r="B219" s="152">
        <f t="shared" si="116"/>
        <v>39599</v>
      </c>
      <c r="C219" s="435"/>
      <c r="D219" s="149" t="s">
        <v>100</v>
      </c>
      <c r="E219" s="149">
        <f t="shared" si="131"/>
        <v>30</v>
      </c>
      <c r="F219" s="153">
        <f>IF(AND(A219&gt;=$F$1,B219&lt;=$F$2),((VLOOKUP(YEAR(B219),'DIF MES'!A$2:E$38,5)*E219)/30),0)</f>
        <v>2113443.8246999998</v>
      </c>
      <c r="G219" s="154">
        <f>VLOOKUP(100*YEAR(A219)+MONTH(A219)-1,IPC!A$14:E$861,2)</f>
        <v>67.510000000000005</v>
      </c>
      <c r="H219" s="151">
        <f t="shared" si="132"/>
        <v>105.29</v>
      </c>
      <c r="I219" s="153">
        <f t="shared" si="149"/>
        <v>3296170.9421221004</v>
      </c>
      <c r="J219" s="153">
        <f t="shared" si="137"/>
        <v>1182727.1174221006</v>
      </c>
      <c r="K219" s="155">
        <f t="shared" si="140"/>
        <v>412021.36776526255</v>
      </c>
      <c r="L219" s="153">
        <f t="shared" si="134"/>
        <v>2884149.5743568377</v>
      </c>
      <c r="M219" s="184"/>
      <c r="N219" s="6"/>
    </row>
    <row r="220" spans="1:14" x14ac:dyDescent="0.35">
      <c r="A220" s="156">
        <f t="shared" ref="A220" si="150">A221</f>
        <v>39600</v>
      </c>
      <c r="B220" s="156">
        <f t="shared" ref="B220" si="151">B221</f>
        <v>39629</v>
      </c>
      <c r="C220" s="435"/>
      <c r="D220" s="157" t="s">
        <v>101</v>
      </c>
      <c r="E220" s="157">
        <f t="shared" si="131"/>
        <v>30</v>
      </c>
      <c r="F220" s="153">
        <f>IF(AND(A220&gt;=$F$1,B220&lt;=$F$2),((VLOOKUP(YEAR(B220),'DIF MES'!A$2:E$38,5)*E220)/30),0)</f>
        <v>2113443.8246999998</v>
      </c>
      <c r="G220" s="158">
        <f>VLOOKUP(100*YEAR(A220)+MONTH(A220)-1,IPC!A$14:E$861,2)</f>
        <v>68.14</v>
      </c>
      <c r="H220" s="159">
        <f t="shared" si="132"/>
        <v>105.29</v>
      </c>
      <c r="I220" s="160">
        <f>F220*(H220/G220)</f>
        <v>3265695.6310927942</v>
      </c>
      <c r="J220" s="161">
        <f>+I220-F220</f>
        <v>1152251.8063927945</v>
      </c>
      <c r="K220" s="155">
        <f t="shared" si="140"/>
        <v>0</v>
      </c>
      <c r="L220" s="161">
        <f>+I220-K220</f>
        <v>3265695.6310927942</v>
      </c>
      <c r="M220" s="184"/>
      <c r="N220" s="6"/>
    </row>
    <row r="221" spans="1:14" x14ac:dyDescent="0.35">
      <c r="A221" s="152">
        <f t="shared" ref="A221" si="152">IF(
AND(YEAR(B219)=YEAR(DATE(YEAR($F$1),MONTH($F$1)-1,1)),
MONTH(B219)=MONTH(DATE(YEAR($F$1),MONTH($F$1)-1,1))),
$F$1,
DATE(YEAR(B219),MONTH(B219)+1,1))</f>
        <v>39600</v>
      </c>
      <c r="B221" s="152">
        <f t="shared" ref="B221" si="153">IF(
AND(
YEAR(B219)=YEAR(DATE(YEAR($F$2),MONTH($F$2)-1,1)),
MONTH(B219)=MONTH(DATE(YEAR($F$2),MONTH($F$2)-1,1))
),
$F$2,
EOMONTH(B219,1)
)</f>
        <v>39629</v>
      </c>
      <c r="C221" s="435"/>
      <c r="D221" s="149" t="s">
        <v>102</v>
      </c>
      <c r="E221" s="149">
        <f t="shared" si="131"/>
        <v>30</v>
      </c>
      <c r="F221" s="153">
        <f>IF(AND(A221&gt;=$F$1,B221&lt;=$F$2),((VLOOKUP(YEAR(B221),'DIF MES'!A$2:E$38,5)*E221)/30),0)</f>
        <v>2113443.8246999998</v>
      </c>
      <c r="G221" s="154">
        <f>VLOOKUP(100*YEAR(A221)+MONTH(A221)-1,IPC!A$14:E$861,2)</f>
        <v>68.14</v>
      </c>
      <c r="H221" s="151">
        <f t="shared" si="132"/>
        <v>105.29</v>
      </c>
      <c r="I221" s="153">
        <f>F221*(H221/G221)</f>
        <v>3265695.6310927942</v>
      </c>
      <c r="J221" s="153">
        <f>+I221-F221</f>
        <v>1152251.8063927945</v>
      </c>
      <c r="K221" s="155">
        <f t="shared" si="140"/>
        <v>408211.95388659928</v>
      </c>
      <c r="L221" s="153">
        <f>+I221-K221</f>
        <v>2857483.677206195</v>
      </c>
      <c r="M221" s="184"/>
      <c r="N221" s="6"/>
    </row>
    <row r="222" spans="1:14" x14ac:dyDescent="0.35">
      <c r="A222" s="152">
        <f t="shared" si="121"/>
        <v>39630</v>
      </c>
      <c r="B222" s="152">
        <f t="shared" si="122"/>
        <v>39660</v>
      </c>
      <c r="C222" s="435"/>
      <c r="D222" s="149" t="s">
        <v>103</v>
      </c>
      <c r="E222" s="149">
        <f t="shared" si="131"/>
        <v>30</v>
      </c>
      <c r="F222" s="153">
        <f>IF(AND(A222&gt;=$F$1,B222&lt;=$F$2),((VLOOKUP(YEAR(B222),'DIF MES'!A$2:E$38,5)*E222)/30),0)</f>
        <v>2113443.8246999998</v>
      </c>
      <c r="G222" s="154">
        <f>VLOOKUP(100*YEAR(A222)+MONTH(A222)-1,IPC!A$14:E$861,2)</f>
        <v>68.73</v>
      </c>
      <c r="H222" s="151">
        <f t="shared" si="132"/>
        <v>105.29</v>
      </c>
      <c r="I222" s="153">
        <f t="shared" si="149"/>
        <v>3237661.8696735483</v>
      </c>
      <c r="J222" s="153">
        <f t="shared" si="137"/>
        <v>1124218.0449735485</v>
      </c>
      <c r="K222" s="155">
        <f t="shared" si="140"/>
        <v>404707.73370919353</v>
      </c>
      <c r="L222" s="153">
        <f t="shared" si="134"/>
        <v>2832954.1359643545</v>
      </c>
      <c r="M222" s="184"/>
      <c r="N222" s="6"/>
    </row>
    <row r="223" spans="1:14" x14ac:dyDescent="0.35">
      <c r="A223" s="152">
        <f t="shared" si="121"/>
        <v>39661</v>
      </c>
      <c r="B223" s="152">
        <f t="shared" si="122"/>
        <v>39691</v>
      </c>
      <c r="C223" s="435"/>
      <c r="D223" s="149" t="s">
        <v>104</v>
      </c>
      <c r="E223" s="149">
        <f t="shared" si="131"/>
        <v>30</v>
      </c>
      <c r="F223" s="153">
        <f>IF(AND(A223&gt;=$F$1,B223&lt;=$F$2),((VLOOKUP(YEAR(B223),'DIF MES'!A$2:E$38,5)*E223)/30),0)</f>
        <v>2113443.8246999998</v>
      </c>
      <c r="G223" s="154">
        <f>VLOOKUP(100*YEAR(A223)+MONTH(A223)-1,IPC!A$14:E$861,2)</f>
        <v>69.06</v>
      </c>
      <c r="H223" s="151">
        <f t="shared" si="132"/>
        <v>105.29</v>
      </c>
      <c r="I223" s="153">
        <f t="shared" si="149"/>
        <v>3222190.8529201127</v>
      </c>
      <c r="J223" s="153">
        <f t="shared" si="137"/>
        <v>1108747.0282201129</v>
      </c>
      <c r="K223" s="155">
        <f t="shared" si="140"/>
        <v>402773.85661501408</v>
      </c>
      <c r="L223" s="153">
        <f t="shared" si="134"/>
        <v>2819416.9963050988</v>
      </c>
      <c r="M223" s="184"/>
      <c r="N223" s="6"/>
    </row>
    <row r="224" spans="1:14" ht="20" x14ac:dyDescent="0.35">
      <c r="A224" s="152">
        <f t="shared" si="121"/>
        <v>39692</v>
      </c>
      <c r="B224" s="152">
        <f t="shared" si="122"/>
        <v>39721</v>
      </c>
      <c r="C224" s="435"/>
      <c r="D224" s="149" t="s">
        <v>105</v>
      </c>
      <c r="E224" s="149">
        <f t="shared" si="131"/>
        <v>30</v>
      </c>
      <c r="F224" s="153">
        <f>IF(AND(A224&gt;=$F$1,B224&lt;=$F$2),((VLOOKUP(YEAR(B224),'DIF MES'!A$2:E$38,5)*E224)/30),0)</f>
        <v>2113443.8246999998</v>
      </c>
      <c r="G224" s="154">
        <f>VLOOKUP(100*YEAR(A224)+MONTH(A224)-1,IPC!A$14:E$861,2)</f>
        <v>69.19</v>
      </c>
      <c r="H224" s="151">
        <f t="shared" si="132"/>
        <v>105.29</v>
      </c>
      <c r="I224" s="153">
        <f t="shared" si="149"/>
        <v>3216136.7293346291</v>
      </c>
      <c r="J224" s="153">
        <f t="shared" si="137"/>
        <v>1102692.9046346294</v>
      </c>
      <c r="K224" s="155">
        <f t="shared" si="140"/>
        <v>402017.09116682864</v>
      </c>
      <c r="L224" s="153">
        <f t="shared" si="134"/>
        <v>2814119.6381678004</v>
      </c>
      <c r="M224" s="184"/>
      <c r="N224" s="6"/>
    </row>
    <row r="225" spans="1:14" x14ac:dyDescent="0.35">
      <c r="A225" s="152">
        <f t="shared" si="121"/>
        <v>39722</v>
      </c>
      <c r="B225" s="152">
        <f t="shared" si="122"/>
        <v>39752</v>
      </c>
      <c r="C225" s="435"/>
      <c r="D225" s="149" t="s">
        <v>106</v>
      </c>
      <c r="E225" s="149">
        <f t="shared" si="131"/>
        <v>30</v>
      </c>
      <c r="F225" s="153">
        <f>IF(AND(A225&gt;=$F$1,B225&lt;=$F$2),((VLOOKUP(YEAR(B225),'DIF MES'!A$2:E$38,5)*E225)/30),0)</f>
        <v>2113443.8246999998</v>
      </c>
      <c r="G225" s="154">
        <f>VLOOKUP(100*YEAR(A225)+MONTH(A225)-1,IPC!A$14:E$861,2)</f>
        <v>69.06</v>
      </c>
      <c r="H225" s="151">
        <f t="shared" si="132"/>
        <v>105.29</v>
      </c>
      <c r="I225" s="153">
        <f t="shared" si="149"/>
        <v>3222190.8529201127</v>
      </c>
      <c r="J225" s="153">
        <f t="shared" si="137"/>
        <v>1108747.0282201129</v>
      </c>
      <c r="K225" s="155">
        <f t="shared" si="140"/>
        <v>402773.85661501408</v>
      </c>
      <c r="L225" s="153">
        <f t="shared" si="134"/>
        <v>2819416.9963050988</v>
      </c>
      <c r="M225" s="184"/>
      <c r="N225" s="6"/>
    </row>
    <row r="226" spans="1:14" x14ac:dyDescent="0.35">
      <c r="A226" s="152">
        <f t="shared" si="121"/>
        <v>39753</v>
      </c>
      <c r="B226" s="152">
        <f t="shared" si="122"/>
        <v>39782</v>
      </c>
      <c r="C226" s="435"/>
      <c r="D226" s="149" t="s">
        <v>107</v>
      </c>
      <c r="E226" s="149">
        <f t="shared" si="131"/>
        <v>30</v>
      </c>
      <c r="F226" s="153">
        <f>IF(AND(A226&gt;=$F$1,B226&lt;=$F$2),((VLOOKUP(YEAR(B226),'DIF MES'!A$2:E$38,5)*E226)/30),0)</f>
        <v>2113443.8246999998</v>
      </c>
      <c r="G226" s="154">
        <f>VLOOKUP(100*YEAR(A226)+MONTH(A226)-1,IPC!A$14:E$861,2)</f>
        <v>69.3</v>
      </c>
      <c r="H226" s="151">
        <f t="shared" si="132"/>
        <v>105.29</v>
      </c>
      <c r="I226" s="153">
        <f t="shared" si="149"/>
        <v>3211031.7503991774</v>
      </c>
      <c r="J226" s="153">
        <f t="shared" si="137"/>
        <v>1097587.9256991777</v>
      </c>
      <c r="K226" s="155">
        <f t="shared" si="140"/>
        <v>401378.96879989718</v>
      </c>
      <c r="L226" s="153">
        <f t="shared" si="134"/>
        <v>2809652.7815992804</v>
      </c>
      <c r="M226" s="184"/>
      <c r="N226" s="6"/>
    </row>
    <row r="227" spans="1:14" x14ac:dyDescent="0.35">
      <c r="A227" s="156">
        <f t="shared" ref="A227" si="154">A226</f>
        <v>39753</v>
      </c>
      <c r="B227" s="156">
        <f t="shared" ref="B227" si="155">B226</f>
        <v>39782</v>
      </c>
      <c r="C227" s="435"/>
      <c r="D227" s="157" t="s">
        <v>101</v>
      </c>
      <c r="E227" s="157">
        <f t="shared" si="131"/>
        <v>30</v>
      </c>
      <c r="F227" s="153">
        <f>IF(AND(A227&gt;=$F$1,B227&lt;=$F$2),((VLOOKUP(YEAR(B227),'DIF MES'!A$2:E$38,5)*E227)/30),0)</f>
        <v>2113443.8246999998</v>
      </c>
      <c r="G227" s="158">
        <f>VLOOKUP(100*YEAR(A227)+MONTH(A227)-1,IPC!A$14:E$861,2)</f>
        <v>69.3</v>
      </c>
      <c r="H227" s="159">
        <f t="shared" si="132"/>
        <v>105.29</v>
      </c>
      <c r="I227" s="161">
        <f t="shared" si="149"/>
        <v>3211031.7503991774</v>
      </c>
      <c r="J227" s="161">
        <f t="shared" si="137"/>
        <v>1097587.9256991777</v>
      </c>
      <c r="K227" s="155">
        <f t="shared" si="140"/>
        <v>0</v>
      </c>
      <c r="L227" s="161">
        <f t="shared" si="134"/>
        <v>3211031.7503991774</v>
      </c>
      <c r="M227" s="184"/>
      <c r="N227" s="6"/>
    </row>
    <row r="228" spans="1:14" x14ac:dyDescent="0.35">
      <c r="A228" s="152">
        <f t="shared" ref="A228" si="156">IF(
AND(YEAR(B226)=YEAR(DATE(YEAR($F$1),MONTH($F$1)-1,1)),
MONTH(B226)=MONTH(DATE(YEAR($F$1),MONTH($F$1)-1,1))),
$F$1,
DATE(YEAR(B226),MONTH(B226)+1,1))</f>
        <v>39783</v>
      </c>
      <c r="B228" s="152">
        <f t="shared" ref="B228" si="157">IF(
AND(
YEAR(B226)=YEAR(DATE(YEAR($F$2),MONTH($F$2)-1,1)),
MONTH(B226)=MONTH(DATE(YEAR($F$2),MONTH($F$2)-1,1))
),
$F$2,
EOMONTH(B226,1)
)</f>
        <v>39813</v>
      </c>
      <c r="C228" s="436"/>
      <c r="D228" s="149" t="s">
        <v>108</v>
      </c>
      <c r="E228" s="149">
        <f t="shared" si="131"/>
        <v>30</v>
      </c>
      <c r="F228" s="153">
        <f>IF(AND(A228&gt;=$F$1,B228&lt;=$F$2),((VLOOKUP(YEAR(B228),'DIF MES'!A$2:E$38,5)*E228)/30),0)</f>
        <v>2113443.8246999998</v>
      </c>
      <c r="G228" s="154">
        <f>VLOOKUP(100*YEAR(A228)+MONTH(A228)-1,IPC!A$14:E$861,2)</f>
        <v>69.489999999999995</v>
      </c>
      <c r="H228" s="151">
        <f t="shared" si="132"/>
        <v>105.29</v>
      </c>
      <c r="I228" s="153">
        <f t="shared" si="149"/>
        <v>3202252.1269630594</v>
      </c>
      <c r="J228" s="153">
        <f t="shared" si="137"/>
        <v>1088808.3022630597</v>
      </c>
      <c r="K228" s="155">
        <f t="shared" si="133"/>
        <v>384270.25523556711</v>
      </c>
      <c r="L228" s="153">
        <f t="shared" si="134"/>
        <v>2817981.8717274922</v>
      </c>
      <c r="M228" s="184"/>
      <c r="N228" s="6"/>
    </row>
    <row r="229" spans="1:14" x14ac:dyDescent="0.35">
      <c r="A229" s="152">
        <f t="shared" si="115"/>
        <v>39814</v>
      </c>
      <c r="B229" s="152">
        <f t="shared" si="116"/>
        <v>39844</v>
      </c>
      <c r="C229" s="434">
        <v>2009</v>
      </c>
      <c r="D229" s="149" t="s">
        <v>96</v>
      </c>
      <c r="E229" s="149">
        <f t="shared" si="131"/>
        <v>30</v>
      </c>
      <c r="F229" s="153">
        <f>IF(AND(A229&gt;=$F$1,B229&lt;=$F$2),((VLOOKUP(YEAR(B229),'DIF MES'!A$2:E$38,5)*E229)/30),0)</f>
        <v>2275544.9660544898</v>
      </c>
      <c r="G229" s="154">
        <f>VLOOKUP(100*YEAR(A229)+MONTH(A229)-1,IPC!A$14:E$861,2)</f>
        <v>69.8</v>
      </c>
      <c r="H229" s="151">
        <f t="shared" si="132"/>
        <v>105.29</v>
      </c>
      <c r="I229" s="153">
        <f t="shared" si="149"/>
        <v>3432551.9982217373</v>
      </c>
      <c r="J229" s="153">
        <f t="shared" si="137"/>
        <v>1157007.0321672475</v>
      </c>
      <c r="K229" s="155">
        <f t="shared" si="133"/>
        <v>411906.23978660844</v>
      </c>
      <c r="L229" s="153">
        <f t="shared" si="134"/>
        <v>3020645.7584351287</v>
      </c>
      <c r="M229" s="184"/>
      <c r="N229" s="6"/>
    </row>
    <row r="230" spans="1:14" x14ac:dyDescent="0.35">
      <c r="A230" s="152">
        <f t="shared" si="115"/>
        <v>39845</v>
      </c>
      <c r="B230" s="152">
        <f t="shared" si="116"/>
        <v>39872</v>
      </c>
      <c r="C230" s="435"/>
      <c r="D230" s="149" t="s">
        <v>97</v>
      </c>
      <c r="E230" s="149">
        <f t="shared" si="131"/>
        <v>30</v>
      </c>
      <c r="F230" s="153">
        <f>IF(AND(A230&gt;=$F$1,B230&lt;=$F$2),((VLOOKUP(YEAR(B230),'DIF MES'!A$2:E$38,5)*E230)/30),0)</f>
        <v>2275544.9660544898</v>
      </c>
      <c r="G230" s="154">
        <f>VLOOKUP(100*YEAR(A230)+MONTH(A230)-1,IPC!A$14:E$861,2)</f>
        <v>70.209999999999994</v>
      </c>
      <c r="H230" s="151">
        <f t="shared" ref="H230:H261" si="158">+$H$4</f>
        <v>105.29</v>
      </c>
      <c r="I230" s="153">
        <f t="shared" si="149"/>
        <v>3412507.1852425192</v>
      </c>
      <c r="J230" s="153">
        <f t="shared" si="137"/>
        <v>1136962.2191880294</v>
      </c>
      <c r="K230" s="155">
        <f t="shared" si="133"/>
        <v>409500.86222910229</v>
      </c>
      <c r="L230" s="153">
        <f t="shared" si="134"/>
        <v>3003006.323013417</v>
      </c>
      <c r="M230" s="184"/>
      <c r="N230" s="6"/>
    </row>
    <row r="231" spans="1:14" x14ac:dyDescent="0.35">
      <c r="A231" s="152">
        <f t="shared" si="115"/>
        <v>39873</v>
      </c>
      <c r="B231" s="152">
        <f t="shared" si="116"/>
        <v>39903</v>
      </c>
      <c r="C231" s="435"/>
      <c r="D231" s="149" t="s">
        <v>98</v>
      </c>
      <c r="E231" s="149">
        <f t="shared" si="131"/>
        <v>30</v>
      </c>
      <c r="F231" s="153">
        <f>IF(AND(A231&gt;=$F$1,B231&lt;=$F$2),((VLOOKUP(YEAR(B231),'DIF MES'!A$2:E$38,5)*E231)/30),0)</f>
        <v>2275544.9660544898</v>
      </c>
      <c r="G231" s="154">
        <f>VLOOKUP(100*YEAR(A231)+MONTH(A231)-1,IPC!A$14:E$861,2)</f>
        <v>70.8</v>
      </c>
      <c r="H231" s="151">
        <f t="shared" si="158"/>
        <v>105.29</v>
      </c>
      <c r="I231" s="153">
        <f t="shared" si="149"/>
        <v>3384069.625365498</v>
      </c>
      <c r="J231" s="153">
        <f t="shared" si="137"/>
        <v>1108524.6593110082</v>
      </c>
      <c r="K231" s="155">
        <f t="shared" si="133"/>
        <v>406088.35504385974</v>
      </c>
      <c r="L231" s="153">
        <f t="shared" si="134"/>
        <v>2977981.2703216383</v>
      </c>
      <c r="M231" s="184"/>
      <c r="N231" s="6"/>
    </row>
    <row r="232" spans="1:14" x14ac:dyDescent="0.35">
      <c r="A232" s="152">
        <f t="shared" si="115"/>
        <v>39904</v>
      </c>
      <c r="B232" s="152">
        <f t="shared" si="116"/>
        <v>39933</v>
      </c>
      <c r="C232" s="435"/>
      <c r="D232" s="149" t="s">
        <v>99</v>
      </c>
      <c r="E232" s="149">
        <f t="shared" si="131"/>
        <v>30</v>
      </c>
      <c r="F232" s="153">
        <f>IF(AND(A232&gt;=$F$1,B232&lt;=$F$2),((VLOOKUP(YEAR(B232),'DIF MES'!A$2:E$38,5)*E232)/30),0)</f>
        <v>2275544.9660544898</v>
      </c>
      <c r="G232" s="154">
        <f>VLOOKUP(100*YEAR(A232)+MONTH(A232)-1,IPC!A$14:E$861,2)</f>
        <v>71.150000000000006</v>
      </c>
      <c r="H232" s="151">
        <f t="shared" si="158"/>
        <v>105.29</v>
      </c>
      <c r="I232" s="153">
        <f t="shared" si="149"/>
        <v>3367422.7614318654</v>
      </c>
      <c r="J232" s="153">
        <f t="shared" si="137"/>
        <v>1091877.7953773756</v>
      </c>
      <c r="K232" s="155">
        <f t="shared" si="133"/>
        <v>404090.73137182381</v>
      </c>
      <c r="L232" s="153">
        <f t="shared" si="134"/>
        <v>2963332.0300600417</v>
      </c>
      <c r="M232" s="184"/>
      <c r="N232" s="6"/>
    </row>
    <row r="233" spans="1:14" x14ac:dyDescent="0.35">
      <c r="A233" s="152">
        <f t="shared" si="115"/>
        <v>39934</v>
      </c>
      <c r="B233" s="152">
        <f t="shared" si="116"/>
        <v>39964</v>
      </c>
      <c r="C233" s="435"/>
      <c r="D233" s="149" t="s">
        <v>100</v>
      </c>
      <c r="E233" s="149">
        <f t="shared" si="131"/>
        <v>30</v>
      </c>
      <c r="F233" s="153">
        <f>IF(AND(A233&gt;=$F$1,B233&lt;=$F$2),((VLOOKUP(YEAR(B233),'DIF MES'!A$2:E$38,5)*E233)/30),0)</f>
        <v>2275544.9660544898</v>
      </c>
      <c r="G233" s="154">
        <f>VLOOKUP(100*YEAR(A233)+MONTH(A233)-1,IPC!A$14:E$861,2)</f>
        <v>71.38</v>
      </c>
      <c r="H233" s="151">
        <f t="shared" si="158"/>
        <v>105.29</v>
      </c>
      <c r="I233" s="153">
        <f t="shared" si="149"/>
        <v>3356572.2818139149</v>
      </c>
      <c r="J233" s="153">
        <f t="shared" si="137"/>
        <v>1081027.3157594251</v>
      </c>
      <c r="K233" s="155">
        <f t="shared" si="133"/>
        <v>402788.6738176698</v>
      </c>
      <c r="L233" s="153">
        <f t="shared" si="134"/>
        <v>2953783.6079962449</v>
      </c>
      <c r="M233" s="184"/>
      <c r="N233" s="6"/>
    </row>
    <row r="234" spans="1:14" x14ac:dyDescent="0.35">
      <c r="A234" s="156">
        <f t="shared" ref="A234" si="159">A235</f>
        <v>39965</v>
      </c>
      <c r="B234" s="156">
        <f t="shared" ref="B234" si="160">B235</f>
        <v>39994</v>
      </c>
      <c r="C234" s="435"/>
      <c r="D234" s="157" t="s">
        <v>101</v>
      </c>
      <c r="E234" s="157">
        <f t="shared" si="131"/>
        <v>30</v>
      </c>
      <c r="F234" s="153">
        <f>IF(AND(A234&gt;=$F$1,B234&lt;=$F$2),((VLOOKUP(YEAR(B234),'DIF MES'!A$2:E$38,5)*E234)/30),0)</f>
        <v>2275544.9660544898</v>
      </c>
      <c r="G234" s="158">
        <f>VLOOKUP(100*YEAR(A234)+MONTH(A234)-1,IPC!A$14:E$861,2)</f>
        <v>71.39</v>
      </c>
      <c r="H234" s="159">
        <f t="shared" si="158"/>
        <v>105.29</v>
      </c>
      <c r="I234" s="160">
        <f>F234*(H234/G234)</f>
        <v>3356102.1078004939</v>
      </c>
      <c r="J234" s="161">
        <f>+I234-F234</f>
        <v>1080557.1417460041</v>
      </c>
      <c r="K234" s="155">
        <f>IF(D234="adicional", 0, +I234*0.12)</f>
        <v>0</v>
      </c>
      <c r="L234" s="161">
        <f>+I234-K234</f>
        <v>3356102.1078004939</v>
      </c>
      <c r="M234" s="184"/>
      <c r="N234" s="6"/>
    </row>
    <row r="235" spans="1:14" x14ac:dyDescent="0.35">
      <c r="A235" s="152">
        <f t="shared" ref="A235" si="161">IF(
AND(YEAR(B233)=YEAR(DATE(YEAR($F$1),MONTH($F$1)-1,1)),
MONTH(B233)=MONTH(DATE(YEAR($F$1),MONTH($F$1)-1,1))),
$F$1,
DATE(YEAR(B233),MONTH(B233)+1,1))</f>
        <v>39965</v>
      </c>
      <c r="B235" s="152">
        <f t="shared" ref="B235" si="162">IF(
AND(
YEAR(B233)=YEAR(DATE(YEAR($F$2),MONTH($F$2)-1,1)),
MONTH(B233)=MONTH(DATE(YEAR($F$2),MONTH($F$2)-1,1))
),
$F$2,
EOMONTH(B233,1)
)</f>
        <v>39994</v>
      </c>
      <c r="C235" s="435"/>
      <c r="D235" s="149" t="s">
        <v>102</v>
      </c>
      <c r="E235" s="149">
        <f t="shared" si="131"/>
        <v>30</v>
      </c>
      <c r="F235" s="153">
        <f>IF(AND(A235&gt;=$F$1,B235&lt;=$F$2),((VLOOKUP(YEAR(B235),'DIF MES'!A$2:E$38,5)*E235)/30),0)</f>
        <v>2275544.9660544898</v>
      </c>
      <c r="G235" s="154">
        <f>VLOOKUP(100*YEAR(A235)+MONTH(A235)-1,IPC!A$14:E$861,2)</f>
        <v>71.39</v>
      </c>
      <c r="H235" s="151">
        <f t="shared" si="158"/>
        <v>105.29</v>
      </c>
      <c r="I235" s="153">
        <f>F235*(H235/G235)</f>
        <v>3356102.1078004939</v>
      </c>
      <c r="J235" s="153">
        <f>+I235-F235</f>
        <v>1080557.1417460041</v>
      </c>
      <c r="K235" s="155">
        <f>IF(D235="adicional", 0, +I235*0.12)</f>
        <v>402732.25293605926</v>
      </c>
      <c r="L235" s="153">
        <f>+I235-K235</f>
        <v>2953369.8548644348</v>
      </c>
      <c r="M235" s="184"/>
      <c r="N235" s="6"/>
    </row>
    <row r="236" spans="1:14" x14ac:dyDescent="0.35">
      <c r="A236" s="152">
        <f t="shared" si="121"/>
        <v>39995</v>
      </c>
      <c r="B236" s="152">
        <f t="shared" si="122"/>
        <v>40025</v>
      </c>
      <c r="C236" s="435"/>
      <c r="D236" s="149" t="s">
        <v>103</v>
      </c>
      <c r="E236" s="149">
        <f t="shared" si="131"/>
        <v>30</v>
      </c>
      <c r="F236" s="153">
        <f>IF(AND(A236&gt;=$F$1,B236&lt;=$F$2),((VLOOKUP(YEAR(B236),'DIF MES'!A$2:E$38,5)*E236)/30),0)</f>
        <v>2275544.9660544898</v>
      </c>
      <c r="G236" s="154">
        <f>VLOOKUP(100*YEAR(A236)+MONTH(A236)-1,IPC!A$14:E$861,2)</f>
        <v>71.349999999999994</v>
      </c>
      <c r="H236" s="151">
        <f t="shared" si="158"/>
        <v>105.29</v>
      </c>
      <c r="I236" s="153">
        <f t="shared" si="149"/>
        <v>3357983.5946163596</v>
      </c>
      <c r="J236" s="153">
        <f t="shared" si="137"/>
        <v>1082438.6285618697</v>
      </c>
      <c r="K236" s="155">
        <f t="shared" si="133"/>
        <v>402958.03135396313</v>
      </c>
      <c r="L236" s="153">
        <f t="shared" si="134"/>
        <v>2955025.5632623965</v>
      </c>
      <c r="M236" s="184"/>
      <c r="N236" s="6"/>
    </row>
    <row r="237" spans="1:14" x14ac:dyDescent="0.35">
      <c r="A237" s="152">
        <f t="shared" si="121"/>
        <v>40026</v>
      </c>
      <c r="B237" s="152">
        <f t="shared" si="122"/>
        <v>40056</v>
      </c>
      <c r="C237" s="435"/>
      <c r="D237" s="149" t="s">
        <v>104</v>
      </c>
      <c r="E237" s="149">
        <f t="shared" si="131"/>
        <v>30</v>
      </c>
      <c r="F237" s="153">
        <f>IF(AND(A237&gt;=$F$1,B237&lt;=$F$2),((VLOOKUP(YEAR(B237),'DIF MES'!A$2:E$38,5)*E237)/30),0)</f>
        <v>2275544.9660544898</v>
      </c>
      <c r="G237" s="154">
        <f>VLOOKUP(100*YEAR(A237)+MONTH(A237)-1,IPC!A$14:E$861,2)</f>
        <v>71.319999999999993</v>
      </c>
      <c r="H237" s="151">
        <f t="shared" si="158"/>
        <v>105.29</v>
      </c>
      <c r="I237" s="153">
        <f t="shared" si="149"/>
        <v>3359396.0947262659</v>
      </c>
      <c r="J237" s="153">
        <f t="shared" si="137"/>
        <v>1083851.128671776</v>
      </c>
      <c r="K237" s="155">
        <f t="shared" si="133"/>
        <v>403127.53136715188</v>
      </c>
      <c r="L237" s="153">
        <f t="shared" si="134"/>
        <v>2956268.5633591139</v>
      </c>
      <c r="M237" s="184"/>
      <c r="N237" s="6"/>
    </row>
    <row r="238" spans="1:14" ht="20" x14ac:dyDescent="0.35">
      <c r="A238" s="152">
        <f t="shared" si="121"/>
        <v>40057</v>
      </c>
      <c r="B238" s="152">
        <f t="shared" si="122"/>
        <v>40086</v>
      </c>
      <c r="C238" s="435"/>
      <c r="D238" s="149" t="s">
        <v>105</v>
      </c>
      <c r="E238" s="149">
        <f t="shared" si="131"/>
        <v>30</v>
      </c>
      <c r="F238" s="153">
        <f>IF(AND(A238&gt;=$F$1,B238&lt;=$F$2),((VLOOKUP(YEAR(B238),'DIF MES'!A$2:E$38,5)*E238)/30),0)</f>
        <v>2275544.9660544898</v>
      </c>
      <c r="G238" s="154">
        <f>VLOOKUP(100*YEAR(A238)+MONTH(A238)-1,IPC!A$14:E$861,2)</f>
        <v>71.349999999999994</v>
      </c>
      <c r="H238" s="151">
        <f t="shared" si="158"/>
        <v>105.29</v>
      </c>
      <c r="I238" s="153">
        <f t="shared" si="149"/>
        <v>3357983.5946163596</v>
      </c>
      <c r="J238" s="153">
        <f t="shared" si="137"/>
        <v>1082438.6285618697</v>
      </c>
      <c r="K238" s="155">
        <f t="shared" si="133"/>
        <v>402958.03135396313</v>
      </c>
      <c r="L238" s="153">
        <f t="shared" si="134"/>
        <v>2955025.5632623965</v>
      </c>
      <c r="M238" s="184"/>
      <c r="N238" s="6"/>
    </row>
    <row r="239" spans="1:14" x14ac:dyDescent="0.35">
      <c r="A239" s="152">
        <f t="shared" si="121"/>
        <v>40087</v>
      </c>
      <c r="B239" s="152">
        <f t="shared" si="122"/>
        <v>40117</v>
      </c>
      <c r="C239" s="435"/>
      <c r="D239" s="149" t="s">
        <v>106</v>
      </c>
      <c r="E239" s="149">
        <f t="shared" si="131"/>
        <v>30</v>
      </c>
      <c r="F239" s="153">
        <f>IF(AND(A239&gt;=$F$1,B239&lt;=$F$2),((VLOOKUP(YEAR(B239),'DIF MES'!A$2:E$38,5)*E239)/30),0)</f>
        <v>2275544.9660544898</v>
      </c>
      <c r="G239" s="154">
        <f>VLOOKUP(100*YEAR(A239)+MONTH(A239)-1,IPC!A$14:E$861,2)</f>
        <v>71.28</v>
      </c>
      <c r="H239" s="151">
        <f t="shared" si="158"/>
        <v>105.29</v>
      </c>
      <c r="I239" s="153">
        <f t="shared" si="149"/>
        <v>3361281.2777199391</v>
      </c>
      <c r="J239" s="153">
        <f t="shared" si="137"/>
        <v>1085736.3116654493</v>
      </c>
      <c r="K239" s="155">
        <f t="shared" si="133"/>
        <v>403353.75332639267</v>
      </c>
      <c r="L239" s="153">
        <f t="shared" si="134"/>
        <v>2957927.5243935464</v>
      </c>
      <c r="M239" s="184"/>
      <c r="N239" s="6"/>
    </row>
    <row r="240" spans="1:14" x14ac:dyDescent="0.35">
      <c r="A240" s="152">
        <f t="shared" si="121"/>
        <v>40118</v>
      </c>
      <c r="B240" s="152">
        <f t="shared" si="122"/>
        <v>40147</v>
      </c>
      <c r="C240" s="435"/>
      <c r="D240" s="149" t="s">
        <v>107</v>
      </c>
      <c r="E240" s="149">
        <f t="shared" si="131"/>
        <v>30</v>
      </c>
      <c r="F240" s="153">
        <f>IF(AND(A240&gt;=$F$1,B240&lt;=$F$2),((VLOOKUP(YEAR(B240),'DIF MES'!A$2:E$38,5)*E240)/30),0)</f>
        <v>2275544.9660544898</v>
      </c>
      <c r="G240" s="154">
        <f>VLOOKUP(100*YEAR(A240)+MONTH(A240)-1,IPC!A$14:E$861,2)</f>
        <v>71.19</v>
      </c>
      <c r="H240" s="151">
        <f t="shared" si="158"/>
        <v>105.29</v>
      </c>
      <c r="I240" s="153">
        <f t="shared" si="149"/>
        <v>3365530.6851506848</v>
      </c>
      <c r="J240" s="153">
        <f t="shared" si="137"/>
        <v>1089985.719096195</v>
      </c>
      <c r="K240" s="155">
        <f t="shared" si="133"/>
        <v>403863.68221808213</v>
      </c>
      <c r="L240" s="153">
        <f t="shared" si="134"/>
        <v>2961667.0029326025</v>
      </c>
      <c r="M240" s="184"/>
      <c r="N240" s="6"/>
    </row>
    <row r="241" spans="1:14" x14ac:dyDescent="0.35">
      <c r="A241" s="156">
        <f t="shared" ref="A241" si="163">A240</f>
        <v>40118</v>
      </c>
      <c r="B241" s="156">
        <f t="shared" ref="B241" si="164">B240</f>
        <v>40147</v>
      </c>
      <c r="C241" s="435"/>
      <c r="D241" s="157" t="s">
        <v>101</v>
      </c>
      <c r="E241" s="157">
        <f t="shared" si="131"/>
        <v>30</v>
      </c>
      <c r="F241" s="153">
        <f>IF(AND(A241&gt;=$F$1,B241&lt;=$F$2),((VLOOKUP(YEAR(B241),'DIF MES'!A$2:E$38,5)*E241)/30),0)</f>
        <v>2275544.9660544898</v>
      </c>
      <c r="G241" s="158">
        <f>VLOOKUP(100*YEAR(A241)+MONTH(A241)-1,IPC!A$14:E$861,2)</f>
        <v>71.19</v>
      </c>
      <c r="H241" s="159">
        <f t="shared" si="158"/>
        <v>105.29</v>
      </c>
      <c r="I241" s="161">
        <f t="shared" si="149"/>
        <v>3365530.6851506848</v>
      </c>
      <c r="J241" s="161">
        <f t="shared" si="137"/>
        <v>1089985.719096195</v>
      </c>
      <c r="K241" s="155">
        <f t="shared" si="133"/>
        <v>0</v>
      </c>
      <c r="L241" s="161">
        <f t="shared" si="134"/>
        <v>3365530.6851506848</v>
      </c>
      <c r="M241" s="184"/>
      <c r="N241" s="6"/>
    </row>
    <row r="242" spans="1:14" x14ac:dyDescent="0.35">
      <c r="A242" s="152">
        <f t="shared" ref="A242" si="165">IF(
AND(YEAR(B240)=YEAR(DATE(YEAR($F$1),MONTH($F$1)-1,1)),
MONTH(B240)=MONTH(DATE(YEAR($F$1),MONTH($F$1)-1,1))),
$F$1,
DATE(YEAR(B240),MONTH(B240)+1,1))</f>
        <v>40148</v>
      </c>
      <c r="B242" s="152">
        <f t="shared" ref="B242" si="166">IF(
AND(
YEAR(B240)=YEAR(DATE(YEAR($F$2),MONTH($F$2)-1,1)),
MONTH(B240)=MONTH(DATE(YEAR($F$2),MONTH($F$2)-1,1))
),
$F$2,
EOMONTH(B240,1)
)</f>
        <v>40178</v>
      </c>
      <c r="C242" s="436"/>
      <c r="D242" s="149" t="s">
        <v>108</v>
      </c>
      <c r="E242" s="149">
        <f t="shared" si="131"/>
        <v>30</v>
      </c>
      <c r="F242" s="153">
        <f>IF(AND(A242&gt;=$F$1,B242&lt;=$F$2),((VLOOKUP(YEAR(B242),'DIF MES'!A$2:E$38,5)*E242)/30),0)</f>
        <v>2275544.9660544898</v>
      </c>
      <c r="G242" s="154">
        <f>VLOOKUP(100*YEAR(A242)+MONTH(A242)-1,IPC!A$14:E$861,2)</f>
        <v>71.14</v>
      </c>
      <c r="H242" s="151">
        <f t="shared" si="158"/>
        <v>105.29</v>
      </c>
      <c r="I242" s="153">
        <f t="shared" si="149"/>
        <v>3367896.1129586347</v>
      </c>
      <c r="J242" s="153">
        <f t="shared" si="137"/>
        <v>1092351.1469041449</v>
      </c>
      <c r="K242" s="155">
        <f t="shared" si="133"/>
        <v>404147.53355503618</v>
      </c>
      <c r="L242" s="153">
        <f t="shared" si="134"/>
        <v>2963748.5794035988</v>
      </c>
      <c r="M242" s="184"/>
      <c r="N242" s="6"/>
    </row>
    <row r="243" spans="1:14" x14ac:dyDescent="0.35">
      <c r="A243" s="152">
        <f t="shared" ref="A243:A303" si="167">IF(
AND(YEAR(B242)=YEAR(DATE(YEAR($F$1),MONTH($F$1)-1,1)),
MONTH(B242)=MONTH(DATE(YEAR($F$1),MONTH($F$1)-1,1))),
$F$1,
DATE(YEAR(B242),MONTH(B242)+1,1))</f>
        <v>40179</v>
      </c>
      <c r="B243" s="152">
        <f t="shared" ref="B243:B303" si="168">IF(
AND(
YEAR(B242)=YEAR(DATE(YEAR($F$2),MONTH($F$2)-1,1)),
MONTH(B242)=MONTH(DATE(YEAR($F$2),MONTH($F$2)-1,1))
),
$F$2,
EOMONTH(B242,1)
)</f>
        <v>40209</v>
      </c>
      <c r="C243" s="434">
        <v>2010</v>
      </c>
      <c r="D243" s="149" t="s">
        <v>96</v>
      </c>
      <c r="E243" s="149">
        <f t="shared" si="131"/>
        <v>30</v>
      </c>
      <c r="F243" s="153">
        <f>IF(AND(A243&gt;=$F$1,B243&lt;=$F$2),((VLOOKUP(YEAR(B243),'DIF MES'!A$2:E$38,5)*E243)/30),0)</f>
        <v>2321055.8653755798</v>
      </c>
      <c r="G243" s="154">
        <f>VLOOKUP(100*YEAR(A243)+MONTH(A243)-1,IPC!A$14:E$861,2)</f>
        <v>71.2</v>
      </c>
      <c r="H243" s="151">
        <f t="shared" si="158"/>
        <v>105.29</v>
      </c>
      <c r="I243" s="153">
        <f t="shared" si="149"/>
        <v>3432359.1582218371</v>
      </c>
      <c r="J243" s="153">
        <f t="shared" si="137"/>
        <v>1111303.2928462573</v>
      </c>
      <c r="K243" s="155">
        <f t="shared" si="133"/>
        <v>411883.09898662043</v>
      </c>
      <c r="L243" s="153">
        <f t="shared" si="134"/>
        <v>3020476.0592352166</v>
      </c>
      <c r="M243" s="184"/>
      <c r="N243" s="6"/>
    </row>
    <row r="244" spans="1:14" x14ac:dyDescent="0.35">
      <c r="A244" s="152">
        <f t="shared" si="167"/>
        <v>40210</v>
      </c>
      <c r="B244" s="152">
        <f t="shared" si="168"/>
        <v>40237</v>
      </c>
      <c r="C244" s="435"/>
      <c r="D244" s="149" t="s">
        <v>97</v>
      </c>
      <c r="E244" s="149">
        <f t="shared" si="131"/>
        <v>30</v>
      </c>
      <c r="F244" s="153">
        <f>IF(AND(A244&gt;=$F$1,B244&lt;=$F$2),((VLOOKUP(YEAR(B244),'DIF MES'!A$2:E$38,5)*E244)/30),0)</f>
        <v>2321055.8653755798</v>
      </c>
      <c r="G244" s="154">
        <f>VLOOKUP(100*YEAR(A244)+MONTH(A244)-1,IPC!A$14:E$861,2)</f>
        <v>71.69</v>
      </c>
      <c r="H244" s="151">
        <f t="shared" si="158"/>
        <v>105.29</v>
      </c>
      <c r="I244" s="153">
        <f t="shared" si="149"/>
        <v>3408899.0384348561</v>
      </c>
      <c r="J244" s="153">
        <f t="shared" si="137"/>
        <v>1087843.1730592763</v>
      </c>
      <c r="K244" s="155">
        <f t="shared" si="133"/>
        <v>409067.88461218274</v>
      </c>
      <c r="L244" s="153">
        <f t="shared" si="134"/>
        <v>2999831.1538226735</v>
      </c>
      <c r="M244" s="184"/>
      <c r="N244" s="6"/>
    </row>
    <row r="245" spans="1:14" x14ac:dyDescent="0.35">
      <c r="A245" s="152">
        <f t="shared" si="167"/>
        <v>40238</v>
      </c>
      <c r="B245" s="152">
        <f t="shared" si="168"/>
        <v>40268</v>
      </c>
      <c r="C245" s="435"/>
      <c r="D245" s="149" t="s">
        <v>98</v>
      </c>
      <c r="E245" s="149">
        <f t="shared" si="131"/>
        <v>30</v>
      </c>
      <c r="F245" s="153">
        <f>IF(AND(A245&gt;=$F$1,B245&lt;=$F$2),((VLOOKUP(YEAR(B245),'DIF MES'!A$2:E$38,5)*E245)/30),0)</f>
        <v>2321055.8653755798</v>
      </c>
      <c r="G245" s="154">
        <f>VLOOKUP(100*YEAR(A245)+MONTH(A245)-1,IPC!A$14:E$861,2)</f>
        <v>72.28</v>
      </c>
      <c r="H245" s="151">
        <f t="shared" si="158"/>
        <v>105.29</v>
      </c>
      <c r="I245" s="153">
        <f t="shared" si="149"/>
        <v>3381073.2161786775</v>
      </c>
      <c r="J245" s="153">
        <f t="shared" si="137"/>
        <v>1060017.3508030977</v>
      </c>
      <c r="K245" s="155">
        <f t="shared" si="133"/>
        <v>405728.78594144131</v>
      </c>
      <c r="L245" s="153">
        <f t="shared" si="134"/>
        <v>2975344.4302372364</v>
      </c>
      <c r="M245" s="184"/>
      <c r="N245" s="6"/>
    </row>
    <row r="246" spans="1:14" x14ac:dyDescent="0.35">
      <c r="A246" s="152">
        <f t="shared" si="167"/>
        <v>40269</v>
      </c>
      <c r="B246" s="152">
        <f t="shared" si="168"/>
        <v>40298</v>
      </c>
      <c r="C246" s="435"/>
      <c r="D246" s="149" t="s">
        <v>99</v>
      </c>
      <c r="E246" s="149">
        <f t="shared" si="131"/>
        <v>30</v>
      </c>
      <c r="F246" s="153">
        <f>IF(AND(A246&gt;=$F$1,B246&lt;=$F$2),((VLOOKUP(YEAR(B246),'DIF MES'!A$2:E$38,5)*E246)/30),0)</f>
        <v>2321055.8653755798</v>
      </c>
      <c r="G246" s="154">
        <f>VLOOKUP(100*YEAR(A246)+MONTH(A246)-1,IPC!A$14:E$861,2)</f>
        <v>72.459999999999994</v>
      </c>
      <c r="H246" s="151">
        <f t="shared" si="158"/>
        <v>105.29</v>
      </c>
      <c r="I246" s="153">
        <f t="shared" si="149"/>
        <v>3372674.1935605137</v>
      </c>
      <c r="J246" s="153">
        <f t="shared" si="137"/>
        <v>1051618.3281849339</v>
      </c>
      <c r="K246" s="155">
        <f t="shared" si="133"/>
        <v>404720.90322726162</v>
      </c>
      <c r="L246" s="153">
        <f t="shared" si="134"/>
        <v>2967953.2903332519</v>
      </c>
      <c r="M246" s="184"/>
      <c r="N246" s="6"/>
    </row>
    <row r="247" spans="1:14" x14ac:dyDescent="0.35">
      <c r="A247" s="152">
        <f t="shared" si="167"/>
        <v>40299</v>
      </c>
      <c r="B247" s="152">
        <f t="shared" si="168"/>
        <v>40329</v>
      </c>
      <c r="C247" s="435"/>
      <c r="D247" s="149" t="s">
        <v>100</v>
      </c>
      <c r="E247" s="149">
        <f t="shared" si="131"/>
        <v>30</v>
      </c>
      <c r="F247" s="153">
        <f>IF(AND(A247&gt;=$F$1,B247&lt;=$F$2),((VLOOKUP(YEAR(B247),'DIF MES'!A$2:E$38,5)*E247)/30),0)</f>
        <v>2321055.8653755798</v>
      </c>
      <c r="G247" s="154">
        <f>VLOOKUP(100*YEAR(A247)+MONTH(A247)-1,IPC!A$14:E$861,2)</f>
        <v>72.790000000000006</v>
      </c>
      <c r="H247" s="151">
        <f t="shared" si="158"/>
        <v>105.29</v>
      </c>
      <c r="I247" s="153">
        <f t="shared" si="149"/>
        <v>3357383.8723093113</v>
      </c>
      <c r="J247" s="153">
        <f t="shared" si="137"/>
        <v>1036328.0069337315</v>
      </c>
      <c r="K247" s="155">
        <f t="shared" si="133"/>
        <v>402886.06467711733</v>
      </c>
      <c r="L247" s="153">
        <f t="shared" si="134"/>
        <v>2954497.8076321939</v>
      </c>
      <c r="M247" s="184"/>
      <c r="N247" s="6"/>
    </row>
    <row r="248" spans="1:14" x14ac:dyDescent="0.35">
      <c r="A248" s="156">
        <f t="shared" ref="A248" si="169">A249</f>
        <v>40330</v>
      </c>
      <c r="B248" s="156">
        <f t="shared" ref="B248" si="170">B249</f>
        <v>40359</v>
      </c>
      <c r="C248" s="435"/>
      <c r="D248" s="157" t="s">
        <v>101</v>
      </c>
      <c r="E248" s="157">
        <f t="shared" si="131"/>
        <v>30</v>
      </c>
      <c r="F248" s="153">
        <f>IF(AND(A248&gt;=$F$1,B248&lt;=$F$2),((VLOOKUP(YEAR(B248),'DIF MES'!A$2:E$38,5)*E248)/30),0)</f>
        <v>2321055.8653755798</v>
      </c>
      <c r="G248" s="158">
        <f>VLOOKUP(100*YEAR(A248)+MONTH(A248)-1,IPC!A$14:E$861,2)</f>
        <v>72.87</v>
      </c>
      <c r="H248" s="159">
        <f t="shared" si="158"/>
        <v>105.29</v>
      </c>
      <c r="I248" s="160">
        <f>F248*(H248/G248)</f>
        <v>3353697.9836063511</v>
      </c>
      <c r="J248" s="161">
        <f>+I248-F248</f>
        <v>1032642.1182307713</v>
      </c>
      <c r="K248" s="162">
        <f>IF(D248="adicional", 0, +I248*0.12)</f>
        <v>0</v>
      </c>
      <c r="L248" s="161">
        <f>+I248-K248</f>
        <v>3353697.9836063511</v>
      </c>
      <c r="M248" s="184"/>
      <c r="N248" s="6"/>
    </row>
    <row r="249" spans="1:14" x14ac:dyDescent="0.35">
      <c r="A249" s="152">
        <f t="shared" ref="A249" si="171">IF(
AND(YEAR(B247)=YEAR(DATE(YEAR($F$1),MONTH($F$1)-1,1)),
MONTH(B247)=MONTH(DATE(YEAR($F$1),MONTH($F$1)-1,1))),
$F$1,
DATE(YEAR(B247),MONTH(B247)+1,1))</f>
        <v>40330</v>
      </c>
      <c r="B249" s="152">
        <f t="shared" ref="B249" si="172">IF(
AND(
YEAR(B247)=YEAR(DATE(YEAR($F$2),MONTH($F$2)-1,1)),
MONTH(B247)=MONTH(DATE(YEAR($F$2),MONTH($F$2)-1,1))
),
$F$2,
EOMONTH(B247,1)
)</f>
        <v>40359</v>
      </c>
      <c r="C249" s="435"/>
      <c r="D249" s="149" t="s">
        <v>102</v>
      </c>
      <c r="E249" s="149">
        <f t="shared" si="131"/>
        <v>30</v>
      </c>
      <c r="F249" s="153">
        <f>IF(AND(A249&gt;=$F$1,B249&lt;=$F$2),((VLOOKUP(YEAR(B249),'DIF MES'!A$2:E$38,5)*E249)/30),0)</f>
        <v>2321055.8653755798</v>
      </c>
      <c r="G249" s="154">
        <f>VLOOKUP(100*YEAR(A249)+MONTH(A249)-1,IPC!A$14:E$861,2)</f>
        <v>72.87</v>
      </c>
      <c r="H249" s="151">
        <f t="shared" si="158"/>
        <v>105.29</v>
      </c>
      <c r="I249" s="153">
        <f>F249*(H249/G249)</f>
        <v>3353697.9836063511</v>
      </c>
      <c r="J249" s="153">
        <f>+I249-F249</f>
        <v>1032642.1182307713</v>
      </c>
      <c r="K249" s="155">
        <f>IF(D249="adicional", 0, +I249*0.12)</f>
        <v>402443.7580327621</v>
      </c>
      <c r="L249" s="153">
        <f>+I249-K249</f>
        <v>2951254.2255735891</v>
      </c>
      <c r="M249" s="184"/>
      <c r="N249" s="6"/>
    </row>
    <row r="250" spans="1:14" x14ac:dyDescent="0.35">
      <c r="A250" s="152">
        <f t="shared" ref="A250:A310" si="173">IF(
AND(YEAR(B249)=YEAR(DATE(YEAR($F$1),MONTH($F$1)-1,1)),
MONTH(B249)=MONTH(DATE(YEAR($F$1),MONTH($F$1)-1,1))),
$F$1,
DATE(YEAR(B249),MONTH(B249)+1,1))</f>
        <v>40360</v>
      </c>
      <c r="B250" s="152">
        <f t="shared" ref="B250:B310" si="174">IF(
AND(
YEAR(B249)=YEAR(DATE(YEAR($F$2),MONTH($F$2)-1,1)),
MONTH(B249)=MONTH(DATE(YEAR($F$2),MONTH($F$2)-1,1))
),
$F$2,
EOMONTH(B249,1)
)</f>
        <v>40390</v>
      </c>
      <c r="C250" s="435"/>
      <c r="D250" s="149" t="s">
        <v>103</v>
      </c>
      <c r="E250" s="149">
        <f t="shared" si="131"/>
        <v>30</v>
      </c>
      <c r="F250" s="153">
        <f>IF(AND(A250&gt;=$F$1,B250&lt;=$F$2),((VLOOKUP(YEAR(B250),'DIF MES'!A$2:E$38,5)*E250)/30),0)</f>
        <v>2321055.8653755798</v>
      </c>
      <c r="G250" s="154">
        <f>VLOOKUP(100*YEAR(A250)+MONTH(A250)-1,IPC!A$14:E$861,2)</f>
        <v>72.95</v>
      </c>
      <c r="H250" s="151">
        <f t="shared" si="158"/>
        <v>105.29</v>
      </c>
      <c r="I250" s="153">
        <f t="shared" si="149"/>
        <v>3350020.179100683</v>
      </c>
      <c r="J250" s="153">
        <f t="shared" si="137"/>
        <v>1028964.3137251032</v>
      </c>
      <c r="K250" s="155">
        <f t="shared" si="133"/>
        <v>402002.42149208195</v>
      </c>
      <c r="L250" s="153">
        <f t="shared" si="134"/>
        <v>2948017.7576086009</v>
      </c>
      <c r="M250" s="184"/>
      <c r="N250" s="6"/>
    </row>
    <row r="251" spans="1:14" x14ac:dyDescent="0.35">
      <c r="A251" s="152">
        <f t="shared" si="173"/>
        <v>40391</v>
      </c>
      <c r="B251" s="152">
        <f t="shared" si="174"/>
        <v>40421</v>
      </c>
      <c r="C251" s="435"/>
      <c r="D251" s="149" t="s">
        <v>104</v>
      </c>
      <c r="E251" s="149">
        <f t="shared" si="131"/>
        <v>30</v>
      </c>
      <c r="F251" s="153">
        <f>IF(AND(A251&gt;=$F$1,B251&lt;=$F$2),((VLOOKUP(YEAR(B251),'DIF MES'!A$2:E$38,5)*E251)/30),0)</f>
        <v>2321055.8653755798</v>
      </c>
      <c r="G251" s="154">
        <f>VLOOKUP(100*YEAR(A251)+MONTH(A251)-1,IPC!A$14:E$861,2)</f>
        <v>72.92</v>
      </c>
      <c r="H251" s="151">
        <f t="shared" si="158"/>
        <v>105.29</v>
      </c>
      <c r="I251" s="153">
        <f t="shared" si="149"/>
        <v>3351398.410112381</v>
      </c>
      <c r="J251" s="153">
        <f t="shared" si="137"/>
        <v>1030342.5447368012</v>
      </c>
      <c r="K251" s="155">
        <f t="shared" si="133"/>
        <v>402167.80921348569</v>
      </c>
      <c r="L251" s="153">
        <f t="shared" si="134"/>
        <v>2949230.6008988954</v>
      </c>
      <c r="M251" s="184"/>
      <c r="N251" s="6"/>
    </row>
    <row r="252" spans="1:14" ht="20" x14ac:dyDescent="0.35">
      <c r="A252" s="152">
        <f t="shared" si="173"/>
        <v>40422</v>
      </c>
      <c r="B252" s="152">
        <f t="shared" si="174"/>
        <v>40451</v>
      </c>
      <c r="C252" s="435"/>
      <c r="D252" s="149" t="s">
        <v>105</v>
      </c>
      <c r="E252" s="149">
        <f t="shared" si="131"/>
        <v>30</v>
      </c>
      <c r="F252" s="153">
        <f>IF(AND(A252&gt;=$F$1,B252&lt;=$F$2),((VLOOKUP(YEAR(B252),'DIF MES'!A$2:E$38,5)*E252)/30),0)</f>
        <v>2321055.8653755798</v>
      </c>
      <c r="G252" s="154">
        <f>VLOOKUP(100*YEAR(A252)+MONTH(A252)-1,IPC!A$14:E$861,2)</f>
        <v>73</v>
      </c>
      <c r="H252" s="151">
        <f t="shared" si="158"/>
        <v>105.29</v>
      </c>
      <c r="I252" s="153">
        <f t="shared" si="149"/>
        <v>3347725.6447314359</v>
      </c>
      <c r="J252" s="153">
        <f t="shared" si="137"/>
        <v>1026669.7793558561</v>
      </c>
      <c r="K252" s="155">
        <f t="shared" si="133"/>
        <v>401727.07736777229</v>
      </c>
      <c r="L252" s="153">
        <f t="shared" si="134"/>
        <v>2945998.5673636636</v>
      </c>
      <c r="M252" s="184"/>
      <c r="N252" s="6"/>
    </row>
    <row r="253" spans="1:14" x14ac:dyDescent="0.35">
      <c r="A253" s="152">
        <f t="shared" si="173"/>
        <v>40452</v>
      </c>
      <c r="B253" s="152">
        <f t="shared" si="174"/>
        <v>40482</v>
      </c>
      <c r="C253" s="435"/>
      <c r="D253" s="149" t="s">
        <v>106</v>
      </c>
      <c r="E253" s="149">
        <f t="shared" si="131"/>
        <v>30</v>
      </c>
      <c r="F253" s="153">
        <f>IF(AND(A253&gt;=$F$1,B253&lt;=$F$2),((VLOOKUP(YEAR(B253),'DIF MES'!A$2:E$38,5)*E253)/30),0)</f>
        <v>2321055.8653755798</v>
      </c>
      <c r="G253" s="154">
        <f>VLOOKUP(100*YEAR(A253)+MONTH(A253)-1,IPC!A$14:E$861,2)</f>
        <v>72.900000000000006</v>
      </c>
      <c r="H253" s="151">
        <f t="shared" si="158"/>
        <v>105.29</v>
      </c>
      <c r="I253" s="153">
        <f t="shared" si="149"/>
        <v>3352317.8609793521</v>
      </c>
      <c r="J253" s="153">
        <f t="shared" si="137"/>
        <v>1031261.9956037723</v>
      </c>
      <c r="K253" s="155">
        <f t="shared" si="133"/>
        <v>402278.14331752225</v>
      </c>
      <c r="L253" s="153">
        <f t="shared" si="134"/>
        <v>2950039.7176618297</v>
      </c>
      <c r="M253" s="184"/>
      <c r="N253" s="6"/>
    </row>
    <row r="254" spans="1:14" x14ac:dyDescent="0.35">
      <c r="A254" s="152">
        <f t="shared" si="173"/>
        <v>40483</v>
      </c>
      <c r="B254" s="152">
        <f t="shared" si="174"/>
        <v>40512</v>
      </c>
      <c r="C254" s="435"/>
      <c r="D254" s="149" t="s">
        <v>107</v>
      </c>
      <c r="E254" s="149">
        <f t="shared" si="131"/>
        <v>30</v>
      </c>
      <c r="F254" s="153">
        <f>IF(AND(A254&gt;=$F$1,B254&lt;=$F$2),((VLOOKUP(YEAR(B254),'DIF MES'!A$2:E$38,5)*E254)/30),0)</f>
        <v>2321055.8653755798</v>
      </c>
      <c r="G254" s="154">
        <f>VLOOKUP(100*YEAR(A254)+MONTH(A254)-1,IPC!A$14:E$861,2)</f>
        <v>72.84</v>
      </c>
      <c r="H254" s="151">
        <f t="shared" si="158"/>
        <v>105.29</v>
      </c>
      <c r="I254" s="153">
        <f t="shared" si="149"/>
        <v>3355079.2430724162</v>
      </c>
      <c r="J254" s="153">
        <f t="shared" si="137"/>
        <v>1034023.3776968364</v>
      </c>
      <c r="K254" s="155">
        <f t="shared" si="133"/>
        <v>402609.50916868995</v>
      </c>
      <c r="L254" s="153">
        <f t="shared" si="134"/>
        <v>2952469.7339037261</v>
      </c>
      <c r="M254" s="184"/>
      <c r="N254" s="6"/>
    </row>
    <row r="255" spans="1:14" x14ac:dyDescent="0.35">
      <c r="A255" s="156">
        <f t="shared" ref="A255" si="175">A254</f>
        <v>40483</v>
      </c>
      <c r="B255" s="156">
        <f t="shared" ref="B255" si="176">B254</f>
        <v>40512</v>
      </c>
      <c r="C255" s="435"/>
      <c r="D255" s="157" t="s">
        <v>101</v>
      </c>
      <c r="E255" s="157">
        <f t="shared" si="131"/>
        <v>30</v>
      </c>
      <c r="F255" s="153">
        <f>IF(AND(A255&gt;=$F$1,B255&lt;=$F$2),((VLOOKUP(YEAR(B255),'DIF MES'!A$2:E$38,5)*E255)/30),0)</f>
        <v>2321055.8653755798</v>
      </c>
      <c r="G255" s="158">
        <f>VLOOKUP(100*YEAR(A255)+MONTH(A255)-1,IPC!A$14:E$861,2)</f>
        <v>72.84</v>
      </c>
      <c r="H255" s="159">
        <f t="shared" si="158"/>
        <v>105.29</v>
      </c>
      <c r="I255" s="161">
        <f t="shared" si="149"/>
        <v>3355079.2430724162</v>
      </c>
      <c r="J255" s="161">
        <f t="shared" si="137"/>
        <v>1034023.3776968364</v>
      </c>
      <c r="K255" s="162">
        <f t="shared" si="133"/>
        <v>0</v>
      </c>
      <c r="L255" s="161">
        <f t="shared" si="134"/>
        <v>3355079.2430724162</v>
      </c>
      <c r="M255" s="184"/>
      <c r="N255" s="6"/>
    </row>
    <row r="256" spans="1:14" x14ac:dyDescent="0.35">
      <c r="A256" s="152">
        <f t="shared" ref="A256" si="177">IF(
AND(YEAR(B254)=YEAR(DATE(YEAR($F$1),MONTH($F$1)-1,1)),
MONTH(B254)=MONTH(DATE(YEAR($F$1),MONTH($F$1)-1,1))),
$F$1,
DATE(YEAR(B254),MONTH(B254)+1,1))</f>
        <v>40513</v>
      </c>
      <c r="B256" s="152">
        <f t="shared" ref="B256" si="178">IF(
AND(
YEAR(B254)=YEAR(DATE(YEAR($F$2),MONTH($F$2)-1,1)),
MONTH(B254)=MONTH(DATE(YEAR($F$2),MONTH($F$2)-1,1))
),
$F$2,
EOMONTH(B254,1)
)</f>
        <v>40543</v>
      </c>
      <c r="C256" s="436"/>
      <c r="D256" s="149" t="s">
        <v>108</v>
      </c>
      <c r="E256" s="149">
        <f t="shared" si="131"/>
        <v>30</v>
      </c>
      <c r="F256" s="153">
        <f>IF(AND(A256&gt;=$F$1,B256&lt;=$F$2),((VLOOKUP(YEAR(B256),'DIF MES'!A$2:E$38,5)*E256)/30),0)</f>
        <v>2321055.8653755798</v>
      </c>
      <c r="G256" s="154">
        <f>VLOOKUP(100*YEAR(A256)+MONTH(A256)-1,IPC!A$14:E$861,2)</f>
        <v>72.98</v>
      </c>
      <c r="H256" s="151">
        <f t="shared" si="158"/>
        <v>105.29</v>
      </c>
      <c r="I256" s="153">
        <f t="shared" si="149"/>
        <v>3348643.0811920362</v>
      </c>
      <c r="J256" s="153">
        <f t="shared" si="137"/>
        <v>1027587.2158164564</v>
      </c>
      <c r="K256" s="155">
        <f t="shared" si="133"/>
        <v>401837.1697430443</v>
      </c>
      <c r="L256" s="153">
        <f t="shared" si="134"/>
        <v>2946805.9114489919</v>
      </c>
      <c r="M256" s="184"/>
      <c r="N256" s="6"/>
    </row>
    <row r="257" spans="1:14" x14ac:dyDescent="0.35">
      <c r="A257" s="152">
        <f t="shared" si="167"/>
        <v>40544</v>
      </c>
      <c r="B257" s="152">
        <f t="shared" si="168"/>
        <v>40574</v>
      </c>
      <c r="C257" s="437">
        <v>2011</v>
      </c>
      <c r="D257" s="149" t="s">
        <v>96</v>
      </c>
      <c r="E257" s="149">
        <f t="shared" si="131"/>
        <v>30</v>
      </c>
      <c r="F257" s="153">
        <f>IF(AND(A257&gt;=$F$1,B257&lt;=$F$2),((VLOOKUP(YEAR(B257),'DIF MES'!A$2:E$38,5)*E257)/30),0)</f>
        <v>2394633.3363079857</v>
      </c>
      <c r="G257" s="154">
        <f>VLOOKUP(100*YEAR(A257)+MONTH(A257)-1,IPC!A$14:E$861,2)</f>
        <v>73.45</v>
      </c>
      <c r="H257" s="151">
        <f t="shared" si="158"/>
        <v>105.29</v>
      </c>
      <c r="I257" s="153">
        <f>F257*(H257/G257)</f>
        <v>3432688.1413188265</v>
      </c>
      <c r="J257" s="153">
        <f t="shared" si="137"/>
        <v>1038054.8050108408</v>
      </c>
      <c r="K257" s="155">
        <f t="shared" si="133"/>
        <v>411922.57695825916</v>
      </c>
      <c r="L257" s="153">
        <f t="shared" si="134"/>
        <v>3020765.5643605674</v>
      </c>
      <c r="M257" s="184"/>
      <c r="N257" s="6"/>
    </row>
    <row r="258" spans="1:14" x14ac:dyDescent="0.35">
      <c r="A258" s="152">
        <f t="shared" si="167"/>
        <v>40575</v>
      </c>
      <c r="B258" s="152">
        <f t="shared" si="168"/>
        <v>40602</v>
      </c>
      <c r="C258" s="438"/>
      <c r="D258" s="149" t="s">
        <v>97</v>
      </c>
      <c r="E258" s="149">
        <f t="shared" si="131"/>
        <v>30</v>
      </c>
      <c r="F258" s="153">
        <f>IF(AND(A258&gt;=$F$1,B258&lt;=$F$2),((VLOOKUP(YEAR(B258),'DIF MES'!A$2:E$38,5)*E258)/30),0)</f>
        <v>2394633.3363079857</v>
      </c>
      <c r="G258" s="154">
        <f>VLOOKUP(100*YEAR(A258)+MONTH(A258)-1,IPC!A$14:E$861,2)</f>
        <v>74.12</v>
      </c>
      <c r="H258" s="151">
        <f t="shared" si="158"/>
        <v>105.29</v>
      </c>
      <c r="I258" s="153">
        <f t="shared" si="149"/>
        <v>3401658.7153247138</v>
      </c>
      <c r="J258" s="153">
        <f>+I258-F258</f>
        <v>1007025.3790167281</v>
      </c>
      <c r="K258" s="155">
        <f t="shared" si="133"/>
        <v>408199.04583896563</v>
      </c>
      <c r="L258" s="153">
        <f t="shared" si="134"/>
        <v>2993459.6694857483</v>
      </c>
      <c r="M258" s="184"/>
      <c r="N258" s="6"/>
    </row>
    <row r="259" spans="1:14" x14ac:dyDescent="0.35">
      <c r="A259" s="152">
        <f t="shared" si="167"/>
        <v>40603</v>
      </c>
      <c r="B259" s="152">
        <f t="shared" si="168"/>
        <v>40633</v>
      </c>
      <c r="C259" s="438"/>
      <c r="D259" s="149" t="s">
        <v>98</v>
      </c>
      <c r="E259" s="149">
        <f t="shared" si="131"/>
        <v>30</v>
      </c>
      <c r="F259" s="153">
        <f>IF(AND(A259&gt;=$F$1,B259&lt;=$F$2),((VLOOKUP(YEAR(B259),'DIF MES'!A$2:E$38,5)*E259)/30),0)</f>
        <v>2394633.3363079857</v>
      </c>
      <c r="G259" s="154">
        <f>VLOOKUP(100*YEAR(A259)+MONTH(A259)-1,IPC!A$14:E$861,2)</f>
        <v>74.569999999999993</v>
      </c>
      <c r="H259" s="151">
        <f t="shared" si="158"/>
        <v>105.29</v>
      </c>
      <c r="I259" s="153">
        <f t="shared" si="149"/>
        <v>3381131.0712064886</v>
      </c>
      <c r="J259" s="153">
        <f t="shared" si="137"/>
        <v>986497.73489850294</v>
      </c>
      <c r="K259" s="155">
        <f t="shared" si="133"/>
        <v>405735.7285447786</v>
      </c>
      <c r="L259" s="153">
        <f t="shared" si="134"/>
        <v>2975395.34266171</v>
      </c>
      <c r="M259" s="184"/>
      <c r="N259" s="6"/>
    </row>
    <row r="260" spans="1:14" x14ac:dyDescent="0.35">
      <c r="A260" s="152">
        <f t="shared" si="167"/>
        <v>40634</v>
      </c>
      <c r="B260" s="152">
        <f t="shared" si="168"/>
        <v>40663</v>
      </c>
      <c r="C260" s="438"/>
      <c r="D260" s="149" t="s">
        <v>99</v>
      </c>
      <c r="E260" s="149">
        <f t="shared" si="131"/>
        <v>30</v>
      </c>
      <c r="F260" s="153">
        <f>IF(AND(A260&gt;=$F$1,B260&lt;=$F$2),((VLOOKUP(YEAR(B260),'DIF MES'!A$2:E$38,5)*E260)/30),0)</f>
        <v>2394633.3363079857</v>
      </c>
      <c r="G260" s="154">
        <f>VLOOKUP(100*YEAR(A260)+MONTH(A260)-1,IPC!A$14:E$861,2)</f>
        <v>74.77</v>
      </c>
      <c r="H260" s="151">
        <f t="shared" si="158"/>
        <v>105.29</v>
      </c>
      <c r="I260" s="153">
        <f t="shared" si="149"/>
        <v>3372086.9864901411</v>
      </c>
      <c r="J260" s="153">
        <f t="shared" si="137"/>
        <v>977453.65018215543</v>
      </c>
      <c r="K260" s="155">
        <f t="shared" si="133"/>
        <v>404650.43837881694</v>
      </c>
      <c r="L260" s="153">
        <f t="shared" si="134"/>
        <v>2967436.5481113242</v>
      </c>
      <c r="M260" s="184"/>
      <c r="N260" s="6"/>
    </row>
    <row r="261" spans="1:14" x14ac:dyDescent="0.35">
      <c r="A261" s="152">
        <f t="shared" si="167"/>
        <v>40664</v>
      </c>
      <c r="B261" s="152">
        <f t="shared" si="168"/>
        <v>40694</v>
      </c>
      <c r="C261" s="438"/>
      <c r="D261" s="149" t="s">
        <v>100</v>
      </c>
      <c r="E261" s="149">
        <f t="shared" ref="E261:E324" si="179">DAYS360(A261,B261+1)</f>
        <v>30</v>
      </c>
      <c r="F261" s="153">
        <f>IF(AND(A261&gt;=$F$1,B261&lt;=$F$2),((VLOOKUP(YEAR(B261),'DIF MES'!A$2:E$38,5)*E261)/30),0)</f>
        <v>2394633.3363079857</v>
      </c>
      <c r="G261" s="154">
        <f>VLOOKUP(100*YEAR(A261)+MONTH(A261)-1,IPC!A$14:E$861,2)</f>
        <v>74.86</v>
      </c>
      <c r="H261" s="151">
        <f t="shared" si="158"/>
        <v>105.29</v>
      </c>
      <c r="I261" s="153">
        <f t="shared" si="149"/>
        <v>3368032.9145053145</v>
      </c>
      <c r="J261" s="153">
        <f t="shared" si="137"/>
        <v>973399.57819732884</v>
      </c>
      <c r="K261" s="155">
        <f t="shared" si="133"/>
        <v>404163.94974063773</v>
      </c>
      <c r="L261" s="153">
        <f t="shared" si="134"/>
        <v>2963868.964764677</v>
      </c>
      <c r="M261" s="184"/>
      <c r="N261" s="6"/>
    </row>
    <row r="262" spans="1:14" x14ac:dyDescent="0.35">
      <c r="A262" s="156">
        <f t="shared" ref="A262" si="180">A263</f>
        <v>40695</v>
      </c>
      <c r="B262" s="156">
        <f t="shared" ref="B262" si="181">B263</f>
        <v>40724</v>
      </c>
      <c r="C262" s="438"/>
      <c r="D262" s="157" t="s">
        <v>101</v>
      </c>
      <c r="E262" s="157">
        <f t="shared" si="179"/>
        <v>30</v>
      </c>
      <c r="F262" s="153">
        <f>IF(AND(A262&gt;=$F$1,B262&lt;=$F$2),((VLOOKUP(YEAR(B262),'DIF MES'!A$2:E$38,5)*E262)/30),0)</f>
        <v>2394633.3363079857</v>
      </c>
      <c r="G262" s="158">
        <f>VLOOKUP(100*YEAR(A262)+MONTH(A262)-1,IPC!A$14:E$861,2)</f>
        <v>75.069999999999993</v>
      </c>
      <c r="H262" s="159">
        <f t="shared" ref="H262:H326" si="182">+$H$4</f>
        <v>105.29</v>
      </c>
      <c r="I262" s="160">
        <f>F262*(H262/G262)</f>
        <v>3358611.2159300367</v>
      </c>
      <c r="J262" s="161">
        <f>+I262-F262</f>
        <v>963977.87962205103</v>
      </c>
      <c r="K262" s="162">
        <f>IF(D262="adicional", 0, +I262*0.12)</f>
        <v>0</v>
      </c>
      <c r="L262" s="161">
        <f>+I262-K262</f>
        <v>3358611.2159300367</v>
      </c>
      <c r="M262" s="184"/>
      <c r="N262" s="6"/>
    </row>
    <row r="263" spans="1:14" x14ac:dyDescent="0.35">
      <c r="A263" s="152">
        <f t="shared" ref="A263" si="183">IF(
AND(YEAR(B261)=YEAR(DATE(YEAR($F$1),MONTH($F$1)-1,1)),
MONTH(B261)=MONTH(DATE(YEAR($F$1),MONTH($F$1)-1,1))),
$F$1,
DATE(YEAR(B261),MONTH(B261)+1,1))</f>
        <v>40695</v>
      </c>
      <c r="B263" s="152">
        <f t="shared" ref="B263" si="184">IF(
AND(
YEAR(B261)=YEAR(DATE(YEAR($F$2),MONTH($F$2)-1,1)),
MONTH(B261)=MONTH(DATE(YEAR($F$2),MONTH($F$2)-1,1))
),
$F$2,
EOMONTH(B261,1)
)</f>
        <v>40724</v>
      </c>
      <c r="C263" s="438"/>
      <c r="D263" s="149" t="s">
        <v>102</v>
      </c>
      <c r="E263" s="149">
        <f t="shared" si="179"/>
        <v>30</v>
      </c>
      <c r="F263" s="153">
        <f>IF(AND(A263&gt;=$F$1,B263&lt;=$F$2),((VLOOKUP(YEAR(B263),'DIF MES'!A$2:E$38,5)*E263)/30),0)</f>
        <v>2394633.3363079857</v>
      </c>
      <c r="G263" s="154">
        <f>VLOOKUP(100*YEAR(A263)+MONTH(A263)-1,IPC!A$14:E$861,2)</f>
        <v>75.069999999999993</v>
      </c>
      <c r="H263" s="151">
        <f t="shared" si="182"/>
        <v>105.29</v>
      </c>
      <c r="I263" s="153">
        <f>F263*(H263/G263)</f>
        <v>3358611.2159300367</v>
      </c>
      <c r="J263" s="153">
        <f>+I263-F263</f>
        <v>963977.87962205103</v>
      </c>
      <c r="K263" s="155">
        <f>IF(D263="adicional", 0, +I263*0.12)</f>
        <v>403033.34591160441</v>
      </c>
      <c r="L263" s="153">
        <f>+I263-K263</f>
        <v>2955577.8700184324</v>
      </c>
      <c r="M263" s="184"/>
      <c r="N263" s="6"/>
    </row>
    <row r="264" spans="1:14" x14ac:dyDescent="0.35">
      <c r="A264" s="152">
        <f t="shared" si="173"/>
        <v>40725</v>
      </c>
      <c r="B264" s="152">
        <f t="shared" si="174"/>
        <v>40755</v>
      </c>
      <c r="C264" s="438"/>
      <c r="D264" s="149" t="s">
        <v>103</v>
      </c>
      <c r="E264" s="149">
        <f t="shared" si="179"/>
        <v>30</v>
      </c>
      <c r="F264" s="153">
        <f>IF(AND(A264&gt;=$F$1,B264&lt;=$F$2),((VLOOKUP(YEAR(B264),'DIF MES'!A$2:E$38,5)*E264)/30),0)</f>
        <v>2394633.3363079857</v>
      </c>
      <c r="G264" s="154">
        <f>VLOOKUP(100*YEAR(A264)+MONTH(A264)-1,IPC!A$14:E$861,2)</f>
        <v>75.31</v>
      </c>
      <c r="H264" s="151">
        <f t="shared" si="182"/>
        <v>105.29</v>
      </c>
      <c r="I264" s="153">
        <f t="shared" si="149"/>
        <v>3347907.9004098768</v>
      </c>
      <c r="J264" s="153">
        <f t="shared" ref="J264:J326" si="185">+I264-F264</f>
        <v>953274.56410189113</v>
      </c>
      <c r="K264" s="155">
        <f t="shared" ref="K264:K325" si="186">IF(D264="adicional", 0, +I264*0.12)</f>
        <v>401748.94804918522</v>
      </c>
      <c r="L264" s="153">
        <f t="shared" ref="L264:L325" si="187">+I264-K264</f>
        <v>2946158.9523606915</v>
      </c>
      <c r="M264" s="184"/>
      <c r="N264" s="6"/>
    </row>
    <row r="265" spans="1:14" x14ac:dyDescent="0.35">
      <c r="A265" s="152">
        <f t="shared" si="173"/>
        <v>40756</v>
      </c>
      <c r="B265" s="152">
        <f t="shared" si="174"/>
        <v>40786</v>
      </c>
      <c r="C265" s="438"/>
      <c r="D265" s="149" t="s">
        <v>104</v>
      </c>
      <c r="E265" s="149">
        <f t="shared" si="179"/>
        <v>30</v>
      </c>
      <c r="F265" s="153">
        <f>IF(AND(A265&gt;=$F$1,B265&lt;=$F$2),((VLOOKUP(YEAR(B265),'DIF MES'!A$2:E$38,5)*E265)/30),0)</f>
        <v>2394633.3363079857</v>
      </c>
      <c r="G265" s="154">
        <f>VLOOKUP(100*YEAR(A265)+MONTH(A265)-1,IPC!A$14:E$861,2)</f>
        <v>75.42</v>
      </c>
      <c r="H265" s="151">
        <f t="shared" si="182"/>
        <v>105.29</v>
      </c>
      <c r="I265" s="153">
        <f t="shared" si="149"/>
        <v>3343024.9798444421</v>
      </c>
      <c r="J265" s="153">
        <f t="shared" si="185"/>
        <v>948391.64353645639</v>
      </c>
      <c r="K265" s="155">
        <f t="shared" si="186"/>
        <v>401162.99758133304</v>
      </c>
      <c r="L265" s="153">
        <f t="shared" si="187"/>
        <v>2941861.9822631092</v>
      </c>
      <c r="M265" s="184"/>
      <c r="N265" s="6"/>
    </row>
    <row r="266" spans="1:14" ht="20" x14ac:dyDescent="0.35">
      <c r="A266" s="152">
        <f t="shared" si="173"/>
        <v>40787</v>
      </c>
      <c r="B266" s="152">
        <f t="shared" si="174"/>
        <v>40816</v>
      </c>
      <c r="C266" s="438"/>
      <c r="D266" s="149" t="s">
        <v>105</v>
      </c>
      <c r="E266" s="149">
        <f t="shared" si="179"/>
        <v>30</v>
      </c>
      <c r="F266" s="153">
        <f>IF(AND(A266&gt;=$F$1,B266&lt;=$F$2),((VLOOKUP(YEAR(B266),'DIF MES'!A$2:E$38,5)*E266)/30),0)</f>
        <v>2394633.3363079857</v>
      </c>
      <c r="G266" s="154">
        <f>VLOOKUP(100*YEAR(A266)+MONTH(A266)-1,IPC!A$14:E$861,2)</f>
        <v>75.39</v>
      </c>
      <c r="H266" s="151">
        <f t="shared" si="182"/>
        <v>105.29</v>
      </c>
      <c r="I266" s="153">
        <f t="shared" si="149"/>
        <v>3344355.2723155301</v>
      </c>
      <c r="J266" s="153">
        <f t="shared" si="185"/>
        <v>949721.9360075444</v>
      </c>
      <c r="K266" s="155">
        <f t="shared" si="186"/>
        <v>401322.63267786358</v>
      </c>
      <c r="L266" s="153">
        <f t="shared" si="187"/>
        <v>2943032.6396376668</v>
      </c>
      <c r="M266" s="184"/>
      <c r="N266" s="6"/>
    </row>
    <row r="267" spans="1:14" x14ac:dyDescent="0.35">
      <c r="A267" s="152">
        <f t="shared" si="173"/>
        <v>40817</v>
      </c>
      <c r="B267" s="152">
        <f t="shared" si="174"/>
        <v>40847</v>
      </c>
      <c r="C267" s="438"/>
      <c r="D267" s="149" t="s">
        <v>106</v>
      </c>
      <c r="E267" s="149">
        <f t="shared" si="179"/>
        <v>30</v>
      </c>
      <c r="F267" s="153">
        <f>IF(AND(A267&gt;=$F$1,B267&lt;=$F$2),((VLOOKUP(YEAR(B267),'DIF MES'!A$2:E$38,5)*E267)/30),0)</f>
        <v>2394633.3363079857</v>
      </c>
      <c r="G267" s="154">
        <f>VLOOKUP(100*YEAR(A267)+MONTH(A267)-1,IPC!A$14:E$861,2)</f>
        <v>75.62</v>
      </c>
      <c r="H267" s="151">
        <f t="shared" si="182"/>
        <v>105.29</v>
      </c>
      <c r="I267" s="153">
        <f t="shared" si="149"/>
        <v>3334183.3374751098</v>
      </c>
      <c r="J267" s="153">
        <f t="shared" si="185"/>
        <v>939550.00116712414</v>
      </c>
      <c r="K267" s="155">
        <f t="shared" si="186"/>
        <v>400102.00049701316</v>
      </c>
      <c r="L267" s="153">
        <f t="shared" si="187"/>
        <v>2934081.3369780965</v>
      </c>
      <c r="M267" s="184"/>
      <c r="N267" s="6"/>
    </row>
    <row r="268" spans="1:14" x14ac:dyDescent="0.35">
      <c r="A268" s="152">
        <f t="shared" si="173"/>
        <v>40848</v>
      </c>
      <c r="B268" s="152">
        <f t="shared" si="174"/>
        <v>40877</v>
      </c>
      <c r="C268" s="438"/>
      <c r="D268" s="149" t="s">
        <v>107</v>
      </c>
      <c r="E268" s="149">
        <f t="shared" si="179"/>
        <v>30</v>
      </c>
      <c r="F268" s="153">
        <f>IF(AND(A268&gt;=$F$1,B268&lt;=$F$2),((VLOOKUP(YEAR(B268),'DIF MES'!A$2:E$38,5)*E268)/30),0)</f>
        <v>2394633.3363079857</v>
      </c>
      <c r="G268" s="154">
        <f>VLOOKUP(100*YEAR(A268)+MONTH(A268)-1,IPC!A$14:E$861,2)</f>
        <v>75.77</v>
      </c>
      <c r="H268" s="151">
        <f t="shared" si="182"/>
        <v>105.29</v>
      </c>
      <c r="I268" s="153">
        <f t="shared" si="149"/>
        <v>3327582.7369653932</v>
      </c>
      <c r="J268" s="153">
        <f t="shared" si="185"/>
        <v>932949.40065740747</v>
      </c>
      <c r="K268" s="155">
        <f t="shared" si="186"/>
        <v>399309.92843584716</v>
      </c>
      <c r="L268" s="153">
        <f t="shared" si="187"/>
        <v>2928272.808529546</v>
      </c>
      <c r="M268" s="184"/>
      <c r="N268" s="6"/>
    </row>
    <row r="269" spans="1:14" x14ac:dyDescent="0.35">
      <c r="A269" s="156">
        <f t="shared" ref="A269" si="188">A268</f>
        <v>40848</v>
      </c>
      <c r="B269" s="156">
        <f t="shared" ref="B269" si="189">B268</f>
        <v>40877</v>
      </c>
      <c r="C269" s="438"/>
      <c r="D269" s="157" t="s">
        <v>101</v>
      </c>
      <c r="E269" s="157">
        <f t="shared" si="179"/>
        <v>30</v>
      </c>
      <c r="F269" s="153">
        <f>IF(AND(A269&gt;=$F$1,B269&lt;=$F$2),((VLOOKUP(YEAR(B269),'DIF MES'!A$2:E$38,5)*E269)/30),0)</f>
        <v>2394633.3363079857</v>
      </c>
      <c r="G269" s="158">
        <f>VLOOKUP(100*YEAR(A269)+MONTH(A269)-1,IPC!A$14:E$861,2)</f>
        <v>75.77</v>
      </c>
      <c r="H269" s="159">
        <f t="shared" si="182"/>
        <v>105.29</v>
      </c>
      <c r="I269" s="161">
        <f t="shared" si="149"/>
        <v>3327582.7369653932</v>
      </c>
      <c r="J269" s="161">
        <f t="shared" si="185"/>
        <v>932949.40065740747</v>
      </c>
      <c r="K269" s="162">
        <f t="shared" si="186"/>
        <v>0</v>
      </c>
      <c r="L269" s="161">
        <f t="shared" si="187"/>
        <v>3327582.7369653932</v>
      </c>
      <c r="M269" s="184"/>
      <c r="N269" s="6"/>
    </row>
    <row r="270" spans="1:14" x14ac:dyDescent="0.35">
      <c r="A270" s="152">
        <f t="shared" ref="A270" si="190">IF(
AND(YEAR(B268)=YEAR(DATE(YEAR($F$1),MONTH($F$1)-1,1)),
MONTH(B268)=MONTH(DATE(YEAR($F$1),MONTH($F$1)-1,1))),
$F$1,
DATE(YEAR(B268),MONTH(B268)+1,1))</f>
        <v>40878</v>
      </c>
      <c r="B270" s="152">
        <f t="shared" ref="B270" si="191">IF(
AND(
YEAR(B268)=YEAR(DATE(YEAR($F$2),MONTH($F$2)-1,1)),
MONTH(B268)=MONTH(DATE(YEAR($F$2),MONTH($F$2)-1,1))
),
$F$2,
EOMONTH(B268,1)
)</f>
        <v>40908</v>
      </c>
      <c r="C270" s="439"/>
      <c r="D270" s="149" t="s">
        <v>108</v>
      </c>
      <c r="E270" s="149">
        <f t="shared" si="179"/>
        <v>30</v>
      </c>
      <c r="F270" s="153">
        <f>IF(AND(A270&gt;=$F$1,B270&lt;=$F$2),((VLOOKUP(YEAR(B270),'DIF MES'!A$2:E$38,5)*E270)/30),0)</f>
        <v>2394633.3363079857</v>
      </c>
      <c r="G270" s="154">
        <f>VLOOKUP(100*YEAR(A270)+MONTH(A270)-1,IPC!A$14:E$861,2)</f>
        <v>75.87</v>
      </c>
      <c r="H270" s="151">
        <f t="shared" si="182"/>
        <v>105.29</v>
      </c>
      <c r="I270" s="153">
        <f t="shared" si="149"/>
        <v>3323196.8364289948</v>
      </c>
      <c r="J270" s="153">
        <f t="shared" si="185"/>
        <v>928563.50012100907</v>
      </c>
      <c r="K270" s="155">
        <f t="shared" si="186"/>
        <v>398783.62037147937</v>
      </c>
      <c r="L270" s="153">
        <f t="shared" si="187"/>
        <v>2924413.2160575152</v>
      </c>
      <c r="M270" s="184"/>
      <c r="N270" s="6"/>
    </row>
    <row r="271" spans="1:14" x14ac:dyDescent="0.35">
      <c r="A271" s="152">
        <f t="shared" si="167"/>
        <v>40909</v>
      </c>
      <c r="B271" s="152">
        <f t="shared" si="168"/>
        <v>40939</v>
      </c>
      <c r="C271" s="437">
        <v>2012</v>
      </c>
      <c r="D271" s="149" t="s">
        <v>96</v>
      </c>
      <c r="E271" s="149">
        <f t="shared" si="179"/>
        <v>30</v>
      </c>
      <c r="F271" s="153">
        <f>IF(AND(A271&gt;=$F$1,B271&lt;=$F$2),((VLOOKUP(YEAR(B271),'DIF MES'!A$2:E$38,5)*E271)/30),0)</f>
        <v>2483953.1597522739</v>
      </c>
      <c r="G271" s="154">
        <f>VLOOKUP(100*YEAR(A271)+MONTH(A271)-1,IPC!A$14:E$861,2)</f>
        <v>76.19</v>
      </c>
      <c r="H271" s="151">
        <f t="shared" si="182"/>
        <v>105.29</v>
      </c>
      <c r="I271" s="153">
        <f t="shared" si="149"/>
        <v>3432673.9492100924</v>
      </c>
      <c r="J271" s="153">
        <f t="shared" si="185"/>
        <v>948720.78945781849</v>
      </c>
      <c r="K271" s="155">
        <f t="shared" si="186"/>
        <v>411920.87390521105</v>
      </c>
      <c r="L271" s="153">
        <f t="shared" si="187"/>
        <v>3020753.0753048812</v>
      </c>
      <c r="M271" s="184"/>
      <c r="N271" s="6"/>
    </row>
    <row r="272" spans="1:14" x14ac:dyDescent="0.35">
      <c r="A272" s="152">
        <f t="shared" si="167"/>
        <v>40940</v>
      </c>
      <c r="B272" s="152">
        <f t="shared" si="168"/>
        <v>40968</v>
      </c>
      <c r="C272" s="438"/>
      <c r="D272" s="149" t="s">
        <v>97</v>
      </c>
      <c r="E272" s="149">
        <f t="shared" si="179"/>
        <v>30</v>
      </c>
      <c r="F272" s="153">
        <f>IF(AND(A272&gt;=$F$1,B272&lt;=$F$2),((VLOOKUP(YEAR(B272),'DIF MES'!A$2:E$38,5)*E272)/30),0)</f>
        <v>2483953.1597522739</v>
      </c>
      <c r="G272" s="154">
        <f>VLOOKUP(100*YEAR(A272)+MONTH(A272)-1,IPC!A$14:E$861,2)</f>
        <v>76.75</v>
      </c>
      <c r="H272" s="151">
        <f t="shared" si="182"/>
        <v>105.29</v>
      </c>
      <c r="I272" s="153">
        <f t="shared" si="149"/>
        <v>3407627.7288640644</v>
      </c>
      <c r="J272" s="153">
        <f t="shared" si="185"/>
        <v>923674.56911179051</v>
      </c>
      <c r="K272" s="155">
        <f t="shared" si="186"/>
        <v>408915.32746368775</v>
      </c>
      <c r="L272" s="153">
        <f t="shared" si="187"/>
        <v>2998712.4014003766</v>
      </c>
      <c r="M272" s="184"/>
      <c r="N272" s="6"/>
    </row>
    <row r="273" spans="1:14" x14ac:dyDescent="0.35">
      <c r="A273" s="152">
        <f t="shared" si="167"/>
        <v>40969</v>
      </c>
      <c r="B273" s="152">
        <f t="shared" si="168"/>
        <v>40999</v>
      </c>
      <c r="C273" s="438"/>
      <c r="D273" s="149" t="s">
        <v>98</v>
      </c>
      <c r="E273" s="149">
        <f t="shared" si="179"/>
        <v>30</v>
      </c>
      <c r="F273" s="153">
        <f>IF(AND(A273&gt;=$F$1,B273&lt;=$F$2),((VLOOKUP(YEAR(B273),'DIF MES'!A$2:E$38,5)*E273)/30),0)</f>
        <v>2483953.1597522739</v>
      </c>
      <c r="G273" s="154">
        <f>VLOOKUP(100*YEAR(A273)+MONTH(A273)-1,IPC!A$14:E$861,2)</f>
        <v>77.22</v>
      </c>
      <c r="H273" s="151">
        <f t="shared" si="182"/>
        <v>105.29</v>
      </c>
      <c r="I273" s="153">
        <f t="shared" si="149"/>
        <v>3386887.1819517864</v>
      </c>
      <c r="J273" s="153">
        <f t="shared" si="185"/>
        <v>902934.02219951246</v>
      </c>
      <c r="K273" s="155">
        <f t="shared" si="186"/>
        <v>406426.46183421434</v>
      </c>
      <c r="L273" s="153">
        <f t="shared" si="187"/>
        <v>2980460.7201175722</v>
      </c>
      <c r="M273" s="184"/>
      <c r="N273" s="6"/>
    </row>
    <row r="274" spans="1:14" x14ac:dyDescent="0.35">
      <c r="A274" s="152">
        <f t="shared" si="167"/>
        <v>41000</v>
      </c>
      <c r="B274" s="152">
        <f t="shared" si="168"/>
        <v>41029</v>
      </c>
      <c r="C274" s="438"/>
      <c r="D274" s="149" t="s">
        <v>99</v>
      </c>
      <c r="E274" s="149">
        <f t="shared" si="179"/>
        <v>30</v>
      </c>
      <c r="F274" s="153">
        <f>IF(AND(A274&gt;=$F$1,B274&lt;=$F$2),((VLOOKUP(YEAR(B274),'DIF MES'!A$2:E$38,5)*E274)/30),0)</f>
        <v>2483953.1597522739</v>
      </c>
      <c r="G274" s="154">
        <f>VLOOKUP(100*YEAR(A274)+MONTH(A274)-1,IPC!A$14:E$861,2)</f>
        <v>77.31</v>
      </c>
      <c r="H274" s="151">
        <f t="shared" si="182"/>
        <v>105.29</v>
      </c>
      <c r="I274" s="153">
        <f t="shared" si="149"/>
        <v>3382944.3563616215</v>
      </c>
      <c r="J274" s="153">
        <f t="shared" si="185"/>
        <v>898991.19660934759</v>
      </c>
      <c r="K274" s="155">
        <f t="shared" si="186"/>
        <v>405953.32276339456</v>
      </c>
      <c r="L274" s="153">
        <f t="shared" si="187"/>
        <v>2976991.033598227</v>
      </c>
      <c r="M274" s="184"/>
      <c r="N274" s="6"/>
    </row>
    <row r="275" spans="1:14" x14ac:dyDescent="0.35">
      <c r="A275" s="152">
        <f t="shared" si="167"/>
        <v>41030</v>
      </c>
      <c r="B275" s="152">
        <f t="shared" si="168"/>
        <v>41060</v>
      </c>
      <c r="C275" s="438"/>
      <c r="D275" s="149" t="s">
        <v>100</v>
      </c>
      <c r="E275" s="149">
        <f t="shared" si="179"/>
        <v>30</v>
      </c>
      <c r="F275" s="153">
        <f>IF(AND(A275&gt;=$F$1,B275&lt;=$F$2),((VLOOKUP(YEAR(B275),'DIF MES'!A$2:E$38,5)*E275)/30),0)</f>
        <v>2483953.1597522739</v>
      </c>
      <c r="G275" s="154">
        <f>VLOOKUP(100*YEAR(A275)+MONTH(A275)-1,IPC!A$14:E$861,2)</f>
        <v>77.42</v>
      </c>
      <c r="H275" s="151">
        <f t="shared" si="182"/>
        <v>105.29</v>
      </c>
      <c r="I275" s="153">
        <f t="shared" si="149"/>
        <v>3378137.7963099582</v>
      </c>
      <c r="J275" s="153">
        <f t="shared" si="185"/>
        <v>894184.63655768428</v>
      </c>
      <c r="K275" s="155">
        <f t="shared" si="186"/>
        <v>405376.53555719496</v>
      </c>
      <c r="L275" s="153">
        <f t="shared" si="187"/>
        <v>2972761.2607527631</v>
      </c>
      <c r="M275" s="184"/>
      <c r="N275" s="6"/>
    </row>
    <row r="276" spans="1:14" x14ac:dyDescent="0.35">
      <c r="A276" s="156">
        <f t="shared" ref="A276" si="192">A277</f>
        <v>41061</v>
      </c>
      <c r="B276" s="156">
        <f t="shared" ref="B276" si="193">B277</f>
        <v>41090</v>
      </c>
      <c r="C276" s="438"/>
      <c r="D276" s="157" t="s">
        <v>101</v>
      </c>
      <c r="E276" s="157">
        <f t="shared" si="179"/>
        <v>30</v>
      </c>
      <c r="F276" s="153">
        <f>IF(AND(A276&gt;=$F$1,B276&lt;=$F$2),((VLOOKUP(YEAR(B276),'DIF MES'!A$2:E$38,5)*E276)/30),0)</f>
        <v>2483953.1597522739</v>
      </c>
      <c r="G276" s="158">
        <f>VLOOKUP(100*YEAR(A276)+MONTH(A276)-1,IPC!A$14:E$861,2)</f>
        <v>77.66</v>
      </c>
      <c r="H276" s="159">
        <f t="shared" si="182"/>
        <v>105.29</v>
      </c>
      <c r="I276" s="160">
        <f>F276*(H276/G276)</f>
        <v>3367698.01944781</v>
      </c>
      <c r="J276" s="161">
        <f>+I276-F276</f>
        <v>883744.85969553608</v>
      </c>
      <c r="K276" s="162">
        <f>IF(D276="adicional", 0, +I276*0.12)</f>
        <v>0</v>
      </c>
      <c r="L276" s="161">
        <f>+I276-K276</f>
        <v>3367698.01944781</v>
      </c>
      <c r="M276" s="184"/>
      <c r="N276" s="6"/>
    </row>
    <row r="277" spans="1:14" x14ac:dyDescent="0.35">
      <c r="A277" s="152">
        <f t="shared" ref="A277" si="194">IF(
AND(YEAR(B275)=YEAR(DATE(YEAR($F$1),MONTH($F$1)-1,1)),
MONTH(B275)=MONTH(DATE(YEAR($F$1),MONTH($F$1)-1,1))),
$F$1,
DATE(YEAR(B275),MONTH(B275)+1,1))</f>
        <v>41061</v>
      </c>
      <c r="B277" s="152">
        <f t="shared" ref="B277" si="195">IF(
AND(
YEAR(B275)=YEAR(DATE(YEAR($F$2),MONTH($F$2)-1,1)),
MONTH(B275)=MONTH(DATE(YEAR($F$2),MONTH($F$2)-1,1))
),
$F$2,
EOMONTH(B275,1)
)</f>
        <v>41090</v>
      </c>
      <c r="C277" s="438"/>
      <c r="D277" s="149" t="s">
        <v>102</v>
      </c>
      <c r="E277" s="149">
        <f t="shared" si="179"/>
        <v>30</v>
      </c>
      <c r="F277" s="153">
        <f>IF(AND(A277&gt;=$F$1,B277&lt;=$F$2),((VLOOKUP(YEAR(B277),'DIF MES'!A$2:E$38,5)*E277)/30),0)</f>
        <v>2483953.1597522739</v>
      </c>
      <c r="G277" s="154">
        <f>VLOOKUP(100*YEAR(A277)+MONTH(A277)-1,IPC!A$14:E$861,2)</f>
        <v>77.66</v>
      </c>
      <c r="H277" s="151">
        <f t="shared" si="182"/>
        <v>105.29</v>
      </c>
      <c r="I277" s="153">
        <f>F277*(H277/G277)</f>
        <v>3367698.01944781</v>
      </c>
      <c r="J277" s="153">
        <f>+I277-F277</f>
        <v>883744.85969553608</v>
      </c>
      <c r="K277" s="155">
        <f>IF(D277="adicional", 0, +I277*0.12)</f>
        <v>404123.76233373716</v>
      </c>
      <c r="L277" s="153">
        <f>+I277-K277</f>
        <v>2963574.2571140728</v>
      </c>
      <c r="M277" s="184"/>
      <c r="N277" s="6"/>
    </row>
    <row r="278" spans="1:14" x14ac:dyDescent="0.35">
      <c r="A278" s="152">
        <f t="shared" si="173"/>
        <v>41091</v>
      </c>
      <c r="B278" s="152">
        <f t="shared" si="174"/>
        <v>41121</v>
      </c>
      <c r="C278" s="438"/>
      <c r="D278" s="149" t="s">
        <v>103</v>
      </c>
      <c r="E278" s="149">
        <f t="shared" si="179"/>
        <v>30</v>
      </c>
      <c r="F278" s="153">
        <f>IF(AND(A278&gt;=$F$1,B278&lt;=$F$2),((VLOOKUP(YEAR(B278),'DIF MES'!A$2:E$38,5)*E278)/30),0)</f>
        <v>2483953.1597522739</v>
      </c>
      <c r="G278" s="154">
        <f>VLOOKUP(100*YEAR(A278)+MONTH(A278)-1,IPC!A$14:E$861,2)</f>
        <v>77.72</v>
      </c>
      <c r="H278" s="151">
        <f t="shared" si="182"/>
        <v>105.29</v>
      </c>
      <c r="I278" s="153">
        <f t="shared" si="149"/>
        <v>3365098.14964381</v>
      </c>
      <c r="J278" s="153">
        <f t="shared" si="185"/>
        <v>881144.98989153607</v>
      </c>
      <c r="K278" s="155">
        <f t="shared" si="186"/>
        <v>403811.77795725717</v>
      </c>
      <c r="L278" s="153">
        <f t="shared" si="187"/>
        <v>2961286.3716865527</v>
      </c>
      <c r="M278" s="184"/>
      <c r="N278" s="6"/>
    </row>
    <row r="279" spans="1:14" x14ac:dyDescent="0.35">
      <c r="A279" s="152">
        <f t="shared" si="173"/>
        <v>41122</v>
      </c>
      <c r="B279" s="152">
        <f t="shared" si="174"/>
        <v>41152</v>
      </c>
      <c r="C279" s="438"/>
      <c r="D279" s="149" t="s">
        <v>104</v>
      </c>
      <c r="E279" s="149">
        <f t="shared" si="179"/>
        <v>30</v>
      </c>
      <c r="F279" s="153">
        <f>IF(AND(A279&gt;=$F$1,B279&lt;=$F$2),((VLOOKUP(YEAR(B279),'DIF MES'!A$2:E$38,5)*E279)/30),0)</f>
        <v>2483953.1597522739</v>
      </c>
      <c r="G279" s="154">
        <f>VLOOKUP(100*YEAR(A279)+MONTH(A279)-1,IPC!A$14:E$861,2)</f>
        <v>77.7</v>
      </c>
      <c r="H279" s="151">
        <f t="shared" si="182"/>
        <v>105.29</v>
      </c>
      <c r="I279" s="153">
        <f t="shared" si="149"/>
        <v>3365964.3267737059</v>
      </c>
      <c r="J279" s="153">
        <f t="shared" si="185"/>
        <v>882011.16702143196</v>
      </c>
      <c r="K279" s="155">
        <f t="shared" si="186"/>
        <v>403915.71921284468</v>
      </c>
      <c r="L279" s="153">
        <f t="shared" si="187"/>
        <v>2962048.6075608614</v>
      </c>
      <c r="M279" s="184"/>
      <c r="N279" s="6"/>
    </row>
    <row r="280" spans="1:14" ht="20" x14ac:dyDescent="0.35">
      <c r="A280" s="152">
        <f t="shared" si="173"/>
        <v>41153</v>
      </c>
      <c r="B280" s="152">
        <f t="shared" si="174"/>
        <v>41182</v>
      </c>
      <c r="C280" s="438"/>
      <c r="D280" s="149" t="s">
        <v>105</v>
      </c>
      <c r="E280" s="149">
        <f t="shared" si="179"/>
        <v>30</v>
      </c>
      <c r="F280" s="153">
        <f>IF(AND(A280&gt;=$F$1,B280&lt;=$F$2),((VLOOKUP(YEAR(B280),'DIF MES'!A$2:E$38,5)*E280)/30),0)</f>
        <v>2483953.1597522739</v>
      </c>
      <c r="G280" s="154">
        <f>VLOOKUP(100*YEAR(A280)+MONTH(A280)-1,IPC!A$14:E$861,2)</f>
        <v>77.73</v>
      </c>
      <c r="H280" s="151">
        <f t="shared" si="182"/>
        <v>105.29</v>
      </c>
      <c r="I280" s="153">
        <f t="shared" si="149"/>
        <v>3364665.228229987</v>
      </c>
      <c r="J280" s="153">
        <f t="shared" si="185"/>
        <v>880712.06847771304</v>
      </c>
      <c r="K280" s="155">
        <f t="shared" si="186"/>
        <v>403759.8273875984</v>
      </c>
      <c r="L280" s="153">
        <f t="shared" si="187"/>
        <v>2960905.4008423886</v>
      </c>
      <c r="M280" s="184"/>
      <c r="N280" s="6"/>
    </row>
    <row r="281" spans="1:14" x14ac:dyDescent="0.35">
      <c r="A281" s="152">
        <f t="shared" si="173"/>
        <v>41183</v>
      </c>
      <c r="B281" s="152">
        <f t="shared" si="174"/>
        <v>41213</v>
      </c>
      <c r="C281" s="438"/>
      <c r="D281" s="149" t="s">
        <v>106</v>
      </c>
      <c r="E281" s="149">
        <f t="shared" si="179"/>
        <v>30</v>
      </c>
      <c r="F281" s="153">
        <f>IF(AND(A281&gt;=$F$1,B281&lt;=$F$2),((VLOOKUP(YEAR(B281),'DIF MES'!A$2:E$38,5)*E281)/30),0)</f>
        <v>2483953.1597522739</v>
      </c>
      <c r="G281" s="154">
        <f>VLOOKUP(100*YEAR(A281)+MONTH(A281)-1,IPC!A$14:E$861,2)</f>
        <v>77.959999999999994</v>
      </c>
      <c r="H281" s="151">
        <f t="shared" si="182"/>
        <v>105.29</v>
      </c>
      <c r="I281" s="153">
        <f t="shared" si="149"/>
        <v>3354738.6889471137</v>
      </c>
      <c r="J281" s="153">
        <f t="shared" si="185"/>
        <v>870785.52919483976</v>
      </c>
      <c r="K281" s="155">
        <f t="shared" si="186"/>
        <v>402568.64267365361</v>
      </c>
      <c r="L281" s="153">
        <f t="shared" si="187"/>
        <v>2952170.0462734601</v>
      </c>
      <c r="M281" s="184"/>
      <c r="N281" s="6"/>
    </row>
    <row r="282" spans="1:14" x14ac:dyDescent="0.35">
      <c r="A282" s="152">
        <f t="shared" si="173"/>
        <v>41214</v>
      </c>
      <c r="B282" s="152">
        <f t="shared" si="174"/>
        <v>41243</v>
      </c>
      <c r="C282" s="438"/>
      <c r="D282" s="149" t="s">
        <v>107</v>
      </c>
      <c r="E282" s="149">
        <f t="shared" si="179"/>
        <v>30</v>
      </c>
      <c r="F282" s="153">
        <f>IF(AND(A282&gt;=$F$1,B282&lt;=$F$2),((VLOOKUP(YEAR(B282),'DIF MES'!A$2:E$38,5)*E282)/30),0)</f>
        <v>2483953.1597522739</v>
      </c>
      <c r="G282" s="154">
        <f>VLOOKUP(100*YEAR(A282)+MONTH(A282)-1,IPC!A$14:E$861,2)</f>
        <v>78.08</v>
      </c>
      <c r="H282" s="151">
        <f t="shared" si="182"/>
        <v>105.29</v>
      </c>
      <c r="I282" s="153">
        <f t="shared" ref="I282:I345" si="196">F282*(H282/G282)</f>
        <v>3349582.840552215</v>
      </c>
      <c r="J282" s="153">
        <f t="shared" si="185"/>
        <v>865629.68079994107</v>
      </c>
      <c r="K282" s="155">
        <f t="shared" si="186"/>
        <v>401949.9408662658</v>
      </c>
      <c r="L282" s="153">
        <f t="shared" si="187"/>
        <v>2947632.8996859491</v>
      </c>
      <c r="M282" s="184"/>
      <c r="N282" s="6"/>
    </row>
    <row r="283" spans="1:14" x14ac:dyDescent="0.35">
      <c r="A283" s="156">
        <f t="shared" ref="A283" si="197">A282</f>
        <v>41214</v>
      </c>
      <c r="B283" s="156">
        <f t="shared" ref="B283" si="198">B282</f>
        <v>41243</v>
      </c>
      <c r="C283" s="438"/>
      <c r="D283" s="157" t="s">
        <v>101</v>
      </c>
      <c r="E283" s="157">
        <f t="shared" si="179"/>
        <v>30</v>
      </c>
      <c r="F283" s="153">
        <f>IF(AND(A283&gt;=$F$1,B283&lt;=$F$2),((VLOOKUP(YEAR(B283),'DIF MES'!A$2:E$38,5)*E283)/30),0)</f>
        <v>2483953.1597522739</v>
      </c>
      <c r="G283" s="158">
        <f>VLOOKUP(100*YEAR(A283)+MONTH(A283)-1,IPC!A$14:E$861,2)</f>
        <v>78.08</v>
      </c>
      <c r="H283" s="159">
        <f t="shared" si="182"/>
        <v>105.29</v>
      </c>
      <c r="I283" s="161">
        <f t="shared" si="196"/>
        <v>3349582.840552215</v>
      </c>
      <c r="J283" s="161">
        <f t="shared" si="185"/>
        <v>865629.68079994107</v>
      </c>
      <c r="K283" s="162">
        <f t="shared" si="186"/>
        <v>0</v>
      </c>
      <c r="L283" s="161">
        <f t="shared" si="187"/>
        <v>3349582.840552215</v>
      </c>
      <c r="M283" s="184"/>
      <c r="N283" s="6"/>
    </row>
    <row r="284" spans="1:14" x14ac:dyDescent="0.35">
      <c r="A284" s="152">
        <f t="shared" ref="A284" si="199">IF(
AND(YEAR(B282)=YEAR(DATE(YEAR($F$1),MONTH($F$1)-1,1)),
MONTH(B282)=MONTH(DATE(YEAR($F$1),MONTH($F$1)-1,1))),
$F$1,
DATE(YEAR(B282),MONTH(B282)+1,1))</f>
        <v>41244</v>
      </c>
      <c r="B284" s="152">
        <f t="shared" ref="B284" si="200">IF(
AND(
YEAR(B282)=YEAR(DATE(YEAR($F$2),MONTH($F$2)-1,1)),
MONTH(B282)=MONTH(DATE(YEAR($F$2),MONTH($F$2)-1,1))
),
$F$2,
EOMONTH(B282,1)
)</f>
        <v>41274</v>
      </c>
      <c r="C284" s="439"/>
      <c r="D284" s="149" t="s">
        <v>108</v>
      </c>
      <c r="E284" s="149">
        <f t="shared" si="179"/>
        <v>30</v>
      </c>
      <c r="F284" s="153">
        <f>IF(AND(A284&gt;=$F$1,B284&lt;=$F$2),((VLOOKUP(YEAR(B284),'DIF MES'!A$2:E$38,5)*E284)/30),0)</f>
        <v>2483953.1597522739</v>
      </c>
      <c r="G284" s="154">
        <f>VLOOKUP(100*YEAR(A284)+MONTH(A284)-1,IPC!A$14:E$861,2)</f>
        <v>77.98</v>
      </c>
      <c r="H284" s="151">
        <f t="shared" si="182"/>
        <v>105.29</v>
      </c>
      <c r="I284" s="153">
        <f t="shared" si="196"/>
        <v>3353878.2789217355</v>
      </c>
      <c r="J284" s="153">
        <f t="shared" si="185"/>
        <v>869925.11916946154</v>
      </c>
      <c r="K284" s="155">
        <f t="shared" si="186"/>
        <v>402465.39347060822</v>
      </c>
      <c r="L284" s="153">
        <f t="shared" si="187"/>
        <v>2951412.8854511273</v>
      </c>
      <c r="M284" s="184"/>
      <c r="N284" s="6"/>
    </row>
    <row r="285" spans="1:14" x14ac:dyDescent="0.35">
      <c r="A285" s="152">
        <f t="shared" si="167"/>
        <v>41275</v>
      </c>
      <c r="B285" s="152">
        <f t="shared" si="168"/>
        <v>41305</v>
      </c>
      <c r="C285" s="437">
        <v>2013</v>
      </c>
      <c r="D285" s="149" t="s">
        <v>96</v>
      </c>
      <c r="E285" s="149">
        <f t="shared" si="179"/>
        <v>30</v>
      </c>
      <c r="F285" s="153">
        <f>IF(AND(A285&gt;=$F$1,B285&lt;=$F$2),((VLOOKUP(YEAR(B285),'DIF MES'!A$2:E$38,5)*E285)/30),0)</f>
        <v>2544561.6168502294</v>
      </c>
      <c r="G285" s="154">
        <f>VLOOKUP(100*YEAR(A285)+MONTH(A285)-1,IPC!A$14:E$861,2)</f>
        <v>78.05</v>
      </c>
      <c r="H285" s="151">
        <f t="shared" si="182"/>
        <v>105.29</v>
      </c>
      <c r="I285" s="153">
        <f t="shared" si="196"/>
        <v>3432631.5520584332</v>
      </c>
      <c r="J285" s="153">
        <f t="shared" si="185"/>
        <v>888069.93520820374</v>
      </c>
      <c r="K285" s="155">
        <f t="shared" si="186"/>
        <v>411915.78624701197</v>
      </c>
      <c r="L285" s="153">
        <f t="shared" si="187"/>
        <v>3020715.765811421</v>
      </c>
      <c r="M285" s="184"/>
      <c r="N285" s="6"/>
    </row>
    <row r="286" spans="1:14" x14ac:dyDescent="0.35">
      <c r="A286" s="152">
        <f t="shared" si="167"/>
        <v>41306</v>
      </c>
      <c r="B286" s="152">
        <f t="shared" si="168"/>
        <v>41333</v>
      </c>
      <c r="C286" s="438"/>
      <c r="D286" s="149" t="s">
        <v>97</v>
      </c>
      <c r="E286" s="149">
        <f t="shared" si="179"/>
        <v>30</v>
      </c>
      <c r="F286" s="153">
        <f>IF(AND(A286&gt;=$F$1,B286&lt;=$F$2),((VLOOKUP(YEAR(B286),'DIF MES'!A$2:E$38,5)*E286)/30),0)</f>
        <v>2544561.6168502294</v>
      </c>
      <c r="G286" s="154">
        <f>VLOOKUP(100*YEAR(A286)+MONTH(A286)-1,IPC!A$14:E$861,2)</f>
        <v>78.28</v>
      </c>
      <c r="H286" s="151">
        <f t="shared" si="182"/>
        <v>105.29</v>
      </c>
      <c r="I286" s="153">
        <f t="shared" si="196"/>
        <v>3422545.8947133454</v>
      </c>
      <c r="J286" s="153">
        <f t="shared" si="185"/>
        <v>877984.277863116</v>
      </c>
      <c r="K286" s="155">
        <f t="shared" si="186"/>
        <v>410705.50736560143</v>
      </c>
      <c r="L286" s="153">
        <f t="shared" si="187"/>
        <v>3011840.3873477438</v>
      </c>
      <c r="M286" s="184"/>
      <c r="N286" s="6"/>
    </row>
    <row r="287" spans="1:14" x14ac:dyDescent="0.35">
      <c r="A287" s="152">
        <f t="shared" si="167"/>
        <v>41334</v>
      </c>
      <c r="B287" s="152">
        <f t="shared" si="168"/>
        <v>41364</v>
      </c>
      <c r="C287" s="438"/>
      <c r="D287" s="149" t="s">
        <v>98</v>
      </c>
      <c r="E287" s="149">
        <f t="shared" si="179"/>
        <v>30</v>
      </c>
      <c r="F287" s="153">
        <f>IF(AND(A287&gt;=$F$1,B287&lt;=$F$2),((VLOOKUP(YEAR(B287),'DIF MES'!A$2:E$38,5)*E287)/30),0)</f>
        <v>2544561.6168502294</v>
      </c>
      <c r="G287" s="154">
        <f>VLOOKUP(100*YEAR(A287)+MONTH(A287)-1,IPC!A$14:E$861,2)</f>
        <v>78.63</v>
      </c>
      <c r="H287" s="151">
        <f t="shared" si="182"/>
        <v>105.29</v>
      </c>
      <c r="I287" s="153">
        <f t="shared" si="196"/>
        <v>3407311.365104422</v>
      </c>
      <c r="J287" s="153">
        <f t="shared" si="185"/>
        <v>862749.74825419253</v>
      </c>
      <c r="K287" s="155">
        <f t="shared" si="186"/>
        <v>408877.36381253065</v>
      </c>
      <c r="L287" s="153">
        <f t="shared" si="187"/>
        <v>2998434.0012918916</v>
      </c>
      <c r="M287" s="184"/>
      <c r="N287" s="6"/>
    </row>
    <row r="288" spans="1:14" x14ac:dyDescent="0.35">
      <c r="A288" s="152">
        <f t="shared" si="167"/>
        <v>41365</v>
      </c>
      <c r="B288" s="152">
        <f t="shared" si="168"/>
        <v>41394</v>
      </c>
      <c r="C288" s="438"/>
      <c r="D288" s="149" t="s">
        <v>99</v>
      </c>
      <c r="E288" s="149">
        <f t="shared" si="179"/>
        <v>30</v>
      </c>
      <c r="F288" s="153">
        <f>IF(AND(A288&gt;=$F$1,B288&lt;=$F$2),((VLOOKUP(YEAR(B288),'DIF MES'!A$2:E$38,5)*E288)/30),0)</f>
        <v>2544561.6168502294</v>
      </c>
      <c r="G288" s="154">
        <f>VLOOKUP(100*YEAR(A288)+MONTH(A288)-1,IPC!A$14:E$861,2)</f>
        <v>78.790000000000006</v>
      </c>
      <c r="H288" s="151">
        <f t="shared" si="182"/>
        <v>105.29</v>
      </c>
      <c r="I288" s="153">
        <f t="shared" si="196"/>
        <v>3400392.0883127381</v>
      </c>
      <c r="J288" s="153">
        <f t="shared" si="185"/>
        <v>855830.47146250866</v>
      </c>
      <c r="K288" s="155">
        <f t="shared" si="186"/>
        <v>408047.05059752858</v>
      </c>
      <c r="L288" s="153">
        <f t="shared" si="187"/>
        <v>2992345.0377152096</v>
      </c>
      <c r="M288" s="184"/>
      <c r="N288" s="6"/>
    </row>
    <row r="289" spans="1:14" x14ac:dyDescent="0.35">
      <c r="A289" s="152">
        <f t="shared" si="167"/>
        <v>41395</v>
      </c>
      <c r="B289" s="152">
        <f t="shared" si="168"/>
        <v>41425</v>
      </c>
      <c r="C289" s="438"/>
      <c r="D289" s="149" t="s">
        <v>100</v>
      </c>
      <c r="E289" s="149">
        <f t="shared" si="179"/>
        <v>30</v>
      </c>
      <c r="F289" s="153">
        <f>IF(AND(A289&gt;=$F$1,B289&lt;=$F$2),((VLOOKUP(YEAR(B289),'DIF MES'!A$2:E$38,5)*E289)/30),0)</f>
        <v>2544561.6168502294</v>
      </c>
      <c r="G289" s="154">
        <f>VLOOKUP(100*YEAR(A289)+MONTH(A289)-1,IPC!A$14:E$861,2)</f>
        <v>78.989999999999995</v>
      </c>
      <c r="H289" s="151">
        <f t="shared" si="182"/>
        <v>105.29</v>
      </c>
      <c r="I289" s="153">
        <f t="shared" si="196"/>
        <v>3391782.410914808</v>
      </c>
      <c r="J289" s="153">
        <f t="shared" si="185"/>
        <v>847220.7940645786</v>
      </c>
      <c r="K289" s="155">
        <f t="shared" si="186"/>
        <v>407013.88930977695</v>
      </c>
      <c r="L289" s="153">
        <f t="shared" si="187"/>
        <v>2984768.5216050311</v>
      </c>
      <c r="M289" s="184"/>
      <c r="N289" s="6"/>
    </row>
    <row r="290" spans="1:14" x14ac:dyDescent="0.35">
      <c r="A290" s="156">
        <f t="shared" ref="A290" si="201">A291</f>
        <v>41426</v>
      </c>
      <c r="B290" s="156">
        <f t="shared" ref="B290" si="202">B291</f>
        <v>41455</v>
      </c>
      <c r="C290" s="438"/>
      <c r="D290" s="157" t="s">
        <v>101</v>
      </c>
      <c r="E290" s="157">
        <f t="shared" si="179"/>
        <v>30</v>
      </c>
      <c r="F290" s="153">
        <f>IF(AND(A290&gt;=$F$1,B290&lt;=$F$2),((VLOOKUP(YEAR(B290),'DIF MES'!A$2:E$38,5)*E290)/30),0)</f>
        <v>2544561.6168502294</v>
      </c>
      <c r="G290" s="158">
        <f>VLOOKUP(100*YEAR(A290)+MONTH(A290)-1,IPC!A$14:E$861,2)</f>
        <v>79.209999999999994</v>
      </c>
      <c r="H290" s="159">
        <f t="shared" si="182"/>
        <v>105.29</v>
      </c>
      <c r="I290" s="160">
        <f>F290*(H290/G290)</f>
        <v>3382361.9825547365</v>
      </c>
      <c r="J290" s="161">
        <f>+I290-F290</f>
        <v>837800.3657045071</v>
      </c>
      <c r="K290" s="162">
        <f>IF(D290="adicional", 0, +I290*0.12)</f>
        <v>0</v>
      </c>
      <c r="L290" s="161">
        <f>+I290-K290</f>
        <v>3382361.9825547365</v>
      </c>
      <c r="M290" s="184"/>
      <c r="N290" s="6"/>
    </row>
    <row r="291" spans="1:14" x14ac:dyDescent="0.35">
      <c r="A291" s="152">
        <f t="shared" ref="A291" si="203">IF(
AND(YEAR(B289)=YEAR(DATE(YEAR($F$1),MONTH($F$1)-1,1)),
MONTH(B289)=MONTH(DATE(YEAR($F$1),MONTH($F$1)-1,1))),
$F$1,
DATE(YEAR(B289),MONTH(B289)+1,1))</f>
        <v>41426</v>
      </c>
      <c r="B291" s="152">
        <f t="shared" ref="B291" si="204">IF(
AND(
YEAR(B289)=YEAR(DATE(YEAR($F$2),MONTH($F$2)-1,1)),
MONTH(B289)=MONTH(DATE(YEAR($F$2),MONTH($F$2)-1,1))
),
$F$2,
EOMONTH(B289,1)
)</f>
        <v>41455</v>
      </c>
      <c r="C291" s="438"/>
      <c r="D291" s="149" t="s">
        <v>102</v>
      </c>
      <c r="E291" s="149">
        <f t="shared" si="179"/>
        <v>30</v>
      </c>
      <c r="F291" s="153">
        <f>IF(AND(A291&gt;=$F$1,B291&lt;=$F$2),((VLOOKUP(YEAR(B291),'DIF MES'!A$2:E$38,5)*E291)/30),0)</f>
        <v>2544561.6168502294</v>
      </c>
      <c r="G291" s="154">
        <f>VLOOKUP(100*YEAR(A291)+MONTH(A291)-1,IPC!A$14:E$861,2)</f>
        <v>79.209999999999994</v>
      </c>
      <c r="H291" s="151">
        <f t="shared" si="182"/>
        <v>105.29</v>
      </c>
      <c r="I291" s="153">
        <f>F291*(H291/G291)</f>
        <v>3382361.9825547365</v>
      </c>
      <c r="J291" s="153">
        <f>+I291-F291</f>
        <v>837800.3657045071</v>
      </c>
      <c r="K291" s="155">
        <f>IF(D291="adicional", 0, +I291*0.12)</f>
        <v>405883.43790656835</v>
      </c>
      <c r="L291" s="153">
        <f>+I291-K291</f>
        <v>2976478.5446481681</v>
      </c>
      <c r="M291" s="184"/>
      <c r="N291" s="6"/>
    </row>
    <row r="292" spans="1:14" x14ac:dyDescent="0.35">
      <c r="A292" s="152">
        <f t="shared" si="173"/>
        <v>41456</v>
      </c>
      <c r="B292" s="152">
        <f t="shared" si="174"/>
        <v>41486</v>
      </c>
      <c r="C292" s="438"/>
      <c r="D292" s="149" t="s">
        <v>103</v>
      </c>
      <c r="E292" s="149">
        <f t="shared" si="179"/>
        <v>30</v>
      </c>
      <c r="F292" s="153">
        <f>IF(AND(A292&gt;=$F$1,B292&lt;=$F$2),((VLOOKUP(YEAR(B292),'DIF MES'!A$2:E$38,5)*E292)/30),0)</f>
        <v>2544561.6168502294</v>
      </c>
      <c r="G292" s="154">
        <f>VLOOKUP(100*YEAR(A292)+MONTH(A292)-1,IPC!A$14:E$861,2)</f>
        <v>79.39</v>
      </c>
      <c r="H292" s="151">
        <f t="shared" si="182"/>
        <v>105.29</v>
      </c>
      <c r="I292" s="153">
        <f t="shared" si="196"/>
        <v>3374693.1935780412</v>
      </c>
      <c r="J292" s="153">
        <f t="shared" si="185"/>
        <v>830131.57672781171</v>
      </c>
      <c r="K292" s="155">
        <f t="shared" si="186"/>
        <v>404963.18322936492</v>
      </c>
      <c r="L292" s="153">
        <f t="shared" si="187"/>
        <v>2969730.0103486762</v>
      </c>
      <c r="M292" s="184"/>
      <c r="N292" s="6"/>
    </row>
    <row r="293" spans="1:14" x14ac:dyDescent="0.35">
      <c r="A293" s="152">
        <f t="shared" si="173"/>
        <v>41487</v>
      </c>
      <c r="B293" s="152">
        <f t="shared" si="174"/>
        <v>41517</v>
      </c>
      <c r="C293" s="438"/>
      <c r="D293" s="149" t="s">
        <v>104</v>
      </c>
      <c r="E293" s="149">
        <f t="shared" si="179"/>
        <v>30</v>
      </c>
      <c r="F293" s="153">
        <f>IF(AND(A293&gt;=$F$1,B293&lt;=$F$2),((VLOOKUP(YEAR(B293),'DIF MES'!A$2:E$38,5)*E293)/30),0)</f>
        <v>2544561.6168502294</v>
      </c>
      <c r="G293" s="154">
        <f>VLOOKUP(100*YEAR(A293)+MONTH(A293)-1,IPC!A$14:E$861,2)</f>
        <v>79.430000000000007</v>
      </c>
      <c r="H293" s="151">
        <f t="shared" si="182"/>
        <v>105.29</v>
      </c>
      <c r="I293" s="153">
        <f t="shared" si="196"/>
        <v>3372993.7383628432</v>
      </c>
      <c r="J293" s="153">
        <f t="shared" si="185"/>
        <v>828432.12151261372</v>
      </c>
      <c r="K293" s="155">
        <f t="shared" si="186"/>
        <v>404759.24860354117</v>
      </c>
      <c r="L293" s="153">
        <f t="shared" si="187"/>
        <v>2968234.4897593018</v>
      </c>
      <c r="M293" s="184"/>
      <c r="N293" s="6"/>
    </row>
    <row r="294" spans="1:14" ht="20" x14ac:dyDescent="0.35">
      <c r="A294" s="152">
        <f t="shared" si="173"/>
        <v>41518</v>
      </c>
      <c r="B294" s="152">
        <f t="shared" si="174"/>
        <v>41547</v>
      </c>
      <c r="C294" s="438"/>
      <c r="D294" s="149" t="s">
        <v>105</v>
      </c>
      <c r="E294" s="149">
        <f t="shared" si="179"/>
        <v>30</v>
      </c>
      <c r="F294" s="153">
        <f>IF(AND(A294&gt;=$F$1,B294&lt;=$F$2),((VLOOKUP(YEAR(B294),'DIF MES'!A$2:E$38,5)*E294)/30),0)</f>
        <v>2544561.6168502294</v>
      </c>
      <c r="G294" s="154">
        <f>VLOOKUP(100*YEAR(A294)+MONTH(A294)-1,IPC!A$14:E$861,2)</f>
        <v>79.5</v>
      </c>
      <c r="H294" s="151">
        <f t="shared" si="182"/>
        <v>105.29</v>
      </c>
      <c r="I294" s="153">
        <f t="shared" si="196"/>
        <v>3370023.806769317</v>
      </c>
      <c r="J294" s="153">
        <f t="shared" si="185"/>
        <v>825462.18991908757</v>
      </c>
      <c r="K294" s="155">
        <f t="shared" si="186"/>
        <v>404402.85681231803</v>
      </c>
      <c r="L294" s="153">
        <f t="shared" si="187"/>
        <v>2965620.9499569992</v>
      </c>
      <c r="M294" s="184"/>
      <c r="N294" s="6"/>
    </row>
    <row r="295" spans="1:14" x14ac:dyDescent="0.35">
      <c r="A295" s="152">
        <f t="shared" si="173"/>
        <v>41548</v>
      </c>
      <c r="B295" s="152">
        <f t="shared" si="174"/>
        <v>41578</v>
      </c>
      <c r="C295" s="438"/>
      <c r="D295" s="149" t="s">
        <v>106</v>
      </c>
      <c r="E295" s="149">
        <f t="shared" si="179"/>
        <v>30</v>
      </c>
      <c r="F295" s="153">
        <f>IF(AND(A295&gt;=$F$1,B295&lt;=$F$2),((VLOOKUP(YEAR(B295),'DIF MES'!A$2:E$38,5)*E295)/30),0)</f>
        <v>2544561.6168502294</v>
      </c>
      <c r="G295" s="154">
        <f>VLOOKUP(100*YEAR(A295)+MONTH(A295)-1,IPC!A$14:E$861,2)</f>
        <v>79.73</v>
      </c>
      <c r="H295" s="151">
        <f t="shared" si="182"/>
        <v>105.29</v>
      </c>
      <c r="I295" s="153">
        <f t="shared" si="196"/>
        <v>3360302.1778271748</v>
      </c>
      <c r="J295" s="153">
        <f t="shared" si="185"/>
        <v>815740.56097694533</v>
      </c>
      <c r="K295" s="155">
        <f t="shared" si="186"/>
        <v>403236.26133926096</v>
      </c>
      <c r="L295" s="153">
        <f t="shared" si="187"/>
        <v>2957065.9164879136</v>
      </c>
      <c r="M295" s="184"/>
      <c r="N295" s="6"/>
    </row>
    <row r="296" spans="1:14" x14ac:dyDescent="0.35">
      <c r="A296" s="152">
        <f t="shared" si="173"/>
        <v>41579</v>
      </c>
      <c r="B296" s="152">
        <f t="shared" si="174"/>
        <v>41608</v>
      </c>
      <c r="C296" s="438"/>
      <c r="D296" s="149" t="s">
        <v>107</v>
      </c>
      <c r="E296" s="149">
        <f t="shared" si="179"/>
        <v>30</v>
      </c>
      <c r="F296" s="153">
        <f>IF(AND(A296&gt;=$F$1,B296&lt;=$F$2),((VLOOKUP(YEAR(B296),'DIF MES'!A$2:E$38,5)*E296)/30),0)</f>
        <v>2544561.6168502294</v>
      </c>
      <c r="G296" s="154">
        <f>VLOOKUP(100*YEAR(A296)+MONTH(A296)-1,IPC!A$14:E$861,2)</f>
        <v>79.52</v>
      </c>
      <c r="H296" s="151">
        <f t="shared" si="182"/>
        <v>105.29</v>
      </c>
      <c r="I296" s="153">
        <f t="shared" si="196"/>
        <v>3369176.2152686203</v>
      </c>
      <c r="J296" s="153">
        <f t="shared" si="185"/>
        <v>824614.59841839084</v>
      </c>
      <c r="K296" s="155">
        <f t="shared" si="186"/>
        <v>404301.14583223441</v>
      </c>
      <c r="L296" s="153">
        <f t="shared" si="187"/>
        <v>2964875.0694363858</v>
      </c>
      <c r="M296" s="184"/>
      <c r="N296" s="6"/>
    </row>
    <row r="297" spans="1:14" x14ac:dyDescent="0.35">
      <c r="A297" s="156">
        <f t="shared" ref="A297" si="205">A296</f>
        <v>41579</v>
      </c>
      <c r="B297" s="156">
        <f t="shared" ref="B297" si="206">B296</f>
        <v>41608</v>
      </c>
      <c r="C297" s="438"/>
      <c r="D297" s="157" t="s">
        <v>101</v>
      </c>
      <c r="E297" s="157">
        <f t="shared" si="179"/>
        <v>30</v>
      </c>
      <c r="F297" s="153">
        <f>IF(AND(A297&gt;=$F$1,B297&lt;=$F$2),((VLOOKUP(YEAR(B297),'DIF MES'!A$2:E$38,5)*E297)/30),0)</f>
        <v>2544561.6168502294</v>
      </c>
      <c r="G297" s="158">
        <f>VLOOKUP(100*YEAR(A297)+MONTH(A297)-1,IPC!A$14:E$861,2)</f>
        <v>79.52</v>
      </c>
      <c r="H297" s="159">
        <f t="shared" si="182"/>
        <v>105.29</v>
      </c>
      <c r="I297" s="161">
        <f t="shared" si="196"/>
        <v>3369176.2152686203</v>
      </c>
      <c r="J297" s="161">
        <f t="shared" si="185"/>
        <v>824614.59841839084</v>
      </c>
      <c r="K297" s="162">
        <f t="shared" si="186"/>
        <v>0</v>
      </c>
      <c r="L297" s="161">
        <f t="shared" si="187"/>
        <v>3369176.2152686203</v>
      </c>
      <c r="M297" s="184"/>
      <c r="N297" s="6"/>
    </row>
    <row r="298" spans="1:14" x14ac:dyDescent="0.35">
      <c r="A298" s="152">
        <f t="shared" ref="A298" si="207">IF(
AND(YEAR(B296)=YEAR(DATE(YEAR($F$1),MONTH($F$1)-1,1)),
MONTH(B296)=MONTH(DATE(YEAR($F$1),MONTH($F$1)-1,1))),
$F$1,
DATE(YEAR(B296),MONTH(B296)+1,1))</f>
        <v>41609</v>
      </c>
      <c r="B298" s="152">
        <f t="shared" ref="B298" si="208">IF(
AND(
YEAR(B296)=YEAR(DATE(YEAR($F$2),MONTH($F$2)-1,1)),
MONTH(B296)=MONTH(DATE(YEAR($F$2),MONTH($F$2)-1,1))
),
$F$2,
EOMONTH(B296,1)
)</f>
        <v>41639</v>
      </c>
      <c r="C298" s="439"/>
      <c r="D298" s="149" t="s">
        <v>108</v>
      </c>
      <c r="E298" s="149">
        <f t="shared" si="179"/>
        <v>30</v>
      </c>
      <c r="F298" s="153">
        <f>IF(AND(A298&gt;=$F$1,B298&lt;=$F$2),((VLOOKUP(YEAR(B298),'DIF MES'!A$2:E$38,5)*E298)/30),0)</f>
        <v>2544561.6168502294</v>
      </c>
      <c r="G298" s="154">
        <f>VLOOKUP(100*YEAR(A298)+MONTH(A298)-1,IPC!A$14:E$861,2)</f>
        <v>79.349999999999994</v>
      </c>
      <c r="H298" s="151">
        <f t="shared" si="182"/>
        <v>105.29</v>
      </c>
      <c r="I298" s="153">
        <f t="shared" si="196"/>
        <v>3376394.3621696369</v>
      </c>
      <c r="J298" s="153">
        <f t="shared" si="185"/>
        <v>831832.74531940743</v>
      </c>
      <c r="K298" s="155">
        <f t="shared" si="186"/>
        <v>405167.32346035639</v>
      </c>
      <c r="L298" s="153">
        <f t="shared" si="187"/>
        <v>2971227.0387092805</v>
      </c>
      <c r="M298" s="184"/>
      <c r="N298" s="6"/>
    </row>
    <row r="299" spans="1:14" x14ac:dyDescent="0.35">
      <c r="A299" s="152">
        <f t="shared" si="167"/>
        <v>41640</v>
      </c>
      <c r="B299" s="152">
        <f t="shared" si="168"/>
        <v>41670</v>
      </c>
      <c r="C299" s="437">
        <v>2014</v>
      </c>
      <c r="D299" s="149" t="s">
        <v>96</v>
      </c>
      <c r="E299" s="149">
        <f t="shared" si="179"/>
        <v>30</v>
      </c>
      <c r="F299" s="153">
        <f>IF(AND(A299&gt;=$F$1,B299&lt;=$F$2),((VLOOKUP(YEAR(B299),'DIF MES'!A$2:E$38,5)*E299)/30),0)</f>
        <v>2593926.1122171241</v>
      </c>
      <c r="G299" s="154">
        <f>VLOOKUP(100*YEAR(A299)+MONTH(A299)-1,IPC!A$14:E$861,2)</f>
        <v>79.56</v>
      </c>
      <c r="H299" s="151">
        <f t="shared" si="182"/>
        <v>105.29</v>
      </c>
      <c r="I299" s="153">
        <f t="shared" si="196"/>
        <v>3432811.4675130844</v>
      </c>
      <c r="J299" s="153">
        <f t="shared" si="185"/>
        <v>838885.35529596033</v>
      </c>
      <c r="K299" s="155">
        <f t="shared" si="186"/>
        <v>411937.37610157009</v>
      </c>
      <c r="L299" s="153">
        <f t="shared" si="187"/>
        <v>3020874.0914115142</v>
      </c>
      <c r="M299" s="184"/>
      <c r="N299" s="6"/>
    </row>
    <row r="300" spans="1:14" x14ac:dyDescent="0.35">
      <c r="A300" s="152">
        <f t="shared" si="167"/>
        <v>41671</v>
      </c>
      <c r="B300" s="152">
        <f t="shared" si="168"/>
        <v>41698</v>
      </c>
      <c r="C300" s="438"/>
      <c r="D300" s="149" t="s">
        <v>97</v>
      </c>
      <c r="E300" s="149">
        <f t="shared" si="179"/>
        <v>30</v>
      </c>
      <c r="F300" s="153">
        <f>IF(AND(A300&gt;=$F$1,B300&lt;=$F$2),((VLOOKUP(YEAR(B300),'DIF MES'!A$2:E$38,5)*E300)/30),0)</f>
        <v>2593926.1122171241</v>
      </c>
      <c r="G300" s="154">
        <f>VLOOKUP(100*YEAR(A300)+MONTH(A300)-1,IPC!A$14:E$861,2)</f>
        <v>79.95</v>
      </c>
      <c r="H300" s="151">
        <f t="shared" si="182"/>
        <v>105.29</v>
      </c>
      <c r="I300" s="153">
        <f t="shared" si="196"/>
        <v>3416066.0457203379</v>
      </c>
      <c r="J300" s="153">
        <f t="shared" si="185"/>
        <v>822139.9335032138</v>
      </c>
      <c r="K300" s="155">
        <f t="shared" si="186"/>
        <v>409927.92548644054</v>
      </c>
      <c r="L300" s="153">
        <f t="shared" si="187"/>
        <v>3006138.1202338971</v>
      </c>
      <c r="M300" s="184"/>
      <c r="N300" s="6"/>
    </row>
    <row r="301" spans="1:14" x14ac:dyDescent="0.35">
      <c r="A301" s="152">
        <f t="shared" si="167"/>
        <v>41699</v>
      </c>
      <c r="B301" s="152">
        <f t="shared" si="168"/>
        <v>41729</v>
      </c>
      <c r="C301" s="438"/>
      <c r="D301" s="149" t="s">
        <v>98</v>
      </c>
      <c r="E301" s="149">
        <f t="shared" si="179"/>
        <v>30</v>
      </c>
      <c r="F301" s="153">
        <f>IF(AND(A301&gt;=$F$1,B301&lt;=$F$2),((VLOOKUP(YEAR(B301),'DIF MES'!A$2:E$38,5)*E301)/30),0)</f>
        <v>2593926.1122171241</v>
      </c>
      <c r="G301" s="154">
        <f>VLOOKUP(100*YEAR(A301)+MONTH(A301)-1,IPC!A$14:E$861,2)</f>
        <v>80.45</v>
      </c>
      <c r="H301" s="151">
        <f t="shared" si="182"/>
        <v>105.29</v>
      </c>
      <c r="I301" s="153">
        <f t="shared" si="196"/>
        <v>3394835.0572447604</v>
      </c>
      <c r="J301" s="153">
        <f t="shared" si="185"/>
        <v>800908.94502763636</v>
      </c>
      <c r="K301" s="155">
        <f t="shared" si="186"/>
        <v>407380.20686937124</v>
      </c>
      <c r="L301" s="153">
        <f t="shared" si="187"/>
        <v>2987454.8503753892</v>
      </c>
      <c r="M301" s="184"/>
      <c r="N301" s="6"/>
    </row>
    <row r="302" spans="1:14" x14ac:dyDescent="0.35">
      <c r="A302" s="152">
        <f t="shared" si="167"/>
        <v>41730</v>
      </c>
      <c r="B302" s="152">
        <f t="shared" si="168"/>
        <v>41759</v>
      </c>
      <c r="C302" s="438"/>
      <c r="D302" s="149" t="s">
        <v>99</v>
      </c>
      <c r="E302" s="149">
        <f t="shared" si="179"/>
        <v>30</v>
      </c>
      <c r="F302" s="153">
        <f>IF(AND(A302&gt;=$F$1,B302&lt;=$F$2),((VLOOKUP(YEAR(B302),'DIF MES'!A$2:E$38,5)*E302)/30),0)</f>
        <v>2593926.1122171241</v>
      </c>
      <c r="G302" s="154">
        <f>VLOOKUP(100*YEAR(A302)+MONTH(A302)-1,IPC!A$14:E$861,2)</f>
        <v>80.77</v>
      </c>
      <c r="H302" s="151">
        <f t="shared" si="182"/>
        <v>105.29</v>
      </c>
      <c r="I302" s="153">
        <f t="shared" si="196"/>
        <v>3381385.1721597253</v>
      </c>
      <c r="J302" s="153">
        <f t="shared" si="185"/>
        <v>787459.05994260125</v>
      </c>
      <c r="K302" s="155">
        <f t="shared" si="186"/>
        <v>405766.22065916704</v>
      </c>
      <c r="L302" s="153">
        <f t="shared" si="187"/>
        <v>2975618.9515005583</v>
      </c>
      <c r="M302" s="184"/>
      <c r="N302" s="6"/>
    </row>
    <row r="303" spans="1:14" x14ac:dyDescent="0.35">
      <c r="A303" s="152">
        <f t="shared" si="167"/>
        <v>41760</v>
      </c>
      <c r="B303" s="152">
        <f t="shared" si="168"/>
        <v>41790</v>
      </c>
      <c r="C303" s="438"/>
      <c r="D303" s="149" t="s">
        <v>100</v>
      </c>
      <c r="E303" s="149">
        <f t="shared" si="179"/>
        <v>30</v>
      </c>
      <c r="F303" s="153">
        <f>IF(AND(A303&gt;=$F$1,B303&lt;=$F$2),((VLOOKUP(YEAR(B303),'DIF MES'!A$2:E$38,5)*E303)/30),0)</f>
        <v>2593926.1122171241</v>
      </c>
      <c r="G303" s="154">
        <f>VLOOKUP(100*YEAR(A303)+MONTH(A303)-1,IPC!A$14:E$861,2)</f>
        <v>81.14</v>
      </c>
      <c r="H303" s="151">
        <f t="shared" si="182"/>
        <v>105.29</v>
      </c>
      <c r="I303" s="153">
        <f t="shared" si="196"/>
        <v>3365965.9890971286</v>
      </c>
      <c r="J303" s="153">
        <f t="shared" si="185"/>
        <v>772039.87688000454</v>
      </c>
      <c r="K303" s="155">
        <f t="shared" si="186"/>
        <v>403915.91869165545</v>
      </c>
      <c r="L303" s="153">
        <f t="shared" si="187"/>
        <v>2962050.070405473</v>
      </c>
      <c r="M303" s="184"/>
      <c r="N303" s="6"/>
    </row>
    <row r="304" spans="1:14" x14ac:dyDescent="0.35">
      <c r="A304" s="156">
        <f t="shared" ref="A304" si="209">A305</f>
        <v>41791</v>
      </c>
      <c r="B304" s="156">
        <f t="shared" ref="B304" si="210">B305</f>
        <v>41820</v>
      </c>
      <c r="C304" s="438"/>
      <c r="D304" s="157" t="s">
        <v>101</v>
      </c>
      <c r="E304" s="157">
        <f t="shared" si="179"/>
        <v>30</v>
      </c>
      <c r="F304" s="153">
        <f>IF(AND(A304&gt;=$F$1,B304&lt;=$F$2),((VLOOKUP(YEAR(B304),'DIF MES'!A$2:E$38,5)*E304)/30),0)</f>
        <v>2593926.1122171241</v>
      </c>
      <c r="G304" s="158">
        <f>VLOOKUP(100*YEAR(A304)+MONTH(A304)-1,IPC!A$14:E$861,2)</f>
        <v>81.53</v>
      </c>
      <c r="H304" s="159">
        <f t="shared" si="182"/>
        <v>105.29</v>
      </c>
      <c r="I304" s="160">
        <f>F304*(H304/G304)</f>
        <v>3349864.8393884581</v>
      </c>
      <c r="J304" s="161">
        <f>+I304-F304</f>
        <v>755938.72717133397</v>
      </c>
      <c r="K304" s="162">
        <f>IF(D304="adicional", 0, +I304*0.12)</f>
        <v>0</v>
      </c>
      <c r="L304" s="161">
        <f>+I304-K304</f>
        <v>3349864.8393884581</v>
      </c>
      <c r="M304" s="184"/>
      <c r="N304" s="6"/>
    </row>
    <row r="305" spans="1:14" x14ac:dyDescent="0.35">
      <c r="A305" s="152">
        <f t="shared" ref="A305" si="211">IF(
AND(YEAR(B303)=YEAR(DATE(YEAR($F$1),MONTH($F$1)-1,1)),
MONTH(B303)=MONTH(DATE(YEAR($F$1),MONTH($F$1)-1,1))),
$F$1,
DATE(YEAR(B303),MONTH(B303)+1,1))</f>
        <v>41791</v>
      </c>
      <c r="B305" s="152">
        <f t="shared" ref="B305" si="212">IF(
AND(
YEAR(B303)=YEAR(DATE(YEAR($F$2),MONTH($F$2)-1,1)),
MONTH(B303)=MONTH(DATE(YEAR($F$2),MONTH($F$2)-1,1))
),
$F$2,
EOMONTH(B303,1)
)</f>
        <v>41820</v>
      </c>
      <c r="C305" s="438"/>
      <c r="D305" s="149" t="s">
        <v>102</v>
      </c>
      <c r="E305" s="149">
        <f t="shared" si="179"/>
        <v>30</v>
      </c>
      <c r="F305" s="153">
        <f>IF(AND(A305&gt;=$F$1,B305&lt;=$F$2),((VLOOKUP(YEAR(B305),'DIF MES'!A$2:E$38,5)*E305)/30),0)</f>
        <v>2593926.1122171241</v>
      </c>
      <c r="G305" s="154">
        <f>VLOOKUP(100*YEAR(A305)+MONTH(A305)-1,IPC!A$14:E$861,2)</f>
        <v>81.53</v>
      </c>
      <c r="H305" s="151">
        <f t="shared" si="182"/>
        <v>105.29</v>
      </c>
      <c r="I305" s="153">
        <f>F305*(H305/G305)</f>
        <v>3349864.8393884581</v>
      </c>
      <c r="J305" s="153">
        <f>+I305-F305</f>
        <v>755938.72717133397</v>
      </c>
      <c r="K305" s="155">
        <f>IF(D305="adicional", 0, +I305*0.12)</f>
        <v>401983.78072661493</v>
      </c>
      <c r="L305" s="153">
        <f>+I305-K305</f>
        <v>2947881.0586618432</v>
      </c>
      <c r="M305" s="184"/>
      <c r="N305" s="6"/>
    </row>
    <row r="306" spans="1:14" x14ac:dyDescent="0.35">
      <c r="A306" s="152">
        <f t="shared" si="173"/>
        <v>41821</v>
      </c>
      <c r="B306" s="152">
        <f t="shared" si="174"/>
        <v>41851</v>
      </c>
      <c r="C306" s="438"/>
      <c r="D306" s="149" t="s">
        <v>103</v>
      </c>
      <c r="E306" s="149">
        <f t="shared" si="179"/>
        <v>30</v>
      </c>
      <c r="F306" s="153">
        <f>IF(AND(A306&gt;=$F$1,B306&lt;=$F$2),((VLOOKUP(YEAR(B306),'DIF MES'!A$2:E$38,5)*E306)/30),0)</f>
        <v>2593926.1122171241</v>
      </c>
      <c r="G306" s="154">
        <f>VLOOKUP(100*YEAR(A306)+MONTH(A306)-1,IPC!A$14:E$861,2)</f>
        <v>81.61</v>
      </c>
      <c r="H306" s="151">
        <f t="shared" si="182"/>
        <v>105.29</v>
      </c>
      <c r="I306" s="153">
        <f t="shared" si="196"/>
        <v>3346581.0605972433</v>
      </c>
      <c r="J306" s="153">
        <f t="shared" si="185"/>
        <v>752654.94838011917</v>
      </c>
      <c r="K306" s="155">
        <f t="shared" si="186"/>
        <v>401589.7272716692</v>
      </c>
      <c r="L306" s="153">
        <f t="shared" si="187"/>
        <v>2944991.3333255742</v>
      </c>
      <c r="M306" s="184"/>
      <c r="N306" s="6"/>
    </row>
    <row r="307" spans="1:14" x14ac:dyDescent="0.35">
      <c r="A307" s="152">
        <f t="shared" si="173"/>
        <v>41852</v>
      </c>
      <c r="B307" s="152">
        <f t="shared" si="174"/>
        <v>41882</v>
      </c>
      <c r="C307" s="438"/>
      <c r="D307" s="149" t="s">
        <v>104</v>
      </c>
      <c r="E307" s="149">
        <f t="shared" si="179"/>
        <v>30</v>
      </c>
      <c r="F307" s="153">
        <f>IF(AND(A307&gt;=$F$1,B307&lt;=$F$2),((VLOOKUP(YEAR(B307),'DIF MES'!A$2:E$38,5)*E307)/30),0)</f>
        <v>2593926.1122171241</v>
      </c>
      <c r="G307" s="154">
        <f>VLOOKUP(100*YEAR(A307)+MONTH(A307)-1,IPC!A$14:E$861,2)</f>
        <v>81.73</v>
      </c>
      <c r="H307" s="151">
        <f t="shared" si="182"/>
        <v>105.29</v>
      </c>
      <c r="I307" s="153">
        <f t="shared" si="196"/>
        <v>3341667.4459236632</v>
      </c>
      <c r="J307" s="153">
        <f t="shared" si="185"/>
        <v>747741.33370653912</v>
      </c>
      <c r="K307" s="155">
        <f t="shared" si="186"/>
        <v>401000.09351083956</v>
      </c>
      <c r="L307" s="153">
        <f t="shared" si="187"/>
        <v>2940667.3524128236</v>
      </c>
      <c r="M307" s="184"/>
      <c r="N307" s="6"/>
    </row>
    <row r="308" spans="1:14" ht="20" x14ac:dyDescent="0.35">
      <c r="A308" s="152">
        <f t="shared" si="173"/>
        <v>41883</v>
      </c>
      <c r="B308" s="152">
        <f t="shared" si="174"/>
        <v>41912</v>
      </c>
      <c r="C308" s="438"/>
      <c r="D308" s="149" t="s">
        <v>105</v>
      </c>
      <c r="E308" s="149">
        <f t="shared" si="179"/>
        <v>30</v>
      </c>
      <c r="F308" s="153">
        <f>IF(AND(A308&gt;=$F$1,B308&lt;=$F$2),((VLOOKUP(YEAR(B308),'DIF MES'!A$2:E$38,5)*E308)/30),0)</f>
        <v>2593926.1122171241</v>
      </c>
      <c r="G308" s="154">
        <f>VLOOKUP(100*YEAR(A308)+MONTH(A308)-1,IPC!A$14:E$861,2)</f>
        <v>81.900000000000006</v>
      </c>
      <c r="H308" s="151">
        <f t="shared" si="182"/>
        <v>105.29</v>
      </c>
      <c r="I308" s="153">
        <f t="shared" si="196"/>
        <v>3334731.1398698539</v>
      </c>
      <c r="J308" s="153">
        <f t="shared" si="185"/>
        <v>740805.02765272977</v>
      </c>
      <c r="K308" s="155">
        <f t="shared" si="186"/>
        <v>400167.73678438243</v>
      </c>
      <c r="L308" s="153">
        <f t="shared" si="187"/>
        <v>2934563.4030854716</v>
      </c>
      <c r="M308" s="184"/>
      <c r="N308" s="6"/>
    </row>
    <row r="309" spans="1:14" x14ac:dyDescent="0.35">
      <c r="A309" s="152">
        <f t="shared" si="173"/>
        <v>41913</v>
      </c>
      <c r="B309" s="152">
        <f t="shared" si="174"/>
        <v>41943</v>
      </c>
      <c r="C309" s="438"/>
      <c r="D309" s="149" t="s">
        <v>106</v>
      </c>
      <c r="E309" s="149">
        <f t="shared" si="179"/>
        <v>30</v>
      </c>
      <c r="F309" s="153">
        <f>IF(AND(A309&gt;=$F$1,B309&lt;=$F$2),((VLOOKUP(YEAR(B309),'DIF MES'!A$2:E$38,5)*E309)/30),0)</f>
        <v>2593926.1122171241</v>
      </c>
      <c r="G309" s="154">
        <f>VLOOKUP(100*YEAR(A309)+MONTH(A309)-1,IPC!A$14:E$861,2)</f>
        <v>82.01</v>
      </c>
      <c r="H309" s="151">
        <f t="shared" si="182"/>
        <v>105.29</v>
      </c>
      <c r="I309" s="153">
        <f t="shared" si="196"/>
        <v>3330258.2655205582</v>
      </c>
      <c r="J309" s="153">
        <f t="shared" si="185"/>
        <v>736332.15330343414</v>
      </c>
      <c r="K309" s="155">
        <f t="shared" si="186"/>
        <v>399630.99186246697</v>
      </c>
      <c r="L309" s="153">
        <f t="shared" si="187"/>
        <v>2930627.2736580912</v>
      </c>
      <c r="M309" s="184"/>
      <c r="N309" s="6"/>
    </row>
    <row r="310" spans="1:14" x14ac:dyDescent="0.35">
      <c r="A310" s="152">
        <f t="shared" si="173"/>
        <v>41944</v>
      </c>
      <c r="B310" s="152">
        <f t="shared" si="174"/>
        <v>41973</v>
      </c>
      <c r="C310" s="438"/>
      <c r="D310" s="149" t="s">
        <v>107</v>
      </c>
      <c r="E310" s="149">
        <f t="shared" si="179"/>
        <v>30</v>
      </c>
      <c r="F310" s="153">
        <f>IF(AND(A310&gt;=$F$1,B310&lt;=$F$2),((VLOOKUP(YEAR(B310),'DIF MES'!A$2:E$38,5)*E310)/30),0)</f>
        <v>2593926.1122171241</v>
      </c>
      <c r="G310" s="154">
        <f>VLOOKUP(100*YEAR(A310)+MONTH(A310)-1,IPC!A$14:E$861,2)</f>
        <v>82.14</v>
      </c>
      <c r="H310" s="151">
        <f t="shared" si="182"/>
        <v>105.29</v>
      </c>
      <c r="I310" s="153">
        <f t="shared" si="196"/>
        <v>3324987.5865028123</v>
      </c>
      <c r="J310" s="153">
        <f t="shared" si="185"/>
        <v>731061.47428568825</v>
      </c>
      <c r="K310" s="155">
        <f t="shared" si="186"/>
        <v>398998.51038033748</v>
      </c>
      <c r="L310" s="153">
        <f t="shared" si="187"/>
        <v>2925989.0761224749</v>
      </c>
      <c r="M310" s="184"/>
      <c r="N310" s="6"/>
    </row>
    <row r="311" spans="1:14" x14ac:dyDescent="0.35">
      <c r="A311" s="156">
        <f t="shared" ref="A311" si="213">A310</f>
        <v>41944</v>
      </c>
      <c r="B311" s="156">
        <f t="shared" ref="B311" si="214">B310</f>
        <v>41973</v>
      </c>
      <c r="C311" s="438"/>
      <c r="D311" s="157" t="s">
        <v>101</v>
      </c>
      <c r="E311" s="157">
        <f t="shared" si="179"/>
        <v>30</v>
      </c>
      <c r="F311" s="153">
        <f>IF(AND(A311&gt;=$F$1,B311&lt;=$F$2),((VLOOKUP(YEAR(B311),'DIF MES'!A$2:E$38,5)*E311)/30),0)</f>
        <v>2593926.1122171241</v>
      </c>
      <c r="G311" s="158">
        <f>VLOOKUP(100*YEAR(A311)+MONTH(A311)-1,IPC!A$14:E$861,2)</f>
        <v>82.14</v>
      </c>
      <c r="H311" s="159">
        <f t="shared" si="182"/>
        <v>105.29</v>
      </c>
      <c r="I311" s="161">
        <f t="shared" si="196"/>
        <v>3324987.5865028123</v>
      </c>
      <c r="J311" s="161">
        <f t="shared" si="185"/>
        <v>731061.47428568825</v>
      </c>
      <c r="K311" s="162">
        <f t="shared" si="186"/>
        <v>0</v>
      </c>
      <c r="L311" s="161">
        <f t="shared" si="187"/>
        <v>3324987.5865028123</v>
      </c>
      <c r="M311" s="184"/>
      <c r="N311" s="6"/>
    </row>
    <row r="312" spans="1:14" x14ac:dyDescent="0.35">
      <c r="A312" s="152">
        <f t="shared" ref="A312" si="215">IF(
AND(YEAR(B310)=YEAR(DATE(YEAR($F$1),MONTH($F$1)-1,1)),
MONTH(B310)=MONTH(DATE(YEAR($F$1),MONTH($F$1)-1,1))),
$F$1,
DATE(YEAR(B310),MONTH(B310)+1,1))</f>
        <v>41974</v>
      </c>
      <c r="B312" s="152">
        <f t="shared" ref="B312" si="216">IF(
AND(
YEAR(B310)=YEAR(DATE(YEAR($F$2),MONTH($F$2)-1,1)),
MONTH(B310)=MONTH(DATE(YEAR($F$2),MONTH($F$2)-1,1))
),
$F$2,
EOMONTH(B310,1)
)</f>
        <v>42004</v>
      </c>
      <c r="C312" s="439"/>
      <c r="D312" s="149" t="s">
        <v>108</v>
      </c>
      <c r="E312" s="149">
        <f t="shared" si="179"/>
        <v>30</v>
      </c>
      <c r="F312" s="153">
        <f>IF(AND(A312&gt;=$F$1,B312&lt;=$F$2),((VLOOKUP(YEAR(B312),'DIF MES'!A$2:E$38,5)*E312)/30),0)</f>
        <v>2593926.1122171241</v>
      </c>
      <c r="G312" s="154">
        <f>VLOOKUP(100*YEAR(A312)+MONTH(A312)-1,IPC!A$14:E$861,2)</f>
        <v>82.25</v>
      </c>
      <c r="H312" s="151">
        <f t="shared" si="182"/>
        <v>105.29</v>
      </c>
      <c r="I312" s="153">
        <f t="shared" si="196"/>
        <v>3320540.7945938115</v>
      </c>
      <c r="J312" s="153">
        <f t="shared" si="185"/>
        <v>726614.68237668741</v>
      </c>
      <c r="K312" s="155">
        <f t="shared" si="186"/>
        <v>398464.89535125735</v>
      </c>
      <c r="L312" s="153">
        <f t="shared" si="187"/>
        <v>2922075.8992425543</v>
      </c>
      <c r="M312" s="184"/>
      <c r="N312" s="6"/>
    </row>
    <row r="313" spans="1:14" x14ac:dyDescent="0.35">
      <c r="A313" s="152">
        <f t="shared" ref="A313:A373" si="217">IF(
AND(YEAR(B312)=YEAR(DATE(YEAR($F$1),MONTH($F$1)-1,1)),
MONTH(B312)=MONTH(DATE(YEAR($F$1),MONTH($F$1)-1,1))),
$F$1,
DATE(YEAR(B312),MONTH(B312)+1,1))</f>
        <v>42005</v>
      </c>
      <c r="B313" s="152">
        <f t="shared" ref="B313:B373" si="218">IF(
AND(
YEAR(B312)=YEAR(DATE(YEAR($F$2),MONTH($F$2)-1,1)),
MONTH(B312)=MONTH(DATE(YEAR($F$2),MONTH($F$2)-1,1))
),
$F$2,
EOMONTH(B312,1)
)</f>
        <v>42035</v>
      </c>
      <c r="C313" s="437">
        <v>2015</v>
      </c>
      <c r="D313" s="149" t="s">
        <v>96</v>
      </c>
      <c r="E313" s="149">
        <f t="shared" si="179"/>
        <v>30</v>
      </c>
      <c r="F313" s="153">
        <f>IF(AND(A313&gt;=$F$1,B313&lt;=$F$2),((VLOOKUP(YEAR(B313),'DIF MES'!A$2:E$38,5)*E313)/30),0)</f>
        <v>2688863.8079242706</v>
      </c>
      <c r="G313" s="154">
        <f>VLOOKUP(100*YEAR(A313)+MONTH(A313)-1,IPC!A$14:E$861,2)</f>
        <v>82.47</v>
      </c>
      <c r="H313" s="151">
        <f t="shared" si="182"/>
        <v>105.29</v>
      </c>
      <c r="I313" s="153">
        <f t="shared" si="196"/>
        <v>3432890.3884606091</v>
      </c>
      <c r="J313" s="153">
        <f t="shared" si="185"/>
        <v>744026.5805363385</v>
      </c>
      <c r="K313" s="155">
        <f t="shared" si="186"/>
        <v>411946.8466152731</v>
      </c>
      <c r="L313" s="153">
        <f t="shared" si="187"/>
        <v>3020943.5418453361</v>
      </c>
      <c r="M313" s="184"/>
      <c r="N313" s="6"/>
    </row>
    <row r="314" spans="1:14" x14ac:dyDescent="0.35">
      <c r="A314" s="152">
        <f t="shared" si="217"/>
        <v>42036</v>
      </c>
      <c r="B314" s="152">
        <f t="shared" si="218"/>
        <v>42063</v>
      </c>
      <c r="C314" s="438"/>
      <c r="D314" s="149" t="s">
        <v>97</v>
      </c>
      <c r="E314" s="149">
        <f t="shared" si="179"/>
        <v>30</v>
      </c>
      <c r="F314" s="153">
        <f>IF(AND(A314&gt;=$F$1,B314&lt;=$F$2),((VLOOKUP(YEAR(B314),'DIF MES'!A$2:E$38,5)*E314)/30),0)</f>
        <v>2688863.8079242706</v>
      </c>
      <c r="G314" s="154">
        <f>VLOOKUP(100*YEAR(A314)+MONTH(A314)-1,IPC!A$14:E$861,2)</f>
        <v>83</v>
      </c>
      <c r="H314" s="151">
        <f t="shared" si="182"/>
        <v>105.29</v>
      </c>
      <c r="I314" s="153">
        <f t="shared" si="196"/>
        <v>3410969.5221246565</v>
      </c>
      <c r="J314" s="153">
        <f t="shared" si="185"/>
        <v>722105.71420038585</v>
      </c>
      <c r="K314" s="155">
        <f t="shared" si="186"/>
        <v>409316.34265495877</v>
      </c>
      <c r="L314" s="153">
        <f t="shared" si="187"/>
        <v>3001653.1794696976</v>
      </c>
      <c r="M314" s="184"/>
      <c r="N314" s="6"/>
    </row>
    <row r="315" spans="1:14" x14ac:dyDescent="0.35">
      <c r="A315" s="152">
        <f t="shared" si="217"/>
        <v>42064</v>
      </c>
      <c r="B315" s="152">
        <f t="shared" si="218"/>
        <v>42094</v>
      </c>
      <c r="C315" s="438"/>
      <c r="D315" s="149" t="s">
        <v>98</v>
      </c>
      <c r="E315" s="149">
        <f t="shared" si="179"/>
        <v>30</v>
      </c>
      <c r="F315" s="153">
        <f>IF(AND(A315&gt;=$F$1,B315&lt;=$F$2),((VLOOKUP(YEAR(B315),'DIF MES'!A$2:E$38,5)*E315)/30),0)</f>
        <v>2688863.8079242706</v>
      </c>
      <c r="G315" s="154">
        <f>VLOOKUP(100*YEAR(A315)+MONTH(A315)-1,IPC!A$14:E$861,2)</f>
        <v>83.96</v>
      </c>
      <c r="H315" s="151">
        <f t="shared" si="182"/>
        <v>105.29</v>
      </c>
      <c r="I315" s="153">
        <f t="shared" si="196"/>
        <v>3371968.4413571521</v>
      </c>
      <c r="J315" s="153">
        <f t="shared" si="185"/>
        <v>683104.63343288144</v>
      </c>
      <c r="K315" s="155">
        <f t="shared" si="186"/>
        <v>404636.21296285826</v>
      </c>
      <c r="L315" s="153">
        <f t="shared" si="187"/>
        <v>2967332.2283942937</v>
      </c>
      <c r="M315" s="184"/>
      <c r="N315" s="6"/>
    </row>
    <row r="316" spans="1:14" x14ac:dyDescent="0.35">
      <c r="A316" s="152">
        <f t="shared" si="217"/>
        <v>42095</v>
      </c>
      <c r="B316" s="152">
        <f t="shared" si="218"/>
        <v>42124</v>
      </c>
      <c r="C316" s="438"/>
      <c r="D316" s="149" t="s">
        <v>99</v>
      </c>
      <c r="E316" s="149">
        <f t="shared" si="179"/>
        <v>30</v>
      </c>
      <c r="F316" s="153">
        <f>IF(AND(A316&gt;=$F$1,B316&lt;=$F$2),((VLOOKUP(YEAR(B316),'DIF MES'!A$2:E$38,5)*E316)/30),0)</f>
        <v>2688863.8079242706</v>
      </c>
      <c r="G316" s="154">
        <f>VLOOKUP(100*YEAR(A316)+MONTH(A316)-1,IPC!A$14:E$861,2)</f>
        <v>84.45</v>
      </c>
      <c r="H316" s="151">
        <f t="shared" si="182"/>
        <v>105.29</v>
      </c>
      <c r="I316" s="153">
        <f t="shared" si="196"/>
        <v>3352403.4379673945</v>
      </c>
      <c r="J316" s="153">
        <f t="shared" si="185"/>
        <v>663539.63004312385</v>
      </c>
      <c r="K316" s="155">
        <f t="shared" si="186"/>
        <v>402288.41255608731</v>
      </c>
      <c r="L316" s="153">
        <f t="shared" si="187"/>
        <v>2950115.0254113073</v>
      </c>
      <c r="M316" s="184"/>
      <c r="N316" s="6"/>
    </row>
    <row r="317" spans="1:14" x14ac:dyDescent="0.35">
      <c r="A317" s="152">
        <f t="shared" si="217"/>
        <v>42125</v>
      </c>
      <c r="B317" s="152">
        <f t="shared" si="218"/>
        <v>42155</v>
      </c>
      <c r="C317" s="438"/>
      <c r="D317" s="149" t="s">
        <v>100</v>
      </c>
      <c r="E317" s="149">
        <f t="shared" si="179"/>
        <v>30</v>
      </c>
      <c r="F317" s="153">
        <f>IF(AND(A317&gt;=$F$1,B317&lt;=$F$2),((VLOOKUP(YEAR(B317),'DIF MES'!A$2:E$38,5)*E317)/30),0)</f>
        <v>2688863.8079242706</v>
      </c>
      <c r="G317" s="154">
        <f>VLOOKUP(100*YEAR(A317)+MONTH(A317)-1,IPC!A$14:E$861,2)</f>
        <v>84.9</v>
      </c>
      <c r="H317" s="151">
        <f t="shared" si="182"/>
        <v>105.29</v>
      </c>
      <c r="I317" s="153">
        <f t="shared" si="196"/>
        <v>3334634.5151513126</v>
      </c>
      <c r="J317" s="153">
        <f t="shared" si="185"/>
        <v>645770.70722704194</v>
      </c>
      <c r="K317" s="155">
        <f t="shared" si="186"/>
        <v>400156.14181815751</v>
      </c>
      <c r="L317" s="153">
        <f t="shared" si="187"/>
        <v>2934478.3733331552</v>
      </c>
      <c r="M317" s="184"/>
      <c r="N317" s="6"/>
    </row>
    <row r="318" spans="1:14" x14ac:dyDescent="0.35">
      <c r="A318" s="156">
        <f t="shared" ref="A318" si="219">A319</f>
        <v>42156</v>
      </c>
      <c r="B318" s="156">
        <f t="shared" ref="B318" si="220">B319</f>
        <v>42185</v>
      </c>
      <c r="C318" s="438"/>
      <c r="D318" s="157" t="s">
        <v>101</v>
      </c>
      <c r="E318" s="157">
        <f t="shared" si="179"/>
        <v>30</v>
      </c>
      <c r="F318" s="153">
        <f>IF(AND(A318&gt;=$F$1,B318&lt;=$F$2),((VLOOKUP(YEAR(B318),'DIF MES'!A$2:E$38,5)*E318)/30),0)</f>
        <v>2688863.8079242706</v>
      </c>
      <c r="G318" s="158">
        <f>VLOOKUP(100*YEAR(A318)+MONTH(A318)-1,IPC!A$14:E$861,2)</f>
        <v>85.12</v>
      </c>
      <c r="H318" s="159">
        <f t="shared" si="182"/>
        <v>105.29</v>
      </c>
      <c r="I318" s="160">
        <f>F318*(H318/G318)</f>
        <v>3326015.8639138443</v>
      </c>
      <c r="J318" s="161">
        <f>+I318-F318</f>
        <v>637152.05598957371</v>
      </c>
      <c r="K318" s="162">
        <f>IF(D318="adicional", 0, +I318*0.12)</f>
        <v>0</v>
      </c>
      <c r="L318" s="161">
        <f>+I318-K318</f>
        <v>3326015.8639138443</v>
      </c>
      <c r="M318" s="184"/>
      <c r="N318" s="6"/>
    </row>
    <row r="319" spans="1:14" x14ac:dyDescent="0.35">
      <c r="A319" s="152">
        <f t="shared" ref="A319" si="221">IF(
AND(YEAR(B317)=YEAR(DATE(YEAR($F$1),MONTH($F$1)-1,1)),
MONTH(B317)=MONTH(DATE(YEAR($F$1),MONTH($F$1)-1,1))),
$F$1,
DATE(YEAR(B317),MONTH(B317)+1,1))</f>
        <v>42156</v>
      </c>
      <c r="B319" s="152">
        <f t="shared" ref="B319" si="222">IF(
AND(
YEAR(B317)=YEAR(DATE(YEAR($F$2),MONTH($F$2)-1,1)),
MONTH(B317)=MONTH(DATE(YEAR($F$2),MONTH($F$2)-1,1))
),
$F$2,
EOMONTH(B317,1)
)</f>
        <v>42185</v>
      </c>
      <c r="C319" s="438"/>
      <c r="D319" s="149" t="s">
        <v>102</v>
      </c>
      <c r="E319" s="149">
        <f t="shared" si="179"/>
        <v>30</v>
      </c>
      <c r="F319" s="153">
        <f>IF(AND(A319&gt;=$F$1,B319&lt;=$F$2),((VLOOKUP(YEAR(B319),'DIF MES'!A$2:E$38,5)*E319)/30),0)</f>
        <v>2688863.8079242706</v>
      </c>
      <c r="G319" s="154">
        <f>VLOOKUP(100*YEAR(A319)+MONTH(A319)-1,IPC!A$14:E$861,2)</f>
        <v>85.12</v>
      </c>
      <c r="H319" s="151">
        <f t="shared" si="182"/>
        <v>105.29</v>
      </c>
      <c r="I319" s="153">
        <f>F319*(H319/G319)</f>
        <v>3326015.8639138443</v>
      </c>
      <c r="J319" s="153">
        <f>+I319-F319</f>
        <v>637152.05598957371</v>
      </c>
      <c r="K319" s="155">
        <f>IF(D319="adicional", 0, +I319*0.12)</f>
        <v>399121.90366966132</v>
      </c>
      <c r="L319" s="153">
        <f>+I319-K319</f>
        <v>2926893.960244183</v>
      </c>
      <c r="M319" s="184"/>
      <c r="N319" s="6"/>
    </row>
    <row r="320" spans="1:14" x14ac:dyDescent="0.35">
      <c r="A320" s="152">
        <f t="shared" ref="A320:A380" si="223">IF(
AND(YEAR(B319)=YEAR(DATE(YEAR($F$1),MONTH($F$1)-1,1)),
MONTH(B319)=MONTH(DATE(YEAR($F$1),MONTH($F$1)-1,1))),
$F$1,
DATE(YEAR(B319),MONTH(B319)+1,1))</f>
        <v>42186</v>
      </c>
      <c r="B320" s="152">
        <f t="shared" ref="B320:B380" si="224">IF(
AND(
YEAR(B319)=YEAR(DATE(YEAR($F$2),MONTH($F$2)-1,1)),
MONTH(B319)=MONTH(DATE(YEAR($F$2),MONTH($F$2)-1,1))
),
$F$2,
EOMONTH(B319,1)
)</f>
        <v>42216</v>
      </c>
      <c r="C320" s="438"/>
      <c r="D320" s="149" t="s">
        <v>103</v>
      </c>
      <c r="E320" s="149">
        <f t="shared" si="179"/>
        <v>30</v>
      </c>
      <c r="F320" s="153">
        <f>IF(AND(A320&gt;=$F$1,B320&lt;=$F$2),((VLOOKUP(YEAR(B320),'DIF MES'!A$2:E$38,5)*E320)/30),0)</f>
        <v>2688863.8079242706</v>
      </c>
      <c r="G320" s="154">
        <f>VLOOKUP(100*YEAR(A320)+MONTH(A320)-1,IPC!A$14:E$861,2)</f>
        <v>85.21</v>
      </c>
      <c r="H320" s="151">
        <f t="shared" si="182"/>
        <v>105.29</v>
      </c>
      <c r="I320" s="153">
        <f t="shared" si="196"/>
        <v>3322502.879196649</v>
      </c>
      <c r="J320" s="153">
        <f t="shared" si="185"/>
        <v>633639.07127237832</v>
      </c>
      <c r="K320" s="155">
        <f t="shared" si="186"/>
        <v>398700.34550359787</v>
      </c>
      <c r="L320" s="153">
        <f t="shared" si="187"/>
        <v>2923802.533693051</v>
      </c>
      <c r="M320" s="184"/>
      <c r="N320" s="6"/>
    </row>
    <row r="321" spans="1:14" x14ac:dyDescent="0.35">
      <c r="A321" s="152">
        <f t="shared" si="223"/>
        <v>42217</v>
      </c>
      <c r="B321" s="152">
        <f t="shared" si="224"/>
        <v>42247</v>
      </c>
      <c r="C321" s="438"/>
      <c r="D321" s="149" t="s">
        <v>104</v>
      </c>
      <c r="E321" s="149">
        <f t="shared" si="179"/>
        <v>30</v>
      </c>
      <c r="F321" s="153">
        <f>IF(AND(A321&gt;=$F$1,B321&lt;=$F$2),((VLOOKUP(YEAR(B321),'DIF MES'!A$2:E$38,5)*E321)/30),0)</f>
        <v>2688863.8079242706</v>
      </c>
      <c r="G321" s="154">
        <f>VLOOKUP(100*YEAR(A321)+MONTH(A321)-1,IPC!A$14:E$861,2)</f>
        <v>85.37</v>
      </c>
      <c r="H321" s="151">
        <f t="shared" si="182"/>
        <v>105.29</v>
      </c>
      <c r="I321" s="153">
        <f t="shared" si="196"/>
        <v>3316275.8619696195</v>
      </c>
      <c r="J321" s="153">
        <f t="shared" si="185"/>
        <v>627412.05404534889</v>
      </c>
      <c r="K321" s="155">
        <f t="shared" si="186"/>
        <v>397953.10343635431</v>
      </c>
      <c r="L321" s="153">
        <f t="shared" si="187"/>
        <v>2918322.7585332654</v>
      </c>
      <c r="M321" s="184"/>
      <c r="N321" s="6"/>
    </row>
    <row r="322" spans="1:14" ht="20" x14ac:dyDescent="0.35">
      <c r="A322" s="152">
        <f t="shared" si="223"/>
        <v>42248</v>
      </c>
      <c r="B322" s="152">
        <f t="shared" si="224"/>
        <v>42277</v>
      </c>
      <c r="C322" s="438"/>
      <c r="D322" s="149" t="s">
        <v>105</v>
      </c>
      <c r="E322" s="149">
        <f t="shared" si="179"/>
        <v>30</v>
      </c>
      <c r="F322" s="153">
        <f>IF(AND(A322&gt;=$F$1,B322&lt;=$F$2),((VLOOKUP(YEAR(B322),'DIF MES'!A$2:E$38,5)*E322)/30),0)</f>
        <v>2688863.8079242706</v>
      </c>
      <c r="G322" s="154">
        <f>VLOOKUP(100*YEAR(A322)+MONTH(A322)-1,IPC!A$14:E$861,2)</f>
        <v>85.78</v>
      </c>
      <c r="H322" s="151">
        <f t="shared" si="182"/>
        <v>105.29</v>
      </c>
      <c r="I322" s="153">
        <f t="shared" si="196"/>
        <v>3300425.1613003784</v>
      </c>
      <c r="J322" s="153">
        <f t="shared" si="185"/>
        <v>611561.35337610776</v>
      </c>
      <c r="K322" s="155">
        <f t="shared" si="186"/>
        <v>396051.01935604541</v>
      </c>
      <c r="L322" s="153">
        <f t="shared" si="187"/>
        <v>2904374.141944333</v>
      </c>
      <c r="M322" s="184"/>
      <c r="N322" s="6"/>
    </row>
    <row r="323" spans="1:14" x14ac:dyDescent="0.35">
      <c r="A323" s="152">
        <f t="shared" si="223"/>
        <v>42278</v>
      </c>
      <c r="B323" s="152">
        <f t="shared" si="224"/>
        <v>42308</v>
      </c>
      <c r="C323" s="438"/>
      <c r="D323" s="149" t="s">
        <v>106</v>
      </c>
      <c r="E323" s="149">
        <f t="shared" si="179"/>
        <v>30</v>
      </c>
      <c r="F323" s="153">
        <f>IF(AND(A323&gt;=$F$1,B323&lt;=$F$2),((VLOOKUP(YEAR(B323),'DIF MES'!A$2:E$38,5)*E323)/30),0)</f>
        <v>2688863.8079242706</v>
      </c>
      <c r="G323" s="154">
        <f>VLOOKUP(100*YEAR(A323)+MONTH(A323)-1,IPC!A$14:E$861,2)</f>
        <v>86.39</v>
      </c>
      <c r="H323" s="151">
        <f t="shared" si="182"/>
        <v>105.29</v>
      </c>
      <c r="I323" s="153">
        <f t="shared" si="196"/>
        <v>3277120.8512136415</v>
      </c>
      <c r="J323" s="153">
        <f t="shared" si="185"/>
        <v>588257.04328937083</v>
      </c>
      <c r="K323" s="155">
        <f t="shared" si="186"/>
        <v>393254.50214563694</v>
      </c>
      <c r="L323" s="153">
        <f t="shared" si="187"/>
        <v>2883866.3490680046</v>
      </c>
      <c r="M323" s="184"/>
      <c r="N323" s="6"/>
    </row>
    <row r="324" spans="1:14" x14ac:dyDescent="0.35">
      <c r="A324" s="152">
        <f t="shared" si="223"/>
        <v>42309</v>
      </c>
      <c r="B324" s="152">
        <f t="shared" si="224"/>
        <v>42338</v>
      </c>
      <c r="C324" s="438"/>
      <c r="D324" s="149" t="s">
        <v>107</v>
      </c>
      <c r="E324" s="149">
        <f t="shared" si="179"/>
        <v>30</v>
      </c>
      <c r="F324" s="153">
        <f>IF(AND(A324&gt;=$F$1,B324&lt;=$F$2),((VLOOKUP(YEAR(B324),'DIF MES'!A$2:E$38,5)*E324)/30),0)</f>
        <v>2688863.8079242706</v>
      </c>
      <c r="G324" s="154">
        <f>VLOOKUP(100*YEAR(A324)+MONTH(A324)-1,IPC!A$14:E$861,2)</f>
        <v>86.98</v>
      </c>
      <c r="H324" s="151">
        <f t="shared" si="182"/>
        <v>105.29</v>
      </c>
      <c r="I324" s="153">
        <f t="shared" si="196"/>
        <v>3254891.5881391866</v>
      </c>
      <c r="J324" s="153">
        <f t="shared" si="185"/>
        <v>566027.78021491598</v>
      </c>
      <c r="K324" s="155">
        <f t="shared" si="186"/>
        <v>390586.9905767024</v>
      </c>
      <c r="L324" s="153">
        <f t="shared" si="187"/>
        <v>2864304.5975624844</v>
      </c>
      <c r="M324" s="184"/>
      <c r="N324" s="6"/>
    </row>
    <row r="325" spans="1:14" x14ac:dyDescent="0.35">
      <c r="A325" s="156">
        <f t="shared" ref="A325" si="225">A324</f>
        <v>42309</v>
      </c>
      <c r="B325" s="156">
        <f t="shared" ref="B325" si="226">B324</f>
        <v>42338</v>
      </c>
      <c r="C325" s="438"/>
      <c r="D325" s="157" t="s">
        <v>101</v>
      </c>
      <c r="E325" s="157">
        <f t="shared" ref="E325:E388" si="227">DAYS360(A325,B325+1)</f>
        <v>30</v>
      </c>
      <c r="F325" s="153">
        <f>IF(AND(A325&gt;=$F$1,B325&lt;=$F$2),((VLOOKUP(YEAR(B325),'DIF MES'!A$2:E$38,5)*E325)/30),0)</f>
        <v>2688863.8079242706</v>
      </c>
      <c r="G325" s="158">
        <f>VLOOKUP(100*YEAR(A325)+MONTH(A325)-1,IPC!A$14:E$861,2)</f>
        <v>86.98</v>
      </c>
      <c r="H325" s="159">
        <f t="shared" si="182"/>
        <v>105.29</v>
      </c>
      <c r="I325" s="161">
        <f t="shared" si="196"/>
        <v>3254891.5881391866</v>
      </c>
      <c r="J325" s="161">
        <f t="shared" si="185"/>
        <v>566027.78021491598</v>
      </c>
      <c r="K325" s="162">
        <f t="shared" si="186"/>
        <v>0</v>
      </c>
      <c r="L325" s="161">
        <f t="shared" si="187"/>
        <v>3254891.5881391866</v>
      </c>
      <c r="M325" s="184"/>
      <c r="N325" s="6"/>
    </row>
    <row r="326" spans="1:14" x14ac:dyDescent="0.35">
      <c r="A326" s="152">
        <f t="shared" ref="A326" si="228">IF(
AND(YEAR(B324)=YEAR(DATE(YEAR($F$1),MONTH($F$1)-1,1)),
MONTH(B324)=MONTH(DATE(YEAR($F$1),MONTH($F$1)-1,1))),
$F$1,
DATE(YEAR(B324),MONTH(B324)+1,1))</f>
        <v>42339</v>
      </c>
      <c r="B326" s="152">
        <f t="shared" ref="B326" si="229">IF(
AND(
YEAR(B324)=YEAR(DATE(YEAR($F$2),MONTH($F$2)-1,1)),
MONTH(B324)=MONTH(DATE(YEAR($F$2),MONTH($F$2)-1,1))
),
$F$2,
EOMONTH(B324,1)
)</f>
        <v>42369</v>
      </c>
      <c r="C326" s="439"/>
      <c r="D326" s="149" t="s">
        <v>108</v>
      </c>
      <c r="E326" s="149">
        <f t="shared" si="227"/>
        <v>30</v>
      </c>
      <c r="F326" s="153">
        <f>IF(AND(A326&gt;=$F$1,B326&lt;=$F$2),((VLOOKUP(YEAR(B326),'DIF MES'!A$2:E$38,5)*E326)/30),0)</f>
        <v>2688863.8079242706</v>
      </c>
      <c r="G326" s="154">
        <f>VLOOKUP(100*YEAR(A326)+MONTH(A326)-1,IPC!A$14:E$861,2)</f>
        <v>87.51</v>
      </c>
      <c r="H326" s="151">
        <f t="shared" si="182"/>
        <v>105.29</v>
      </c>
      <c r="I326" s="153">
        <f t="shared" si="196"/>
        <v>3235178.4977299334</v>
      </c>
      <c r="J326" s="153">
        <f t="shared" si="185"/>
        <v>546314.68980566273</v>
      </c>
      <c r="K326" s="155">
        <f t="shared" ref="K326:K387" si="230">IF(D326="adicional", 0, +I326*0.12)</f>
        <v>388221.41972759197</v>
      </c>
      <c r="L326" s="153">
        <f t="shared" ref="L326:L387" si="231">+I326-K326</f>
        <v>2846957.0780023416</v>
      </c>
      <c r="M326" s="184"/>
      <c r="N326" s="6"/>
    </row>
    <row r="327" spans="1:14" x14ac:dyDescent="0.35">
      <c r="A327" s="152">
        <f t="shared" si="217"/>
        <v>42370</v>
      </c>
      <c r="B327" s="152">
        <f t="shared" si="218"/>
        <v>42400</v>
      </c>
      <c r="C327" s="437">
        <v>2016</v>
      </c>
      <c r="D327" s="149" t="s">
        <v>96</v>
      </c>
      <c r="E327" s="149">
        <f t="shared" si="227"/>
        <v>30</v>
      </c>
      <c r="F327" s="153">
        <f>IF(AND(A327&gt;=$F$1,B327&lt;=$F$2),((VLOOKUP(YEAR(B327),'DIF MES'!A$2:E$38,5)*E327)/30),0)</f>
        <v>2870899.8877207441</v>
      </c>
      <c r="G327" s="154">
        <f>VLOOKUP(100*YEAR(A327)+MONTH(A327)-1,IPC!A$14:E$861,2)</f>
        <v>88.05</v>
      </c>
      <c r="H327" s="151">
        <f t="shared" ref="H327:H391" si="232">+$H$4</f>
        <v>105.29</v>
      </c>
      <c r="I327" s="153">
        <f t="shared" si="196"/>
        <v>3433015.8907225118</v>
      </c>
      <c r="J327" s="153">
        <f t="shared" ref="J327:J390" si="233">+I327-F327</f>
        <v>562116.00300176768</v>
      </c>
      <c r="K327" s="155">
        <f t="shared" si="230"/>
        <v>411961.90688670141</v>
      </c>
      <c r="L327" s="153">
        <f t="shared" si="231"/>
        <v>3021053.9838358103</v>
      </c>
      <c r="M327" s="184"/>
      <c r="N327" s="6"/>
    </row>
    <row r="328" spans="1:14" x14ac:dyDescent="0.35">
      <c r="A328" s="152">
        <f t="shared" si="217"/>
        <v>42401</v>
      </c>
      <c r="B328" s="152">
        <f t="shared" si="218"/>
        <v>42429</v>
      </c>
      <c r="C328" s="438"/>
      <c r="D328" s="149" t="s">
        <v>97</v>
      </c>
      <c r="E328" s="149">
        <f t="shared" si="227"/>
        <v>30</v>
      </c>
      <c r="F328" s="153">
        <f>IF(AND(A328&gt;=$F$1,B328&lt;=$F$2),((VLOOKUP(YEAR(B328),'DIF MES'!A$2:E$38,5)*E328)/30),0)</f>
        <v>2870899.8877207441</v>
      </c>
      <c r="G328" s="154">
        <f>VLOOKUP(100*YEAR(A328)+MONTH(A328)-1,IPC!A$14:E$861,2)</f>
        <v>89.19</v>
      </c>
      <c r="H328" s="151">
        <f t="shared" si="232"/>
        <v>105.29</v>
      </c>
      <c r="I328" s="153">
        <f t="shared" si="196"/>
        <v>3389136.1046991497</v>
      </c>
      <c r="J328" s="153">
        <f t="shared" si="233"/>
        <v>518236.2169784056</v>
      </c>
      <c r="K328" s="155">
        <f t="shared" si="230"/>
        <v>406696.33256389794</v>
      </c>
      <c r="L328" s="153">
        <f t="shared" si="231"/>
        <v>2982439.7721352517</v>
      </c>
      <c r="M328" s="184"/>
      <c r="N328" s="6"/>
    </row>
    <row r="329" spans="1:14" x14ac:dyDescent="0.35">
      <c r="A329" s="152">
        <f t="shared" si="217"/>
        <v>42430</v>
      </c>
      <c r="B329" s="152">
        <f t="shared" si="218"/>
        <v>42460</v>
      </c>
      <c r="C329" s="438"/>
      <c r="D329" s="149" t="s">
        <v>98</v>
      </c>
      <c r="E329" s="149">
        <f t="shared" si="227"/>
        <v>30</v>
      </c>
      <c r="F329" s="153">
        <f>IF(AND(A329&gt;=$F$1,B329&lt;=$F$2),((VLOOKUP(YEAR(B329),'DIF MES'!A$2:E$38,5)*E329)/30),0)</f>
        <v>2870899.8877207441</v>
      </c>
      <c r="G329" s="154">
        <f>VLOOKUP(100*YEAR(A329)+MONTH(A329)-1,IPC!A$14:E$861,2)</f>
        <v>90.33</v>
      </c>
      <c r="H329" s="151">
        <f t="shared" si="232"/>
        <v>105.29</v>
      </c>
      <c r="I329" s="153">
        <f t="shared" si="196"/>
        <v>3346363.878867676</v>
      </c>
      <c r="J329" s="153">
        <f t="shared" si="233"/>
        <v>475463.99114693189</v>
      </c>
      <c r="K329" s="155">
        <f t="shared" si="230"/>
        <v>401563.66546412109</v>
      </c>
      <c r="L329" s="153">
        <f t="shared" si="231"/>
        <v>2944800.2134035551</v>
      </c>
      <c r="M329" s="184"/>
      <c r="N329" s="6"/>
    </row>
    <row r="330" spans="1:14" x14ac:dyDescent="0.35">
      <c r="A330" s="152">
        <f t="shared" si="217"/>
        <v>42461</v>
      </c>
      <c r="B330" s="152">
        <f t="shared" si="218"/>
        <v>42490</v>
      </c>
      <c r="C330" s="438"/>
      <c r="D330" s="149" t="s">
        <v>99</v>
      </c>
      <c r="E330" s="149">
        <f t="shared" si="227"/>
        <v>30</v>
      </c>
      <c r="F330" s="153">
        <f>IF(AND(A330&gt;=$F$1,B330&lt;=$F$2),((VLOOKUP(YEAR(B330),'DIF MES'!A$2:E$38,5)*E330)/30),0)</f>
        <v>2870899.8877207441</v>
      </c>
      <c r="G330" s="154">
        <f>VLOOKUP(100*YEAR(A330)+MONTH(A330)-1,IPC!A$14:E$861,2)</f>
        <v>91.18</v>
      </c>
      <c r="H330" s="151">
        <f t="shared" si="232"/>
        <v>105.29</v>
      </c>
      <c r="I330" s="153">
        <f t="shared" si="196"/>
        <v>3315168.3393081506</v>
      </c>
      <c r="J330" s="153">
        <f t="shared" si="233"/>
        <v>444268.45158740645</v>
      </c>
      <c r="K330" s="155">
        <f t="shared" si="230"/>
        <v>397820.20071697806</v>
      </c>
      <c r="L330" s="153">
        <f t="shared" si="231"/>
        <v>2917348.1385911726</v>
      </c>
      <c r="M330" s="184"/>
      <c r="N330" s="6"/>
    </row>
    <row r="331" spans="1:14" x14ac:dyDescent="0.35">
      <c r="A331" s="152">
        <f t="shared" si="217"/>
        <v>42491</v>
      </c>
      <c r="B331" s="152">
        <f t="shared" si="218"/>
        <v>42521</v>
      </c>
      <c r="C331" s="438"/>
      <c r="D331" s="149" t="s">
        <v>100</v>
      </c>
      <c r="E331" s="149">
        <f t="shared" si="227"/>
        <v>30</v>
      </c>
      <c r="F331" s="153">
        <f>IF(AND(A331&gt;=$F$1,B331&lt;=$F$2),((VLOOKUP(YEAR(B331),'DIF MES'!A$2:E$38,5)*E331)/30),0)</f>
        <v>2870899.8877207441</v>
      </c>
      <c r="G331" s="154">
        <f>VLOOKUP(100*YEAR(A331)+MONTH(A331)-1,IPC!A$14:E$861,2)</f>
        <v>91.63</v>
      </c>
      <c r="H331" s="151">
        <f t="shared" si="232"/>
        <v>105.29</v>
      </c>
      <c r="I331" s="153">
        <f t="shared" si="196"/>
        <v>3298887.3641614881</v>
      </c>
      <c r="J331" s="153">
        <f t="shared" si="233"/>
        <v>427987.47644074401</v>
      </c>
      <c r="K331" s="155">
        <f t="shared" si="230"/>
        <v>395866.48369937856</v>
      </c>
      <c r="L331" s="153">
        <f t="shared" si="231"/>
        <v>2903020.8804621096</v>
      </c>
      <c r="M331" s="184"/>
      <c r="N331" s="6"/>
    </row>
    <row r="332" spans="1:14" x14ac:dyDescent="0.35">
      <c r="A332" s="156">
        <f t="shared" ref="A332" si="234">A333</f>
        <v>42522</v>
      </c>
      <c r="B332" s="156">
        <f t="shared" ref="B332" si="235">B333</f>
        <v>42551</v>
      </c>
      <c r="C332" s="438"/>
      <c r="D332" s="157" t="s">
        <v>101</v>
      </c>
      <c r="E332" s="157">
        <f t="shared" si="227"/>
        <v>30</v>
      </c>
      <c r="F332" s="153">
        <f>IF(AND(A332&gt;=$F$1,B332&lt;=$F$2),((VLOOKUP(YEAR(B332),'DIF MES'!A$2:E$38,5)*E332)/30),0)</f>
        <v>2870899.8877207441</v>
      </c>
      <c r="G332" s="158">
        <f>VLOOKUP(100*YEAR(A332)+MONTH(A332)-1,IPC!A$14:E$861,2)</f>
        <v>92.1</v>
      </c>
      <c r="H332" s="159">
        <f t="shared" si="232"/>
        <v>105.29</v>
      </c>
      <c r="I332" s="160">
        <f>F332*(H332/G332)</f>
        <v>3282052.6512281997</v>
      </c>
      <c r="J332" s="161">
        <f>+I332-F332</f>
        <v>411152.76350745559</v>
      </c>
      <c r="K332" s="162">
        <f>IF(D332="adicional", 0, +I332*0.12)</f>
        <v>0</v>
      </c>
      <c r="L332" s="161">
        <f>+I332-K332</f>
        <v>3282052.6512281997</v>
      </c>
      <c r="M332" s="184"/>
      <c r="N332" s="6"/>
    </row>
    <row r="333" spans="1:14" x14ac:dyDescent="0.35">
      <c r="A333" s="152">
        <f t="shared" ref="A333" si="236">IF(
AND(YEAR(B331)=YEAR(DATE(YEAR($F$1),MONTH($F$1)-1,1)),
MONTH(B331)=MONTH(DATE(YEAR($F$1),MONTH($F$1)-1,1))),
$F$1,
DATE(YEAR(B331),MONTH(B331)+1,1))</f>
        <v>42522</v>
      </c>
      <c r="B333" s="152">
        <f t="shared" ref="B333" si="237">IF(
AND(
YEAR(B331)=YEAR(DATE(YEAR($F$2),MONTH($F$2)-1,1)),
MONTH(B331)=MONTH(DATE(YEAR($F$2),MONTH($F$2)-1,1))
),
$F$2,
EOMONTH(B331,1)
)</f>
        <v>42551</v>
      </c>
      <c r="C333" s="438"/>
      <c r="D333" s="149" t="s">
        <v>102</v>
      </c>
      <c r="E333" s="149">
        <f t="shared" si="227"/>
        <v>30</v>
      </c>
      <c r="F333" s="153">
        <f>IF(AND(A333&gt;=$F$1,B333&lt;=$F$2),((VLOOKUP(YEAR(B333),'DIF MES'!A$2:E$38,5)*E333)/30),0)</f>
        <v>2870899.8877207441</v>
      </c>
      <c r="G333" s="154">
        <f>VLOOKUP(100*YEAR(A333)+MONTH(A333)-1,IPC!A$14:E$861,2)</f>
        <v>92.1</v>
      </c>
      <c r="H333" s="151">
        <f t="shared" si="232"/>
        <v>105.29</v>
      </c>
      <c r="I333" s="153">
        <f>F333*(H333/G333)</f>
        <v>3282052.6512281997</v>
      </c>
      <c r="J333" s="153">
        <f>+I333-F333</f>
        <v>411152.76350745559</v>
      </c>
      <c r="K333" s="155">
        <f>IF(D333="adicional", 0, +I333*0.12)</f>
        <v>393846.31814738398</v>
      </c>
      <c r="L333" s="153">
        <f>+I333-K333</f>
        <v>2888206.3330808156</v>
      </c>
      <c r="M333" s="184"/>
      <c r="N333" s="6"/>
    </row>
    <row r="334" spans="1:14" x14ac:dyDescent="0.35">
      <c r="A334" s="152">
        <f t="shared" si="223"/>
        <v>42552</v>
      </c>
      <c r="B334" s="152">
        <f t="shared" si="224"/>
        <v>42582</v>
      </c>
      <c r="C334" s="438"/>
      <c r="D334" s="149" t="s">
        <v>103</v>
      </c>
      <c r="E334" s="149">
        <f t="shared" si="227"/>
        <v>30</v>
      </c>
      <c r="F334" s="153">
        <f>IF(AND(A334&gt;=$F$1,B334&lt;=$F$2),((VLOOKUP(YEAR(B334),'DIF MES'!A$2:E$38,5)*E334)/30),0)</f>
        <v>2870899.8877207441</v>
      </c>
      <c r="G334" s="154">
        <f>VLOOKUP(100*YEAR(A334)+MONTH(A334)-1,IPC!A$14:E$861,2)</f>
        <v>92.54</v>
      </c>
      <c r="H334" s="151">
        <f t="shared" si="232"/>
        <v>105.29</v>
      </c>
      <c r="I334" s="153">
        <f t="shared" si="196"/>
        <v>3266447.4732884928</v>
      </c>
      <c r="J334" s="153">
        <f t="shared" si="233"/>
        <v>395547.58556774864</v>
      </c>
      <c r="K334" s="155">
        <f t="shared" si="230"/>
        <v>391973.69679461914</v>
      </c>
      <c r="L334" s="153">
        <f t="shared" si="231"/>
        <v>2874473.7764938734</v>
      </c>
      <c r="M334" s="184"/>
      <c r="N334" s="6"/>
    </row>
    <row r="335" spans="1:14" x14ac:dyDescent="0.35">
      <c r="A335" s="152">
        <f t="shared" si="223"/>
        <v>42583</v>
      </c>
      <c r="B335" s="152">
        <f t="shared" si="224"/>
        <v>42613</v>
      </c>
      <c r="C335" s="438"/>
      <c r="D335" s="149" t="s">
        <v>104</v>
      </c>
      <c r="E335" s="149">
        <f t="shared" si="227"/>
        <v>30</v>
      </c>
      <c r="F335" s="153">
        <f>IF(AND(A335&gt;=$F$1,B335&lt;=$F$2),((VLOOKUP(YEAR(B335),'DIF MES'!A$2:E$38,5)*E335)/30),0)</f>
        <v>2870899.8877207441</v>
      </c>
      <c r="G335" s="154">
        <f>VLOOKUP(100*YEAR(A335)+MONTH(A335)-1,IPC!A$14:E$861,2)</f>
        <v>93.02</v>
      </c>
      <c r="H335" s="151">
        <f t="shared" si="232"/>
        <v>105.29</v>
      </c>
      <c r="I335" s="153">
        <f t="shared" si="196"/>
        <v>3249592.0143852634</v>
      </c>
      <c r="J335" s="153">
        <f t="shared" si="233"/>
        <v>378692.12666451931</v>
      </c>
      <c r="K335" s="155">
        <f t="shared" si="230"/>
        <v>389951.04172623158</v>
      </c>
      <c r="L335" s="153">
        <f t="shared" si="231"/>
        <v>2859640.9726590319</v>
      </c>
      <c r="M335" s="184"/>
      <c r="N335" s="6"/>
    </row>
    <row r="336" spans="1:14" ht="20" x14ac:dyDescent="0.35">
      <c r="A336" s="152">
        <f t="shared" si="223"/>
        <v>42614</v>
      </c>
      <c r="B336" s="152">
        <f t="shared" si="224"/>
        <v>42643</v>
      </c>
      <c r="C336" s="438"/>
      <c r="D336" s="149" t="s">
        <v>105</v>
      </c>
      <c r="E336" s="149">
        <f t="shared" si="227"/>
        <v>30</v>
      </c>
      <c r="F336" s="153">
        <f>IF(AND(A336&gt;=$F$1,B336&lt;=$F$2),((VLOOKUP(YEAR(B336),'DIF MES'!A$2:E$38,5)*E336)/30),0)</f>
        <v>2870899.8877207441</v>
      </c>
      <c r="G336" s="154">
        <f>VLOOKUP(100*YEAR(A336)+MONTH(A336)-1,IPC!A$14:E$861,2)</f>
        <v>92.73</v>
      </c>
      <c r="H336" s="151">
        <f t="shared" si="232"/>
        <v>105.29</v>
      </c>
      <c r="I336" s="153">
        <f t="shared" si="196"/>
        <v>3259754.6552153258</v>
      </c>
      <c r="J336" s="153">
        <f t="shared" si="233"/>
        <v>388854.76749458164</v>
      </c>
      <c r="K336" s="155">
        <f t="shared" si="230"/>
        <v>391170.55862583907</v>
      </c>
      <c r="L336" s="153">
        <f t="shared" si="231"/>
        <v>2868584.0965894866</v>
      </c>
      <c r="M336" s="184"/>
      <c r="N336" s="6"/>
    </row>
    <row r="337" spans="1:14" x14ac:dyDescent="0.35">
      <c r="A337" s="152">
        <f t="shared" si="223"/>
        <v>42644</v>
      </c>
      <c r="B337" s="152">
        <f t="shared" si="224"/>
        <v>42674</v>
      </c>
      <c r="C337" s="438"/>
      <c r="D337" s="149" t="s">
        <v>106</v>
      </c>
      <c r="E337" s="149">
        <f t="shared" si="227"/>
        <v>30</v>
      </c>
      <c r="F337" s="153">
        <f>IF(AND(A337&gt;=$F$1,B337&lt;=$F$2),((VLOOKUP(YEAR(B337),'DIF MES'!A$2:E$38,5)*E337)/30),0)</f>
        <v>2870899.8877207441</v>
      </c>
      <c r="G337" s="154">
        <f>VLOOKUP(100*YEAR(A337)+MONTH(A337)-1,IPC!A$14:E$861,2)</f>
        <v>92.68</v>
      </c>
      <c r="H337" s="151">
        <f t="shared" si="232"/>
        <v>105.29</v>
      </c>
      <c r="I337" s="153">
        <f t="shared" si="196"/>
        <v>3261513.2626037672</v>
      </c>
      <c r="J337" s="153">
        <f t="shared" si="233"/>
        <v>390613.37488302309</v>
      </c>
      <c r="K337" s="155">
        <f t="shared" si="230"/>
        <v>391381.59151245205</v>
      </c>
      <c r="L337" s="153">
        <f t="shared" si="231"/>
        <v>2870131.6710913153</v>
      </c>
      <c r="M337" s="184"/>
      <c r="N337" s="6"/>
    </row>
    <row r="338" spans="1:14" x14ac:dyDescent="0.35">
      <c r="A338" s="152">
        <f t="shared" si="223"/>
        <v>42675</v>
      </c>
      <c r="B338" s="152">
        <f t="shared" si="224"/>
        <v>42704</v>
      </c>
      <c r="C338" s="438"/>
      <c r="D338" s="149" t="s">
        <v>107</v>
      </c>
      <c r="E338" s="149">
        <f t="shared" si="227"/>
        <v>30</v>
      </c>
      <c r="F338" s="153">
        <f>IF(AND(A338&gt;=$F$1,B338&lt;=$F$2),((VLOOKUP(YEAR(B338),'DIF MES'!A$2:E$38,5)*E338)/30),0)</f>
        <v>2870899.8877207441</v>
      </c>
      <c r="G338" s="154">
        <f>VLOOKUP(100*YEAR(A338)+MONTH(A338)-1,IPC!A$14:E$861,2)</f>
        <v>92.62</v>
      </c>
      <c r="H338" s="151">
        <f t="shared" si="232"/>
        <v>105.29</v>
      </c>
      <c r="I338" s="153">
        <f t="shared" si="196"/>
        <v>3263626.0977987167</v>
      </c>
      <c r="J338" s="153">
        <f t="shared" si="233"/>
        <v>392726.21007797262</v>
      </c>
      <c r="K338" s="155">
        <f t="shared" si="230"/>
        <v>391635.13173584599</v>
      </c>
      <c r="L338" s="153">
        <f t="shared" si="231"/>
        <v>2871990.9660628708</v>
      </c>
      <c r="M338" s="184"/>
      <c r="N338" s="6"/>
    </row>
    <row r="339" spans="1:14" x14ac:dyDescent="0.35">
      <c r="A339" s="156">
        <f t="shared" ref="A339" si="238">A338</f>
        <v>42675</v>
      </c>
      <c r="B339" s="156">
        <f t="shared" ref="B339" si="239">B338</f>
        <v>42704</v>
      </c>
      <c r="C339" s="438"/>
      <c r="D339" s="157" t="s">
        <v>101</v>
      </c>
      <c r="E339" s="157">
        <f t="shared" si="227"/>
        <v>30</v>
      </c>
      <c r="F339" s="153">
        <f>IF(AND(A339&gt;=$F$1,B339&lt;=$F$2),((VLOOKUP(YEAR(B339),'DIF MES'!A$2:E$38,5)*E339)/30),0)</f>
        <v>2870899.8877207441</v>
      </c>
      <c r="G339" s="158">
        <f>VLOOKUP(100*YEAR(A339)+MONTH(A339)-1,IPC!A$14:E$861,2)</f>
        <v>92.62</v>
      </c>
      <c r="H339" s="159">
        <f t="shared" si="232"/>
        <v>105.29</v>
      </c>
      <c r="I339" s="161">
        <f t="shared" si="196"/>
        <v>3263626.0977987167</v>
      </c>
      <c r="J339" s="161">
        <f t="shared" si="233"/>
        <v>392726.21007797262</v>
      </c>
      <c r="K339" s="162">
        <f t="shared" si="230"/>
        <v>0</v>
      </c>
      <c r="L339" s="161">
        <f t="shared" si="231"/>
        <v>3263626.0977987167</v>
      </c>
      <c r="M339" s="184"/>
      <c r="N339" s="6"/>
    </row>
    <row r="340" spans="1:14" x14ac:dyDescent="0.35">
      <c r="A340" s="152">
        <f t="shared" ref="A340" si="240">IF(
AND(YEAR(B338)=YEAR(DATE(YEAR($F$1),MONTH($F$1)-1,1)),
MONTH(B338)=MONTH(DATE(YEAR($F$1),MONTH($F$1)-1,1))),
$F$1,
DATE(YEAR(B338),MONTH(B338)+1,1))</f>
        <v>42705</v>
      </c>
      <c r="B340" s="152">
        <f t="shared" ref="B340" si="241">IF(
AND(
YEAR(B338)=YEAR(DATE(YEAR($F$2),MONTH($F$2)-1,1)),
MONTH(B338)=MONTH(DATE(YEAR($F$2),MONTH($F$2)-1,1))
),
$F$2,
EOMONTH(B338,1)
)</f>
        <v>42735</v>
      </c>
      <c r="C340" s="439"/>
      <c r="D340" s="149" t="s">
        <v>108</v>
      </c>
      <c r="E340" s="149">
        <f t="shared" si="227"/>
        <v>30</v>
      </c>
      <c r="F340" s="153">
        <f>IF(AND(A340&gt;=$F$1,B340&lt;=$F$2),((VLOOKUP(YEAR(B340),'DIF MES'!A$2:E$38,5)*E340)/30),0)</f>
        <v>2870899.8877207441</v>
      </c>
      <c r="G340" s="154">
        <f>VLOOKUP(100*YEAR(A340)+MONTH(A340)-1,IPC!A$14:E$861,2)</f>
        <v>92.73</v>
      </c>
      <c r="H340" s="151">
        <f t="shared" si="232"/>
        <v>105.29</v>
      </c>
      <c r="I340" s="153">
        <f t="shared" si="196"/>
        <v>3259754.6552153258</v>
      </c>
      <c r="J340" s="153">
        <f t="shared" si="233"/>
        <v>388854.76749458164</v>
      </c>
      <c r="K340" s="155">
        <f t="shared" si="230"/>
        <v>391170.55862583907</v>
      </c>
      <c r="L340" s="153">
        <f t="shared" si="231"/>
        <v>2868584.0965894866</v>
      </c>
      <c r="M340" s="184"/>
      <c r="N340" s="6"/>
    </row>
    <row r="341" spans="1:14" x14ac:dyDescent="0.35">
      <c r="A341" s="152">
        <f t="shared" si="217"/>
        <v>42736</v>
      </c>
      <c r="B341" s="152">
        <f t="shared" si="218"/>
        <v>42766</v>
      </c>
      <c r="C341" s="437">
        <v>2017</v>
      </c>
      <c r="D341" s="149" t="s">
        <v>96</v>
      </c>
      <c r="E341" s="149">
        <f t="shared" si="227"/>
        <v>30</v>
      </c>
      <c r="F341" s="153">
        <f>IF(AND(A341&gt;=$F$1,B341&lt;=$F$2),((VLOOKUP(YEAR(B341),'DIF MES'!A$2:E$38,5)*E341)/30),0)</f>
        <v>3035976.6312646871</v>
      </c>
      <c r="G341" s="154">
        <f>VLOOKUP(100*YEAR(A341)+MONTH(A341)-1,IPC!A$14:E$861,2)</f>
        <v>93.11</v>
      </c>
      <c r="H341" s="151">
        <f t="shared" si="232"/>
        <v>105.29</v>
      </c>
      <c r="I341" s="153">
        <f t="shared" si="196"/>
        <v>3433121.8935222737</v>
      </c>
      <c r="J341" s="153">
        <f t="shared" si="233"/>
        <v>397145.2622575867</v>
      </c>
      <c r="K341" s="155">
        <f t="shared" si="230"/>
        <v>411974.62722267286</v>
      </c>
      <c r="L341" s="153">
        <f t="shared" si="231"/>
        <v>3021147.2662996007</v>
      </c>
      <c r="M341" s="184"/>
      <c r="N341" s="6"/>
    </row>
    <row r="342" spans="1:14" x14ac:dyDescent="0.35">
      <c r="A342" s="152">
        <f t="shared" si="217"/>
        <v>42767</v>
      </c>
      <c r="B342" s="152">
        <f t="shared" si="218"/>
        <v>42794</v>
      </c>
      <c r="C342" s="438"/>
      <c r="D342" s="149" t="s">
        <v>97</v>
      </c>
      <c r="E342" s="149">
        <f t="shared" si="227"/>
        <v>30</v>
      </c>
      <c r="F342" s="153">
        <f>IF(AND(A342&gt;=$F$1,B342&lt;=$F$2),((VLOOKUP(YEAR(B342),'DIF MES'!A$2:E$38,5)*E342)/30),0)</f>
        <v>3035976.6312646871</v>
      </c>
      <c r="G342" s="154">
        <f>VLOOKUP(100*YEAR(A342)+MONTH(A342)-1,IPC!A$14:E$861,2)</f>
        <v>94.07</v>
      </c>
      <c r="H342" s="151">
        <f t="shared" si="232"/>
        <v>105.29</v>
      </c>
      <c r="I342" s="153">
        <f t="shared" si="196"/>
        <v>3398086.3134459332</v>
      </c>
      <c r="J342" s="153">
        <f t="shared" si="233"/>
        <v>362109.68218124611</v>
      </c>
      <c r="K342" s="155">
        <f t="shared" si="230"/>
        <v>407770.35761351197</v>
      </c>
      <c r="L342" s="153">
        <f t="shared" si="231"/>
        <v>2990315.9558324213</v>
      </c>
      <c r="M342" s="184"/>
      <c r="N342" s="6"/>
    </row>
    <row r="343" spans="1:14" x14ac:dyDescent="0.35">
      <c r="A343" s="152">
        <f t="shared" si="217"/>
        <v>42795</v>
      </c>
      <c r="B343" s="152">
        <f t="shared" si="218"/>
        <v>42825</v>
      </c>
      <c r="C343" s="438"/>
      <c r="D343" s="149" t="s">
        <v>98</v>
      </c>
      <c r="E343" s="149">
        <f t="shared" si="227"/>
        <v>30</v>
      </c>
      <c r="F343" s="153">
        <f>IF(AND(A343&gt;=$F$1,B343&lt;=$F$2),((VLOOKUP(YEAR(B343),'DIF MES'!A$2:E$38,5)*E343)/30),0)</f>
        <v>3035976.6312646871</v>
      </c>
      <c r="G343" s="154">
        <f>VLOOKUP(100*YEAR(A343)+MONTH(A343)-1,IPC!A$14:E$861,2)</f>
        <v>95.01</v>
      </c>
      <c r="H343" s="151">
        <f t="shared" si="232"/>
        <v>105.29</v>
      </c>
      <c r="I343" s="153">
        <f t="shared" si="196"/>
        <v>3364466.6825161446</v>
      </c>
      <c r="J343" s="153">
        <f t="shared" si="233"/>
        <v>328490.05125145754</v>
      </c>
      <c r="K343" s="155">
        <f t="shared" si="230"/>
        <v>403736.00190193736</v>
      </c>
      <c r="L343" s="153">
        <f t="shared" si="231"/>
        <v>2960730.6806142074</v>
      </c>
      <c r="M343" s="184"/>
      <c r="N343" s="6"/>
    </row>
    <row r="344" spans="1:14" x14ac:dyDescent="0.35">
      <c r="A344" s="152">
        <f t="shared" si="217"/>
        <v>42826</v>
      </c>
      <c r="B344" s="152">
        <f t="shared" si="218"/>
        <v>42855</v>
      </c>
      <c r="C344" s="438"/>
      <c r="D344" s="149" t="s">
        <v>99</v>
      </c>
      <c r="E344" s="149">
        <f t="shared" si="227"/>
        <v>30</v>
      </c>
      <c r="F344" s="153">
        <f>IF(AND(A344&gt;=$F$1,B344&lt;=$F$2),((VLOOKUP(YEAR(B344),'DIF MES'!A$2:E$38,5)*E344)/30),0)</f>
        <v>3035976.6312646871</v>
      </c>
      <c r="G344" s="154">
        <f>VLOOKUP(100*YEAR(A344)+MONTH(A344)-1,IPC!A$14:E$861,2)</f>
        <v>95.46</v>
      </c>
      <c r="H344" s="151">
        <f t="shared" si="232"/>
        <v>105.29</v>
      </c>
      <c r="I344" s="153">
        <f t="shared" si="196"/>
        <v>3348606.5315929074</v>
      </c>
      <c r="J344" s="153">
        <f t="shared" si="233"/>
        <v>312629.90032822033</v>
      </c>
      <c r="K344" s="155">
        <f t="shared" si="230"/>
        <v>401832.78379114886</v>
      </c>
      <c r="L344" s="153">
        <f t="shared" si="231"/>
        <v>2946773.7478017583</v>
      </c>
      <c r="M344" s="184"/>
      <c r="N344" s="6"/>
    </row>
    <row r="345" spans="1:14" x14ac:dyDescent="0.35">
      <c r="A345" s="152">
        <f t="shared" si="217"/>
        <v>42856</v>
      </c>
      <c r="B345" s="152">
        <f t="shared" si="218"/>
        <v>42886</v>
      </c>
      <c r="C345" s="438"/>
      <c r="D345" s="149" t="s">
        <v>100</v>
      </c>
      <c r="E345" s="149">
        <f t="shared" si="227"/>
        <v>30</v>
      </c>
      <c r="F345" s="153">
        <f>IF(AND(A345&gt;=$F$1,B345&lt;=$F$2),((VLOOKUP(YEAR(B345),'DIF MES'!A$2:E$38,5)*E345)/30),0)</f>
        <v>3035976.6312646871</v>
      </c>
      <c r="G345" s="154">
        <f>VLOOKUP(100*YEAR(A345)+MONTH(A345)-1,IPC!A$14:E$861,2)</f>
        <v>95.91</v>
      </c>
      <c r="H345" s="151">
        <f t="shared" si="232"/>
        <v>105.29</v>
      </c>
      <c r="I345" s="153">
        <f t="shared" si="196"/>
        <v>3332895.2091112393</v>
      </c>
      <c r="J345" s="153">
        <f t="shared" si="233"/>
        <v>296918.57784655225</v>
      </c>
      <c r="K345" s="155">
        <f t="shared" si="230"/>
        <v>399947.42509334872</v>
      </c>
      <c r="L345" s="153">
        <f t="shared" si="231"/>
        <v>2932947.7840178907</v>
      </c>
      <c r="M345" s="184"/>
      <c r="N345" s="6"/>
    </row>
    <row r="346" spans="1:14" x14ac:dyDescent="0.35">
      <c r="A346" s="156">
        <f t="shared" ref="A346" si="242">A347</f>
        <v>42887</v>
      </c>
      <c r="B346" s="156">
        <f t="shared" ref="B346" si="243">B347</f>
        <v>42916</v>
      </c>
      <c r="C346" s="438"/>
      <c r="D346" s="157" t="s">
        <v>101</v>
      </c>
      <c r="E346" s="157">
        <f t="shared" si="227"/>
        <v>30</v>
      </c>
      <c r="F346" s="153">
        <f>IF(AND(A346&gt;=$F$1,B346&lt;=$F$2),((VLOOKUP(YEAR(B346),'DIF MES'!A$2:E$38,5)*E346)/30),0)</f>
        <v>3035976.6312646871</v>
      </c>
      <c r="G346" s="158">
        <f>VLOOKUP(100*YEAR(A346)+MONTH(A346)-1,IPC!A$14:E$861,2)</f>
        <v>96.12</v>
      </c>
      <c r="H346" s="159">
        <f t="shared" si="232"/>
        <v>105.29</v>
      </c>
      <c r="I346" s="160">
        <f>F346*(H346/G346)</f>
        <v>3325613.6028491356</v>
      </c>
      <c r="J346" s="161">
        <f>+I346-F346</f>
        <v>289636.97158444859</v>
      </c>
      <c r="K346" s="162">
        <f>IF(D346="adicional", 0, +I346*0.12)</f>
        <v>0</v>
      </c>
      <c r="L346" s="161">
        <f>+I346-K346</f>
        <v>3325613.6028491356</v>
      </c>
      <c r="M346" s="184"/>
      <c r="N346" s="6"/>
    </row>
    <row r="347" spans="1:14" x14ac:dyDescent="0.35">
      <c r="A347" s="152">
        <f t="shared" ref="A347" si="244">IF(
AND(YEAR(B345)=YEAR(DATE(YEAR($F$1),MONTH($F$1)-1,1)),
MONTH(B345)=MONTH(DATE(YEAR($F$1),MONTH($F$1)-1,1))),
$F$1,
DATE(YEAR(B345),MONTH(B345)+1,1))</f>
        <v>42887</v>
      </c>
      <c r="B347" s="152">
        <f t="shared" ref="B347" si="245">IF(
AND(
YEAR(B345)=YEAR(DATE(YEAR($F$2),MONTH($F$2)-1,1)),
MONTH(B345)=MONTH(DATE(YEAR($F$2),MONTH($F$2)-1,1))
),
$F$2,
EOMONTH(B345,1)
)</f>
        <v>42916</v>
      </c>
      <c r="C347" s="438"/>
      <c r="D347" s="149" t="s">
        <v>102</v>
      </c>
      <c r="E347" s="149">
        <f t="shared" si="227"/>
        <v>30</v>
      </c>
      <c r="F347" s="153">
        <f>IF(AND(A347&gt;=$F$1,B347&lt;=$F$2),((VLOOKUP(YEAR(B347),'DIF MES'!A$2:E$38,5)*E347)/30),0)</f>
        <v>3035976.6312646871</v>
      </c>
      <c r="G347" s="154">
        <f>VLOOKUP(100*YEAR(A347)+MONTH(A347)-1,IPC!A$14:E$861,2)</f>
        <v>96.12</v>
      </c>
      <c r="H347" s="151">
        <f t="shared" si="232"/>
        <v>105.29</v>
      </c>
      <c r="I347" s="153">
        <f>F347*(H347/G347)</f>
        <v>3325613.6028491356</v>
      </c>
      <c r="J347" s="153">
        <f>+I347-F347</f>
        <v>289636.97158444859</v>
      </c>
      <c r="K347" s="155">
        <f>IF(D347="adicional", 0, +I347*0.12)</f>
        <v>399073.63234189624</v>
      </c>
      <c r="L347" s="153">
        <f>+I347-K347</f>
        <v>2926539.9705072395</v>
      </c>
      <c r="M347" s="184"/>
      <c r="N347" s="6"/>
    </row>
    <row r="348" spans="1:14" x14ac:dyDescent="0.35">
      <c r="A348" s="152">
        <f t="shared" si="223"/>
        <v>42917</v>
      </c>
      <c r="B348" s="152">
        <f t="shared" si="224"/>
        <v>42947</v>
      </c>
      <c r="C348" s="438"/>
      <c r="D348" s="149" t="s">
        <v>103</v>
      </c>
      <c r="E348" s="149">
        <f t="shared" si="227"/>
        <v>30</v>
      </c>
      <c r="F348" s="153">
        <f>IF(AND(A348&gt;=$F$1,B348&lt;=$F$2),((VLOOKUP(YEAR(B348),'DIF MES'!A$2:E$38,5)*E348)/30),0)</f>
        <v>3035976.6312646871</v>
      </c>
      <c r="G348" s="154">
        <f>VLOOKUP(100*YEAR(A348)+MONTH(A348)-1,IPC!A$14:E$861,2)</f>
        <v>96.23</v>
      </c>
      <c r="H348" s="151">
        <f t="shared" si="232"/>
        <v>105.29</v>
      </c>
      <c r="I348" s="153">
        <f t="shared" ref="I348:I409" si="246">F348*(H348/G348)</f>
        <v>3321812.1116684913</v>
      </c>
      <c r="J348" s="153">
        <f t="shared" si="233"/>
        <v>285835.48040380422</v>
      </c>
      <c r="K348" s="155">
        <f t="shared" si="230"/>
        <v>398617.45340021892</v>
      </c>
      <c r="L348" s="153">
        <f t="shared" si="231"/>
        <v>2923194.6582682724</v>
      </c>
      <c r="M348" s="184"/>
      <c r="N348" s="6"/>
    </row>
    <row r="349" spans="1:14" x14ac:dyDescent="0.35">
      <c r="A349" s="152">
        <f t="shared" si="223"/>
        <v>42948</v>
      </c>
      <c r="B349" s="152">
        <f t="shared" si="224"/>
        <v>42978</v>
      </c>
      <c r="C349" s="438"/>
      <c r="D349" s="149" t="s">
        <v>104</v>
      </c>
      <c r="E349" s="149">
        <f t="shared" si="227"/>
        <v>30</v>
      </c>
      <c r="F349" s="153">
        <f>IF(AND(A349&gt;=$F$1,B349&lt;=$F$2),((VLOOKUP(YEAR(B349),'DIF MES'!A$2:E$38,5)*E349)/30),0)</f>
        <v>3035976.6312646871</v>
      </c>
      <c r="G349" s="154">
        <f>VLOOKUP(100*YEAR(A349)+MONTH(A349)-1,IPC!A$14:E$861,2)</f>
        <v>96.18</v>
      </c>
      <c r="H349" s="151">
        <f t="shared" si="232"/>
        <v>105.29</v>
      </c>
      <c r="I349" s="153">
        <f t="shared" si="246"/>
        <v>3323538.9842572142</v>
      </c>
      <c r="J349" s="153">
        <f t="shared" si="233"/>
        <v>287562.35299252719</v>
      </c>
      <c r="K349" s="155">
        <f t="shared" si="230"/>
        <v>398824.6781108657</v>
      </c>
      <c r="L349" s="153">
        <f t="shared" si="231"/>
        <v>2924714.3061463484</v>
      </c>
      <c r="M349" s="184"/>
      <c r="N349" s="6"/>
    </row>
    <row r="350" spans="1:14" ht="20" x14ac:dyDescent="0.35">
      <c r="A350" s="152">
        <f t="shared" si="223"/>
        <v>42979</v>
      </c>
      <c r="B350" s="152">
        <f t="shared" si="224"/>
        <v>43008</v>
      </c>
      <c r="C350" s="438"/>
      <c r="D350" s="149" t="s">
        <v>105</v>
      </c>
      <c r="E350" s="149">
        <f t="shared" si="227"/>
        <v>30</v>
      </c>
      <c r="F350" s="153">
        <f>IF(AND(A350&gt;=$F$1,B350&lt;=$F$2),((VLOOKUP(YEAR(B350),'DIF MES'!A$2:E$38,5)*E350)/30),0)</f>
        <v>3035976.6312646871</v>
      </c>
      <c r="G350" s="154">
        <f>VLOOKUP(100*YEAR(A350)+MONTH(A350)-1,IPC!A$14:E$861,2)</f>
        <v>96.32</v>
      </c>
      <c r="H350" s="151">
        <f t="shared" si="232"/>
        <v>105.29</v>
      </c>
      <c r="I350" s="153">
        <f t="shared" si="246"/>
        <v>3318708.2589893993</v>
      </c>
      <c r="J350" s="153">
        <f t="shared" si="233"/>
        <v>282731.62772471225</v>
      </c>
      <c r="K350" s="155">
        <f t="shared" si="230"/>
        <v>398244.99107872788</v>
      </c>
      <c r="L350" s="153">
        <f t="shared" si="231"/>
        <v>2920463.2679106714</v>
      </c>
      <c r="M350" s="184"/>
      <c r="N350" s="6"/>
    </row>
    <row r="351" spans="1:14" x14ac:dyDescent="0.35">
      <c r="A351" s="152">
        <f t="shared" si="223"/>
        <v>43009</v>
      </c>
      <c r="B351" s="152">
        <f t="shared" si="224"/>
        <v>43039</v>
      </c>
      <c r="C351" s="438"/>
      <c r="D351" s="149" t="s">
        <v>106</v>
      </c>
      <c r="E351" s="149">
        <f t="shared" si="227"/>
        <v>30</v>
      </c>
      <c r="F351" s="153">
        <f>IF(AND(A351&gt;=$F$1,B351&lt;=$F$2),((VLOOKUP(YEAR(B351),'DIF MES'!A$2:E$38,5)*E351)/30),0)</f>
        <v>3035976.6312646871</v>
      </c>
      <c r="G351" s="154">
        <f>VLOOKUP(100*YEAR(A351)+MONTH(A351)-1,IPC!A$14:E$861,2)</f>
        <v>96.36</v>
      </c>
      <c r="H351" s="151">
        <f t="shared" si="232"/>
        <v>105.29</v>
      </c>
      <c r="I351" s="153">
        <f t="shared" si="246"/>
        <v>3317330.6299902336</v>
      </c>
      <c r="J351" s="153">
        <f t="shared" si="233"/>
        <v>281353.99872554652</v>
      </c>
      <c r="K351" s="155">
        <f t="shared" si="230"/>
        <v>398079.67559882801</v>
      </c>
      <c r="L351" s="153">
        <f t="shared" si="231"/>
        <v>2919250.9543914055</v>
      </c>
      <c r="M351" s="184"/>
      <c r="N351" s="6"/>
    </row>
    <row r="352" spans="1:14" x14ac:dyDescent="0.35">
      <c r="A352" s="152">
        <f t="shared" si="223"/>
        <v>43040</v>
      </c>
      <c r="B352" s="152">
        <f t="shared" si="224"/>
        <v>43069</v>
      </c>
      <c r="C352" s="438"/>
      <c r="D352" s="149" t="s">
        <v>107</v>
      </c>
      <c r="E352" s="149">
        <f t="shared" si="227"/>
        <v>30</v>
      </c>
      <c r="F352" s="153">
        <f>IF(AND(A352&gt;=$F$1,B352&lt;=$F$2),((VLOOKUP(YEAR(B352),'DIF MES'!A$2:E$38,5)*E352)/30),0)</f>
        <v>3035976.6312646871</v>
      </c>
      <c r="G352" s="154">
        <f>VLOOKUP(100*YEAR(A352)+MONTH(A352)-1,IPC!A$14:E$861,2)</f>
        <v>96.37</v>
      </c>
      <c r="H352" s="151">
        <f t="shared" si="232"/>
        <v>105.29</v>
      </c>
      <c r="I352" s="153">
        <f t="shared" si="246"/>
        <v>3316986.401430517</v>
      </c>
      <c r="J352" s="153">
        <f t="shared" si="233"/>
        <v>281009.77016582992</v>
      </c>
      <c r="K352" s="155">
        <f t="shared" si="230"/>
        <v>398038.36817166203</v>
      </c>
      <c r="L352" s="153">
        <f t="shared" si="231"/>
        <v>2918948.0332588549</v>
      </c>
      <c r="M352" s="184"/>
      <c r="N352" s="6"/>
    </row>
    <row r="353" spans="1:14" x14ac:dyDescent="0.35">
      <c r="A353" s="156">
        <f t="shared" ref="A353" si="247">A352</f>
        <v>43040</v>
      </c>
      <c r="B353" s="156">
        <f t="shared" ref="B353" si="248">B352</f>
        <v>43069</v>
      </c>
      <c r="C353" s="438"/>
      <c r="D353" s="157" t="s">
        <v>101</v>
      </c>
      <c r="E353" s="157">
        <f t="shared" si="227"/>
        <v>30</v>
      </c>
      <c r="F353" s="153">
        <f>IF(AND(A353&gt;=$F$1,B353&lt;=$F$2),((VLOOKUP(YEAR(B353),'DIF MES'!A$2:E$38,5)*E353)/30),0)</f>
        <v>3035976.6312646871</v>
      </c>
      <c r="G353" s="158">
        <f>VLOOKUP(100*YEAR(A353)+MONTH(A353)-1,IPC!A$14:E$861,2)</f>
        <v>96.37</v>
      </c>
      <c r="H353" s="159">
        <f t="shared" si="232"/>
        <v>105.29</v>
      </c>
      <c r="I353" s="161">
        <f t="shared" si="246"/>
        <v>3316986.401430517</v>
      </c>
      <c r="J353" s="161">
        <f t="shared" si="233"/>
        <v>281009.77016582992</v>
      </c>
      <c r="K353" s="162">
        <f t="shared" si="230"/>
        <v>0</v>
      </c>
      <c r="L353" s="161">
        <f t="shared" si="231"/>
        <v>3316986.401430517</v>
      </c>
      <c r="M353" s="184"/>
      <c r="N353" s="6"/>
    </row>
    <row r="354" spans="1:14" x14ac:dyDescent="0.35">
      <c r="A354" s="152">
        <f t="shared" ref="A354" si="249">IF(
AND(YEAR(B352)=YEAR(DATE(YEAR($F$1),MONTH($F$1)-1,1)),
MONTH(B352)=MONTH(DATE(YEAR($F$1),MONTH($F$1)-1,1))),
$F$1,
DATE(YEAR(B352),MONTH(B352)+1,1))</f>
        <v>43070</v>
      </c>
      <c r="B354" s="152">
        <f t="shared" ref="B354" si="250">IF(
AND(
YEAR(B352)=YEAR(DATE(YEAR($F$2),MONTH($F$2)-1,1)),
MONTH(B352)=MONTH(DATE(YEAR($F$2),MONTH($F$2)-1,1))
),
$F$2,
EOMONTH(B352,1)
)</f>
        <v>43100</v>
      </c>
      <c r="C354" s="439"/>
      <c r="D354" s="149" t="s">
        <v>108</v>
      </c>
      <c r="E354" s="149">
        <f t="shared" si="227"/>
        <v>30</v>
      </c>
      <c r="F354" s="153">
        <f>IF(AND(A354&gt;=$F$1,B354&lt;=$F$2),((VLOOKUP(YEAR(B354),'DIF MES'!A$2:E$38,5)*E354)/30),0)</f>
        <v>3035976.6312646871</v>
      </c>
      <c r="G354" s="154">
        <f>VLOOKUP(100*YEAR(A354)+MONTH(A354)-1,IPC!A$14:E$861,2)</f>
        <v>96.55</v>
      </c>
      <c r="H354" s="151">
        <f t="shared" si="232"/>
        <v>105.29</v>
      </c>
      <c r="I354" s="153">
        <f t="shared" si="246"/>
        <v>3310802.4806406936</v>
      </c>
      <c r="J354" s="153">
        <f t="shared" si="233"/>
        <v>274825.84937600652</v>
      </c>
      <c r="K354" s="155">
        <f t="shared" si="230"/>
        <v>397296.29767688323</v>
      </c>
      <c r="L354" s="153">
        <f t="shared" si="231"/>
        <v>2913506.1829638104</v>
      </c>
      <c r="M354" s="184"/>
      <c r="N354" s="6"/>
    </row>
    <row r="355" spans="1:14" x14ac:dyDescent="0.35">
      <c r="A355" s="152">
        <f t="shared" si="217"/>
        <v>43101</v>
      </c>
      <c r="B355" s="152">
        <f t="shared" si="218"/>
        <v>43131</v>
      </c>
      <c r="C355" s="437">
        <v>2018</v>
      </c>
      <c r="D355" s="149" t="s">
        <v>96</v>
      </c>
      <c r="E355" s="149">
        <f t="shared" si="227"/>
        <v>30</v>
      </c>
      <c r="F355" s="153">
        <f>IF(AND(A355&gt;=$F$1,B355&lt;=$F$2),((VLOOKUP(YEAR(B355),'DIF MES'!A$2:E$38,5)*E355)/30),0)</f>
        <v>3160148.0754834125</v>
      </c>
      <c r="G355" s="154">
        <f>VLOOKUP(100*YEAR(A355)+MONTH(A355)-1,IPC!A$14:E$861,2)</f>
        <v>96.92</v>
      </c>
      <c r="H355" s="151">
        <f t="shared" si="232"/>
        <v>105.29</v>
      </c>
      <c r="I355" s="153">
        <f t="shared" si="246"/>
        <v>3433058.0980979009</v>
      </c>
      <c r="J355" s="153">
        <f t="shared" si="233"/>
        <v>272910.02261448838</v>
      </c>
      <c r="K355" s="155">
        <f t="shared" si="230"/>
        <v>411966.9717717481</v>
      </c>
      <c r="L355" s="153">
        <f t="shared" si="231"/>
        <v>3021091.1263261526</v>
      </c>
      <c r="M355" s="184"/>
      <c r="N355" s="6"/>
    </row>
    <row r="356" spans="1:14" x14ac:dyDescent="0.35">
      <c r="A356" s="152">
        <f t="shared" si="217"/>
        <v>43132</v>
      </c>
      <c r="B356" s="152">
        <f t="shared" si="218"/>
        <v>43159</v>
      </c>
      <c r="C356" s="438"/>
      <c r="D356" s="149" t="s">
        <v>97</v>
      </c>
      <c r="E356" s="149">
        <f t="shared" si="227"/>
        <v>30</v>
      </c>
      <c r="F356" s="153">
        <f>IF(AND(A356&gt;=$F$1,B356&lt;=$F$2),((VLOOKUP(YEAR(B356),'DIF MES'!A$2:E$38,5)*E356)/30),0)</f>
        <v>3160148.0754834125</v>
      </c>
      <c r="G356" s="154">
        <f>VLOOKUP(100*YEAR(A356)+MONTH(A356)-1,IPC!A$14:E$861,2)</f>
        <v>97.53</v>
      </c>
      <c r="H356" s="151">
        <f t="shared" si="232"/>
        <v>105.29</v>
      </c>
      <c r="I356" s="153">
        <f t="shared" si="246"/>
        <v>3411586.0849753767</v>
      </c>
      <c r="J356" s="153">
        <f t="shared" si="233"/>
        <v>251438.00949196424</v>
      </c>
      <c r="K356" s="155">
        <f t="shared" si="230"/>
        <v>409390.33019704517</v>
      </c>
      <c r="L356" s="153">
        <f t="shared" si="231"/>
        <v>3002195.7547783316</v>
      </c>
      <c r="M356" s="184"/>
      <c r="N356" s="6"/>
    </row>
    <row r="357" spans="1:14" x14ac:dyDescent="0.35">
      <c r="A357" s="152">
        <f t="shared" si="217"/>
        <v>43160</v>
      </c>
      <c r="B357" s="152">
        <f t="shared" si="218"/>
        <v>43190</v>
      </c>
      <c r="C357" s="438"/>
      <c r="D357" s="149" t="s">
        <v>98</v>
      </c>
      <c r="E357" s="149">
        <f t="shared" si="227"/>
        <v>30</v>
      </c>
      <c r="F357" s="153">
        <f>IF(AND(A357&gt;=$F$1,B357&lt;=$F$2),((VLOOKUP(YEAR(B357),'DIF MES'!A$2:E$38,5)*E357)/30),0)</f>
        <v>3160148.0754834125</v>
      </c>
      <c r="G357" s="154">
        <f>VLOOKUP(100*YEAR(A357)+MONTH(A357)-1,IPC!A$14:E$861,2)</f>
        <v>98.22</v>
      </c>
      <c r="H357" s="151">
        <f t="shared" si="232"/>
        <v>105.29</v>
      </c>
      <c r="I357" s="153">
        <f t="shared" si="246"/>
        <v>3387619.5364248478</v>
      </c>
      <c r="J357" s="153">
        <f t="shared" si="233"/>
        <v>227471.4609414353</v>
      </c>
      <c r="K357" s="155">
        <f t="shared" si="230"/>
        <v>406514.34437098174</v>
      </c>
      <c r="L357" s="153">
        <f t="shared" si="231"/>
        <v>2981105.1920538661</v>
      </c>
      <c r="M357" s="184"/>
      <c r="N357" s="6"/>
    </row>
    <row r="358" spans="1:14" x14ac:dyDescent="0.35">
      <c r="A358" s="152">
        <f t="shared" si="217"/>
        <v>43191</v>
      </c>
      <c r="B358" s="152">
        <f t="shared" si="218"/>
        <v>43220</v>
      </c>
      <c r="C358" s="438"/>
      <c r="D358" s="149" t="s">
        <v>99</v>
      </c>
      <c r="E358" s="149">
        <f t="shared" si="227"/>
        <v>30</v>
      </c>
      <c r="F358" s="153">
        <f>IF(AND(A358&gt;=$F$1,B358&lt;=$F$2),((VLOOKUP(YEAR(B358),'DIF MES'!A$2:E$38,5)*E358)/30),0)</f>
        <v>3160148.0754834125</v>
      </c>
      <c r="G358" s="154">
        <f>VLOOKUP(100*YEAR(A358)+MONTH(A358)-1,IPC!A$14:E$861,2)</f>
        <v>98.45</v>
      </c>
      <c r="H358" s="151">
        <f t="shared" si="232"/>
        <v>105.29</v>
      </c>
      <c r="I358" s="153">
        <f t="shared" si="246"/>
        <v>3379705.341469259</v>
      </c>
      <c r="J358" s="153">
        <f t="shared" si="233"/>
        <v>219557.26598584652</v>
      </c>
      <c r="K358" s="155">
        <f t="shared" si="230"/>
        <v>405564.64097631106</v>
      </c>
      <c r="L358" s="153">
        <f t="shared" si="231"/>
        <v>2974140.7004929478</v>
      </c>
      <c r="M358" s="184"/>
      <c r="N358" s="6"/>
    </row>
    <row r="359" spans="1:14" x14ac:dyDescent="0.35">
      <c r="A359" s="152">
        <f t="shared" si="217"/>
        <v>43221</v>
      </c>
      <c r="B359" s="152">
        <f t="shared" si="218"/>
        <v>43251</v>
      </c>
      <c r="C359" s="438"/>
      <c r="D359" s="149" t="s">
        <v>100</v>
      </c>
      <c r="E359" s="149">
        <f t="shared" si="227"/>
        <v>30</v>
      </c>
      <c r="F359" s="153">
        <f>IF(AND(A359&gt;=$F$1,B359&lt;=$F$2),((VLOOKUP(YEAR(B359),'DIF MES'!A$2:E$38,5)*E359)/30),0)</f>
        <v>3160148.0754834125</v>
      </c>
      <c r="G359" s="154">
        <f>VLOOKUP(100*YEAR(A359)+MONTH(A359)-1,IPC!A$14:E$861,2)</f>
        <v>98.91</v>
      </c>
      <c r="H359" s="151">
        <f t="shared" si="232"/>
        <v>105.29</v>
      </c>
      <c r="I359" s="153">
        <f t="shared" si="246"/>
        <v>3363987.37102061</v>
      </c>
      <c r="J359" s="153">
        <f t="shared" si="233"/>
        <v>203839.2955371975</v>
      </c>
      <c r="K359" s="155">
        <f t="shared" si="230"/>
        <v>403678.48452247318</v>
      </c>
      <c r="L359" s="153">
        <f t="shared" si="231"/>
        <v>2960308.8864981369</v>
      </c>
      <c r="M359" s="184"/>
      <c r="N359" s="6"/>
    </row>
    <row r="360" spans="1:14" x14ac:dyDescent="0.35">
      <c r="A360" s="156">
        <f t="shared" ref="A360" si="251">A361</f>
        <v>43252</v>
      </c>
      <c r="B360" s="156">
        <f t="shared" ref="B360" si="252">B361</f>
        <v>43281</v>
      </c>
      <c r="C360" s="438"/>
      <c r="D360" s="157" t="s">
        <v>101</v>
      </c>
      <c r="E360" s="157">
        <f t="shared" si="227"/>
        <v>30</v>
      </c>
      <c r="F360" s="153">
        <f>IF(AND(A360&gt;=$F$1,B360&lt;=$F$2),((VLOOKUP(YEAR(B360),'DIF MES'!A$2:E$38,5)*E360)/30),0)</f>
        <v>3160148.0754834125</v>
      </c>
      <c r="G360" s="158">
        <f>VLOOKUP(100*YEAR(A360)+MONTH(A360)-1,IPC!A$14:E$861,2)</f>
        <v>99.16</v>
      </c>
      <c r="H360" s="159">
        <f t="shared" si="232"/>
        <v>105.29</v>
      </c>
      <c r="I360" s="160">
        <f>F360*(H360/G360)</f>
        <v>3355506.1604240471</v>
      </c>
      <c r="J360" s="161">
        <f>+I360-F360</f>
        <v>195358.08494063467</v>
      </c>
      <c r="K360" s="162">
        <f>IF(D360="adicional", 0, +I360*0.12)</f>
        <v>0</v>
      </c>
      <c r="L360" s="161">
        <f>+I360-K360</f>
        <v>3355506.1604240471</v>
      </c>
      <c r="M360" s="184"/>
      <c r="N360" s="6"/>
    </row>
    <row r="361" spans="1:14" x14ac:dyDescent="0.35">
      <c r="A361" s="152">
        <f t="shared" ref="A361" si="253">IF(
AND(YEAR(B359)=YEAR(DATE(YEAR($F$1),MONTH($F$1)-1,1)),
MONTH(B359)=MONTH(DATE(YEAR($F$1),MONTH($F$1)-1,1))),
$F$1,
DATE(YEAR(B359),MONTH(B359)+1,1))</f>
        <v>43252</v>
      </c>
      <c r="B361" s="152">
        <f t="shared" ref="B361" si="254">IF(
AND(
YEAR(B359)=YEAR(DATE(YEAR($F$2),MONTH($F$2)-1,1)),
MONTH(B359)=MONTH(DATE(YEAR($F$2),MONTH($F$2)-1,1))
),
$F$2,
EOMONTH(B359,1)
)</f>
        <v>43281</v>
      </c>
      <c r="C361" s="438"/>
      <c r="D361" s="149" t="s">
        <v>102</v>
      </c>
      <c r="E361" s="149">
        <f t="shared" si="227"/>
        <v>30</v>
      </c>
      <c r="F361" s="153">
        <f>IF(AND(A361&gt;=$F$1,B361&lt;=$F$2),((VLOOKUP(YEAR(B361),'DIF MES'!A$2:E$38,5)*E361)/30),0)</f>
        <v>3160148.0754834125</v>
      </c>
      <c r="G361" s="154">
        <f>VLOOKUP(100*YEAR(A361)+MONTH(A361)-1,IPC!A$14:E$861,2)</f>
        <v>99.16</v>
      </c>
      <c r="H361" s="151">
        <f t="shared" si="232"/>
        <v>105.29</v>
      </c>
      <c r="I361" s="153">
        <f>F361*(H361/G361)</f>
        <v>3355506.1604240471</v>
      </c>
      <c r="J361" s="153">
        <f>+I361-F361</f>
        <v>195358.08494063467</v>
      </c>
      <c r="K361" s="155">
        <f>IF(D361="adicional", 0, +I361*0.12)</f>
        <v>402660.73925088567</v>
      </c>
      <c r="L361" s="153">
        <f>+I361-K361</f>
        <v>2952845.4211731614</v>
      </c>
      <c r="M361" s="184"/>
      <c r="N361" s="6"/>
    </row>
    <row r="362" spans="1:14" x14ac:dyDescent="0.35">
      <c r="A362" s="152">
        <f t="shared" si="223"/>
        <v>43282</v>
      </c>
      <c r="B362" s="152">
        <f t="shared" si="224"/>
        <v>43312</v>
      </c>
      <c r="C362" s="438"/>
      <c r="D362" s="149" t="s">
        <v>103</v>
      </c>
      <c r="E362" s="149">
        <f t="shared" si="227"/>
        <v>30</v>
      </c>
      <c r="F362" s="153">
        <f>IF(AND(A362&gt;=$F$1,B362&lt;=$F$2),((VLOOKUP(YEAR(B362),'DIF MES'!A$2:E$38,5)*E362)/30),0)</f>
        <v>3160148.0754834125</v>
      </c>
      <c r="G362" s="154">
        <f>VLOOKUP(100*YEAR(A362)+MONTH(A362)-1,IPC!A$14:E$861,2)</f>
        <v>99.31</v>
      </c>
      <c r="H362" s="151">
        <f t="shared" si="232"/>
        <v>105.29</v>
      </c>
      <c r="I362" s="153">
        <f t="shared" si="246"/>
        <v>3350437.9303962192</v>
      </c>
      <c r="J362" s="153">
        <f t="shared" si="233"/>
        <v>190289.85491280677</v>
      </c>
      <c r="K362" s="155">
        <f t="shared" si="230"/>
        <v>402052.55164754629</v>
      </c>
      <c r="L362" s="153">
        <f t="shared" si="231"/>
        <v>2948385.378748673</v>
      </c>
      <c r="M362" s="184"/>
      <c r="N362" s="6"/>
    </row>
    <row r="363" spans="1:14" x14ac:dyDescent="0.35">
      <c r="A363" s="152">
        <f t="shared" si="223"/>
        <v>43313</v>
      </c>
      <c r="B363" s="152">
        <f t="shared" si="224"/>
        <v>43343</v>
      </c>
      <c r="C363" s="438"/>
      <c r="D363" s="149" t="s">
        <v>104</v>
      </c>
      <c r="E363" s="149">
        <f t="shared" si="227"/>
        <v>30</v>
      </c>
      <c r="F363" s="153">
        <f>IF(AND(A363&gt;=$F$1,B363&lt;=$F$2),((VLOOKUP(YEAR(B363),'DIF MES'!A$2:E$38,5)*E363)/30),0)</f>
        <v>3160148.0754834125</v>
      </c>
      <c r="G363" s="154">
        <f>VLOOKUP(100*YEAR(A363)+MONTH(A363)-1,IPC!A$14:E$861,2)</f>
        <v>99.18</v>
      </c>
      <c r="H363" s="151">
        <f t="shared" si="232"/>
        <v>105.29</v>
      </c>
      <c r="I363" s="153">
        <f t="shared" si="246"/>
        <v>3354829.5106639294</v>
      </c>
      <c r="J363" s="153">
        <f t="shared" si="233"/>
        <v>194681.43518051691</v>
      </c>
      <c r="K363" s="155">
        <f t="shared" si="230"/>
        <v>402579.54127967154</v>
      </c>
      <c r="L363" s="153">
        <f t="shared" si="231"/>
        <v>2952249.9693842577</v>
      </c>
      <c r="M363" s="184"/>
      <c r="N363" s="6"/>
    </row>
    <row r="364" spans="1:14" ht="20" x14ac:dyDescent="0.35">
      <c r="A364" s="152">
        <f t="shared" si="223"/>
        <v>43344</v>
      </c>
      <c r="B364" s="152">
        <f t="shared" si="224"/>
        <v>43373</v>
      </c>
      <c r="C364" s="438"/>
      <c r="D364" s="149" t="s">
        <v>105</v>
      </c>
      <c r="E364" s="149">
        <f t="shared" si="227"/>
        <v>30</v>
      </c>
      <c r="F364" s="153">
        <f>IF(AND(A364&gt;=$F$1,B364&lt;=$F$2),((VLOOKUP(YEAR(B364),'DIF MES'!A$2:E$38,5)*E364)/30),0)</f>
        <v>3160148.0754834125</v>
      </c>
      <c r="G364" s="154">
        <f>VLOOKUP(100*YEAR(A364)+MONTH(A364)-1,IPC!A$14:E$861,2)</f>
        <v>99.3</v>
      </c>
      <c r="H364" s="151">
        <f t="shared" si="232"/>
        <v>105.29</v>
      </c>
      <c r="I364" s="153">
        <f t="shared" si="246"/>
        <v>3350775.3360286863</v>
      </c>
      <c r="J364" s="153">
        <f t="shared" si="233"/>
        <v>190627.26054527378</v>
      </c>
      <c r="K364" s="155">
        <f t="shared" si="230"/>
        <v>402093.04032344231</v>
      </c>
      <c r="L364" s="153">
        <f t="shared" si="231"/>
        <v>2948682.2957052439</v>
      </c>
      <c r="M364" s="184"/>
      <c r="N364" s="6"/>
    </row>
    <row r="365" spans="1:14" x14ac:dyDescent="0.35">
      <c r="A365" s="152">
        <f t="shared" si="223"/>
        <v>43374</v>
      </c>
      <c r="B365" s="152">
        <f t="shared" si="224"/>
        <v>43404</v>
      </c>
      <c r="C365" s="438"/>
      <c r="D365" s="149" t="s">
        <v>106</v>
      </c>
      <c r="E365" s="149">
        <f t="shared" si="227"/>
        <v>30</v>
      </c>
      <c r="F365" s="153">
        <f>IF(AND(A365&gt;=$F$1,B365&lt;=$F$2),((VLOOKUP(YEAR(B365),'DIF MES'!A$2:E$38,5)*E365)/30),0)</f>
        <v>3160148.0754834125</v>
      </c>
      <c r="G365" s="154">
        <f>VLOOKUP(100*YEAR(A365)+MONTH(A365)-1,IPC!A$14:E$861,2)</f>
        <v>99.47</v>
      </c>
      <c r="H365" s="151">
        <f t="shared" si="232"/>
        <v>105.29</v>
      </c>
      <c r="I365" s="153">
        <f t="shared" si="246"/>
        <v>3345048.6666095154</v>
      </c>
      <c r="J365" s="153">
        <f t="shared" si="233"/>
        <v>184900.59112610295</v>
      </c>
      <c r="K365" s="155">
        <f t="shared" si="230"/>
        <v>401405.83999314182</v>
      </c>
      <c r="L365" s="153">
        <f t="shared" si="231"/>
        <v>2943642.8266163738</v>
      </c>
      <c r="M365" s="184"/>
      <c r="N365" s="6"/>
    </row>
    <row r="366" spans="1:14" x14ac:dyDescent="0.35">
      <c r="A366" s="152">
        <f t="shared" si="223"/>
        <v>43405</v>
      </c>
      <c r="B366" s="152">
        <f t="shared" si="224"/>
        <v>43434</v>
      </c>
      <c r="C366" s="438"/>
      <c r="D366" s="149" t="s">
        <v>107</v>
      </c>
      <c r="E366" s="149">
        <f t="shared" si="227"/>
        <v>30</v>
      </c>
      <c r="F366" s="153">
        <f>IF(AND(A366&gt;=$F$1,B366&lt;=$F$2),((VLOOKUP(YEAR(B366),'DIF MES'!A$2:E$38,5)*E366)/30),0)</f>
        <v>3160148.0754834125</v>
      </c>
      <c r="G366" s="154">
        <f>VLOOKUP(100*YEAR(A366)+MONTH(A366)-1,IPC!A$14:E$861,2)</f>
        <v>99.59</v>
      </c>
      <c r="H366" s="151">
        <f t="shared" si="232"/>
        <v>105.29</v>
      </c>
      <c r="I366" s="153">
        <f t="shared" si="246"/>
        <v>3341018.0828160308</v>
      </c>
      <c r="J366" s="153">
        <f t="shared" si="233"/>
        <v>180870.00733261835</v>
      </c>
      <c r="K366" s="155">
        <f t="shared" si="230"/>
        <v>400922.16993792367</v>
      </c>
      <c r="L366" s="153">
        <f t="shared" si="231"/>
        <v>2940095.9128781073</v>
      </c>
      <c r="M366" s="184"/>
      <c r="N366" s="6"/>
    </row>
    <row r="367" spans="1:14" x14ac:dyDescent="0.35">
      <c r="A367" s="156">
        <f t="shared" ref="A367" si="255">A366</f>
        <v>43405</v>
      </c>
      <c r="B367" s="156">
        <f t="shared" ref="B367" si="256">B366</f>
        <v>43434</v>
      </c>
      <c r="C367" s="438"/>
      <c r="D367" s="157" t="s">
        <v>101</v>
      </c>
      <c r="E367" s="157">
        <f t="shared" si="227"/>
        <v>30</v>
      </c>
      <c r="F367" s="153">
        <f>IF(AND(A367&gt;=$F$1,B367&lt;=$F$2),((VLOOKUP(YEAR(B367),'DIF MES'!A$2:E$38,5)*E367)/30),0)</f>
        <v>3160148.0754834125</v>
      </c>
      <c r="G367" s="158">
        <f>VLOOKUP(100*YEAR(A367)+MONTH(A367)-1,IPC!A$14:E$861,2)</f>
        <v>99.59</v>
      </c>
      <c r="H367" s="159">
        <f t="shared" si="232"/>
        <v>105.29</v>
      </c>
      <c r="I367" s="161">
        <f t="shared" si="246"/>
        <v>3341018.0828160308</v>
      </c>
      <c r="J367" s="161">
        <f t="shared" si="233"/>
        <v>180870.00733261835</v>
      </c>
      <c r="K367" s="162">
        <f t="shared" si="230"/>
        <v>0</v>
      </c>
      <c r="L367" s="161">
        <f t="shared" si="231"/>
        <v>3341018.0828160308</v>
      </c>
      <c r="M367" s="184"/>
      <c r="N367" s="6"/>
    </row>
    <row r="368" spans="1:14" x14ac:dyDescent="0.35">
      <c r="A368" s="152">
        <f t="shared" ref="A368" si="257">IF(
AND(YEAR(B366)=YEAR(DATE(YEAR($F$1),MONTH($F$1)-1,1)),
MONTH(B366)=MONTH(DATE(YEAR($F$1),MONTH($F$1)-1,1))),
$F$1,
DATE(YEAR(B366),MONTH(B366)+1,1))</f>
        <v>43435</v>
      </c>
      <c r="B368" s="152">
        <f t="shared" ref="B368" si="258">IF(
AND(
YEAR(B366)=YEAR(DATE(YEAR($F$2),MONTH($F$2)-1,1)),
MONTH(B366)=MONTH(DATE(YEAR($F$2),MONTH($F$2)-1,1))
),
$F$2,
EOMONTH(B366,1)
)</f>
        <v>43465</v>
      </c>
      <c r="C368" s="439"/>
      <c r="D368" s="149" t="s">
        <v>108</v>
      </c>
      <c r="E368" s="149">
        <f t="shared" si="227"/>
        <v>30</v>
      </c>
      <c r="F368" s="153">
        <f>IF(AND(A368&gt;=$F$1,B368&lt;=$F$2),((VLOOKUP(YEAR(B368),'DIF MES'!A$2:E$38,5)*E368)/30),0)</f>
        <v>3160148.0754834125</v>
      </c>
      <c r="G368" s="154">
        <f>VLOOKUP(100*YEAR(A368)+MONTH(A368)-1,IPC!A$14:E$861,2)</f>
        <v>99.7</v>
      </c>
      <c r="H368" s="151">
        <f t="shared" si="232"/>
        <v>105.29</v>
      </c>
      <c r="I368" s="153">
        <f t="shared" si="246"/>
        <v>3337331.9043896543</v>
      </c>
      <c r="J368" s="153">
        <f t="shared" si="233"/>
        <v>177183.8289062418</v>
      </c>
      <c r="K368" s="155">
        <f t="shared" si="230"/>
        <v>400479.82852675847</v>
      </c>
      <c r="L368" s="153">
        <f t="shared" si="231"/>
        <v>2936852.0758628957</v>
      </c>
      <c r="M368" s="184"/>
    </row>
    <row r="369" spans="1:15" x14ac:dyDescent="0.35">
      <c r="A369" s="152">
        <f t="shared" si="217"/>
        <v>43466</v>
      </c>
      <c r="B369" s="152">
        <f t="shared" si="218"/>
        <v>43496</v>
      </c>
      <c r="C369" s="437">
        <v>2019</v>
      </c>
      <c r="D369" s="149" t="s">
        <v>96</v>
      </c>
      <c r="E369" s="149">
        <f t="shared" si="227"/>
        <v>30</v>
      </c>
      <c r="F369" s="153">
        <f>IF(AND(A369&gt;=$F$1,B369&lt;=$F$2),((VLOOKUP(YEAR(B369),'DIF MES'!A$2:E$38,5)*E369)/30),0)</f>
        <v>3260640.7842837851</v>
      </c>
      <c r="G369" s="154">
        <f>VLOOKUP(100*YEAR(A369)+MONTH(A369)-1,IPC!A$14:E$861,2)</f>
        <v>100</v>
      </c>
      <c r="H369" s="151">
        <f t="shared" si="232"/>
        <v>105.29</v>
      </c>
      <c r="I369" s="153">
        <f t="shared" si="246"/>
        <v>3433128.6817723978</v>
      </c>
      <c r="J369" s="153">
        <f t="shared" si="233"/>
        <v>172487.89748861268</v>
      </c>
      <c r="K369" s="155">
        <f t="shared" si="230"/>
        <v>411975.44181268773</v>
      </c>
      <c r="L369" s="153">
        <f t="shared" si="231"/>
        <v>3021153.2399597103</v>
      </c>
      <c r="M369" s="184"/>
    </row>
    <row r="370" spans="1:15" x14ac:dyDescent="0.35">
      <c r="A370" s="152">
        <f t="shared" si="217"/>
        <v>43497</v>
      </c>
      <c r="B370" s="152">
        <f t="shared" si="218"/>
        <v>43524</v>
      </c>
      <c r="C370" s="438"/>
      <c r="D370" s="149" t="s">
        <v>97</v>
      </c>
      <c r="E370" s="149">
        <f t="shared" si="227"/>
        <v>30</v>
      </c>
      <c r="F370" s="153">
        <f>IF(AND(A370&gt;=$F$1,B370&lt;=$F$2),((VLOOKUP(YEAR(B370),'DIF MES'!A$2:E$38,5)*E370)/30),0)</f>
        <v>3260640.7842837851</v>
      </c>
      <c r="G370" s="154">
        <f>VLOOKUP(100*YEAR(A370)+MONTH(A370)-1,IPC!A$14:E$861,2)</f>
        <v>100.6</v>
      </c>
      <c r="H370" s="151">
        <f t="shared" si="232"/>
        <v>105.29</v>
      </c>
      <c r="I370" s="153">
        <f t="shared" si="246"/>
        <v>3412652.76518131</v>
      </c>
      <c r="J370" s="153">
        <f t="shared" si="233"/>
        <v>152011.98089752486</v>
      </c>
      <c r="K370" s="155">
        <f t="shared" si="230"/>
        <v>409518.33182175719</v>
      </c>
      <c r="L370" s="153">
        <f t="shared" si="231"/>
        <v>3003134.4333595526</v>
      </c>
      <c r="M370" s="184"/>
    </row>
    <row r="371" spans="1:15" x14ac:dyDescent="0.35">
      <c r="A371" s="152">
        <f t="shared" si="217"/>
        <v>43525</v>
      </c>
      <c r="B371" s="152">
        <f t="shared" si="218"/>
        <v>43555</v>
      </c>
      <c r="C371" s="438"/>
      <c r="D371" s="149" t="s">
        <v>98</v>
      </c>
      <c r="E371" s="149">
        <f t="shared" si="227"/>
        <v>30</v>
      </c>
      <c r="F371" s="153">
        <f>IF(AND(A371&gt;=$F$1,B371&lt;=$F$2),((VLOOKUP(YEAR(B371),'DIF MES'!A$2:E$38,5)*E371)/30),0)</f>
        <v>3260640.7842837851</v>
      </c>
      <c r="G371" s="154">
        <f>VLOOKUP(100*YEAR(A371)+MONTH(A371)-1,IPC!A$14:E$861,2)</f>
        <v>101.18</v>
      </c>
      <c r="H371" s="151">
        <f t="shared" si="232"/>
        <v>105.29</v>
      </c>
      <c r="I371" s="153">
        <f t="shared" si="246"/>
        <v>3393090.2172093275</v>
      </c>
      <c r="J371" s="153">
        <f t="shared" si="233"/>
        <v>132449.43292554235</v>
      </c>
      <c r="K371" s="155">
        <f t="shared" si="230"/>
        <v>407170.8260651193</v>
      </c>
      <c r="L371" s="153">
        <f t="shared" si="231"/>
        <v>2985919.3911442081</v>
      </c>
      <c r="M371" s="184"/>
    </row>
    <row r="372" spans="1:15" x14ac:dyDescent="0.35">
      <c r="A372" s="152">
        <f t="shared" si="217"/>
        <v>43556</v>
      </c>
      <c r="B372" s="152">
        <f t="shared" si="218"/>
        <v>43585</v>
      </c>
      <c r="C372" s="438"/>
      <c r="D372" s="149" t="s">
        <v>99</v>
      </c>
      <c r="E372" s="149">
        <f t="shared" si="227"/>
        <v>30</v>
      </c>
      <c r="F372" s="153">
        <f>IF(AND(A372&gt;=$F$1,B372&lt;=$F$2),((VLOOKUP(YEAR(B372),'DIF MES'!A$2:E$38,5)*E372)/30),0)</f>
        <v>3260640.7842837851</v>
      </c>
      <c r="G372" s="154">
        <f>VLOOKUP(100*YEAR(A372)+MONTH(A372)-1,IPC!A$14:E$861,2)</f>
        <v>101.62</v>
      </c>
      <c r="H372" s="151">
        <f t="shared" si="232"/>
        <v>105.29</v>
      </c>
      <c r="I372" s="153">
        <f t="shared" si="246"/>
        <v>3378398.6240625838</v>
      </c>
      <c r="J372" s="153">
        <f t="shared" si="233"/>
        <v>117757.83977879863</v>
      </c>
      <c r="K372" s="155">
        <f t="shared" si="230"/>
        <v>405407.83488751005</v>
      </c>
      <c r="L372" s="153">
        <f t="shared" si="231"/>
        <v>2972990.7891750736</v>
      </c>
      <c r="M372" s="184"/>
    </row>
    <row r="373" spans="1:15" x14ac:dyDescent="0.35">
      <c r="A373" s="152">
        <f t="shared" si="217"/>
        <v>43586</v>
      </c>
      <c r="B373" s="152">
        <f t="shared" si="218"/>
        <v>43616</v>
      </c>
      <c r="C373" s="438"/>
      <c r="D373" s="149" t="s">
        <v>100</v>
      </c>
      <c r="E373" s="149">
        <f t="shared" si="227"/>
        <v>30</v>
      </c>
      <c r="F373" s="153">
        <f>IF(AND(A373&gt;=$F$1,B373&lt;=$F$2),((VLOOKUP(YEAR(B373),'DIF MES'!A$2:E$38,5)*E373)/30),0)</f>
        <v>3260640.7842837851</v>
      </c>
      <c r="G373" s="154">
        <f>VLOOKUP(100*YEAR(A373)+MONTH(A373)-1,IPC!A$14:E$861,2)</f>
        <v>102.12</v>
      </c>
      <c r="H373" s="151">
        <f t="shared" si="232"/>
        <v>105.29</v>
      </c>
      <c r="I373" s="153">
        <f t="shared" si="246"/>
        <v>3361857.3068668204</v>
      </c>
      <c r="J373" s="153">
        <f t="shared" si="233"/>
        <v>101216.52258303529</v>
      </c>
      <c r="K373" s="155">
        <f t="shared" si="230"/>
        <v>403422.87682401843</v>
      </c>
      <c r="L373" s="153">
        <f t="shared" si="231"/>
        <v>2958434.4300428019</v>
      </c>
      <c r="M373" s="184"/>
    </row>
    <row r="374" spans="1:15" x14ac:dyDescent="0.35">
      <c r="A374" s="156">
        <f t="shared" ref="A374" si="259">A375</f>
        <v>43617</v>
      </c>
      <c r="B374" s="156">
        <f t="shared" ref="B374" si="260">B375</f>
        <v>43646</v>
      </c>
      <c r="C374" s="438"/>
      <c r="D374" s="157" t="s">
        <v>101</v>
      </c>
      <c r="E374" s="157">
        <f t="shared" si="227"/>
        <v>30</v>
      </c>
      <c r="F374" s="153">
        <f>IF(AND(A374&gt;=$F$1,B374&lt;=$F$2),((VLOOKUP(YEAR(B374),'DIF MES'!A$2:E$38,5)*E374)/30),0)</f>
        <v>3260640.7842837851</v>
      </c>
      <c r="G374" s="158">
        <f>VLOOKUP(100*YEAR(A374)+MONTH(A374)-1,IPC!A$14:E$861,2)</f>
        <v>102.44</v>
      </c>
      <c r="H374" s="159">
        <f t="shared" si="232"/>
        <v>105.29</v>
      </c>
      <c r="I374" s="160">
        <f>F374*(H374/G374)</f>
        <v>3351355.60501015</v>
      </c>
      <c r="J374" s="161">
        <f>+I374-F374</f>
        <v>90714.820726364851</v>
      </c>
      <c r="K374" s="162">
        <f>IF(D374="adicional", 0, +I374*0.12)</f>
        <v>0</v>
      </c>
      <c r="L374" s="161">
        <f>+I374-K374</f>
        <v>3351355.60501015</v>
      </c>
      <c r="M374" s="184"/>
    </row>
    <row r="375" spans="1:15" x14ac:dyDescent="0.35">
      <c r="A375" s="152">
        <f t="shared" ref="A375" si="261">IF(
AND(YEAR(B373)=YEAR(DATE(YEAR($F$1),MONTH($F$1)-1,1)),
MONTH(B373)=MONTH(DATE(YEAR($F$1),MONTH($F$1)-1,1))),
$F$1,
DATE(YEAR(B373),MONTH(B373)+1,1))</f>
        <v>43617</v>
      </c>
      <c r="B375" s="152">
        <f t="shared" ref="B375" si="262">IF(
AND(
YEAR(B373)=YEAR(DATE(YEAR($F$2),MONTH($F$2)-1,1)),
MONTH(B373)=MONTH(DATE(YEAR($F$2),MONTH($F$2)-1,1))
),
$F$2,
EOMONTH(B373,1)
)</f>
        <v>43646</v>
      </c>
      <c r="C375" s="438"/>
      <c r="D375" s="149" t="s">
        <v>102</v>
      </c>
      <c r="E375" s="149">
        <f t="shared" si="227"/>
        <v>30</v>
      </c>
      <c r="F375" s="153">
        <f>IF(AND(A375&gt;=$F$1,B375&lt;=$F$2),((VLOOKUP(YEAR(B375),'DIF MES'!A$2:E$38,5)*E375)/30),0)</f>
        <v>3260640.7842837851</v>
      </c>
      <c r="G375" s="154">
        <f>VLOOKUP(100*YEAR(A375)+MONTH(A375)-1,IPC!A$14:E$861,2)</f>
        <v>102.44</v>
      </c>
      <c r="H375" s="151">
        <f t="shared" si="232"/>
        <v>105.29</v>
      </c>
      <c r="I375" s="153">
        <f>F375*(H375/G375)</f>
        <v>3351355.60501015</v>
      </c>
      <c r="J375" s="153">
        <f>+I375-F375</f>
        <v>90714.820726364851</v>
      </c>
      <c r="K375" s="155">
        <f>IF(D375="adicional", 0, +I375*0.12)</f>
        <v>402162.67260121799</v>
      </c>
      <c r="L375" s="153">
        <f>+I375-K375</f>
        <v>2949192.9324089321</v>
      </c>
      <c r="M375" s="184"/>
    </row>
    <row r="376" spans="1:15" x14ac:dyDescent="0.35">
      <c r="A376" s="152">
        <f t="shared" si="223"/>
        <v>43647</v>
      </c>
      <c r="B376" s="152">
        <f t="shared" si="224"/>
        <v>43677</v>
      </c>
      <c r="C376" s="438"/>
      <c r="D376" s="149" t="s">
        <v>103</v>
      </c>
      <c r="E376" s="149">
        <f t="shared" si="227"/>
        <v>30</v>
      </c>
      <c r="F376" s="153">
        <f>IF(AND(A376&gt;=$F$1,B376&lt;=$F$2),((VLOOKUP(YEAR(B376),'DIF MES'!A$2:E$38,5)*E376)/30),0)</f>
        <v>3260640.7842837851</v>
      </c>
      <c r="G376" s="154">
        <f>VLOOKUP(100*YEAR(A376)+MONTH(A376)-1,IPC!A$14:E$861,2)</f>
        <v>102.71</v>
      </c>
      <c r="H376" s="151">
        <f t="shared" si="232"/>
        <v>105.29</v>
      </c>
      <c r="I376" s="153">
        <f t="shared" si="246"/>
        <v>3342545.6934791137</v>
      </c>
      <c r="J376" s="153">
        <f t="shared" si="233"/>
        <v>81904.909195328597</v>
      </c>
      <c r="K376" s="155">
        <f t="shared" si="230"/>
        <v>401105.48321749363</v>
      </c>
      <c r="L376" s="153">
        <f t="shared" si="231"/>
        <v>2941440.2102616201</v>
      </c>
      <c r="M376" s="184"/>
    </row>
    <row r="377" spans="1:15" x14ac:dyDescent="0.35">
      <c r="A377" s="152">
        <f t="shared" si="223"/>
        <v>43678</v>
      </c>
      <c r="B377" s="152">
        <f t="shared" si="224"/>
        <v>43708</v>
      </c>
      <c r="C377" s="438"/>
      <c r="D377" s="149" t="s">
        <v>104</v>
      </c>
      <c r="E377" s="149">
        <f t="shared" si="227"/>
        <v>30</v>
      </c>
      <c r="F377" s="153">
        <f>IF(AND(A377&gt;=$F$1,B377&lt;=$F$2),((VLOOKUP(YEAR(B377),'DIF MES'!A$2:E$38,5)*E377)/30),0)</f>
        <v>3260640.7842837851</v>
      </c>
      <c r="G377" s="154">
        <f>VLOOKUP(100*YEAR(A377)+MONTH(A377)-1,IPC!A$14:E$861,2)</f>
        <v>102.94</v>
      </c>
      <c r="H377" s="151">
        <f t="shared" si="232"/>
        <v>105.29</v>
      </c>
      <c r="I377" s="153">
        <f t="shared" si="246"/>
        <v>3335077.4060349697</v>
      </c>
      <c r="J377" s="153">
        <f t="shared" si="233"/>
        <v>74436.621751184575</v>
      </c>
      <c r="K377" s="155">
        <f t="shared" si="230"/>
        <v>400209.28872419638</v>
      </c>
      <c r="L377" s="153">
        <f t="shared" si="231"/>
        <v>2934868.1173107736</v>
      </c>
      <c r="M377" s="184"/>
      <c r="N377" s="6"/>
    </row>
    <row r="378" spans="1:15" ht="20" x14ac:dyDescent="0.35">
      <c r="A378" s="152">
        <f t="shared" si="223"/>
        <v>43709</v>
      </c>
      <c r="B378" s="152">
        <f t="shared" si="224"/>
        <v>43738</v>
      </c>
      <c r="C378" s="438"/>
      <c r="D378" s="149" t="s">
        <v>105</v>
      </c>
      <c r="E378" s="149">
        <f t="shared" si="227"/>
        <v>30</v>
      </c>
      <c r="F378" s="153">
        <f>IF(AND(A378&gt;=$F$1,B378&lt;=$F$2),((VLOOKUP(YEAR(B378),'DIF MES'!A$2:E$38,5)*E378)/30),0)</f>
        <v>3260640.7842837851</v>
      </c>
      <c r="G378" s="154">
        <f>VLOOKUP(100*YEAR(A378)+MONTH(A378)-1,IPC!A$14:E$861,2)</f>
        <v>103.03</v>
      </c>
      <c r="H378" s="151">
        <f t="shared" si="232"/>
        <v>105.29</v>
      </c>
      <c r="I378" s="153">
        <f t="shared" si="246"/>
        <v>3332164.1092617665</v>
      </c>
      <c r="J378" s="153">
        <f t="shared" si="233"/>
        <v>71523.324977981392</v>
      </c>
      <c r="K378" s="155">
        <f t="shared" si="230"/>
        <v>399859.69311141199</v>
      </c>
      <c r="L378" s="153">
        <f t="shared" si="231"/>
        <v>2932304.4161503548</v>
      </c>
      <c r="M378" s="184"/>
      <c r="N378" s="6"/>
    </row>
    <row r="379" spans="1:15" x14ac:dyDescent="0.35">
      <c r="A379" s="152">
        <f t="shared" si="223"/>
        <v>43739</v>
      </c>
      <c r="B379" s="152">
        <f t="shared" si="224"/>
        <v>43769</v>
      </c>
      <c r="C379" s="438"/>
      <c r="D379" s="149" t="s">
        <v>106</v>
      </c>
      <c r="E379" s="149">
        <f t="shared" si="227"/>
        <v>30</v>
      </c>
      <c r="F379" s="153">
        <f>IF(AND(A379&gt;=$F$1,B379&lt;=$F$2),((VLOOKUP(YEAR(B379),'DIF MES'!A$2:E$38,5)*E379)/30),0)</f>
        <v>3260640.7842837851</v>
      </c>
      <c r="G379" s="154">
        <f>VLOOKUP(100*YEAR(A379)+MONTH(A379)-1,IPC!A$14:E$861,2)</f>
        <v>103.26</v>
      </c>
      <c r="H379" s="151">
        <f t="shared" si="232"/>
        <v>105.29</v>
      </c>
      <c r="I379" s="153">
        <f t="shared" si="246"/>
        <v>3324742.0896498137</v>
      </c>
      <c r="J379" s="153">
        <f t="shared" si="233"/>
        <v>64101.305366028566</v>
      </c>
      <c r="K379" s="155">
        <f t="shared" si="230"/>
        <v>398969.05075797765</v>
      </c>
      <c r="L379" s="153">
        <f t="shared" si="231"/>
        <v>2925773.0388918361</v>
      </c>
      <c r="M379" s="184"/>
      <c r="N379" s="6"/>
    </row>
    <row r="380" spans="1:15" x14ac:dyDescent="0.35">
      <c r="A380" s="152">
        <f t="shared" si="223"/>
        <v>43770</v>
      </c>
      <c r="B380" s="152">
        <f t="shared" si="224"/>
        <v>43799</v>
      </c>
      <c r="C380" s="438"/>
      <c r="D380" s="149" t="s">
        <v>107</v>
      </c>
      <c r="E380" s="149">
        <f t="shared" si="227"/>
        <v>30</v>
      </c>
      <c r="F380" s="153">
        <f>IF(AND(A380&gt;=$F$1,B380&lt;=$F$2),((VLOOKUP(YEAR(B380),'DIF MES'!A$2:E$38,5)*E380)/30),0)</f>
        <v>3260640.7842837851</v>
      </c>
      <c r="G380" s="154">
        <f>VLOOKUP(100*YEAR(A380)+MONTH(A380)-1,IPC!A$14:E$861,2)</f>
        <v>103.43</v>
      </c>
      <c r="H380" s="151">
        <f t="shared" si="232"/>
        <v>105.29</v>
      </c>
      <c r="I380" s="153">
        <f t="shared" si="246"/>
        <v>3319277.4647320863</v>
      </c>
      <c r="J380" s="153">
        <f t="shared" si="233"/>
        <v>58636.680448301136</v>
      </c>
      <c r="K380" s="155">
        <f t="shared" si="230"/>
        <v>398313.29576785036</v>
      </c>
      <c r="L380" s="153">
        <f t="shared" si="231"/>
        <v>2920964.168964236</v>
      </c>
      <c r="M380" s="184"/>
      <c r="N380" s="6"/>
    </row>
    <row r="381" spans="1:15" ht="15" thickBot="1" x14ac:dyDescent="0.4">
      <c r="A381" s="156">
        <f t="shared" ref="A381" si="263">A380</f>
        <v>43770</v>
      </c>
      <c r="B381" s="156">
        <f t="shared" ref="B381" si="264">B380</f>
        <v>43799</v>
      </c>
      <c r="C381" s="438"/>
      <c r="D381" s="157" t="s">
        <v>101</v>
      </c>
      <c r="E381" s="157">
        <f t="shared" si="227"/>
        <v>30</v>
      </c>
      <c r="F381" s="153">
        <f>IF(AND(A381&gt;=$F$1,B381&lt;=$F$2),((VLOOKUP(YEAR(B381),'DIF MES'!A$2:E$38,5)*E381)/30),0)</f>
        <v>3260640.7842837851</v>
      </c>
      <c r="G381" s="158">
        <f>VLOOKUP(100*YEAR(A381)+MONTH(A381)-1,IPC!A$14:E$861,2)</f>
        <v>103.43</v>
      </c>
      <c r="H381" s="159">
        <f t="shared" si="232"/>
        <v>105.29</v>
      </c>
      <c r="I381" s="161">
        <f t="shared" si="246"/>
        <v>3319277.4647320863</v>
      </c>
      <c r="J381" s="161">
        <f t="shared" si="233"/>
        <v>58636.680448301136</v>
      </c>
      <c r="K381" s="162">
        <f t="shared" si="230"/>
        <v>0</v>
      </c>
      <c r="L381" s="161">
        <f t="shared" si="231"/>
        <v>3319277.4647320863</v>
      </c>
      <c r="M381" s="184"/>
      <c r="N381" s="6"/>
    </row>
    <row r="382" spans="1:15" x14ac:dyDescent="0.35">
      <c r="A382" s="152">
        <f t="shared" ref="A382" si="265">IF(
AND(YEAR(B380)=YEAR(DATE(YEAR($F$1),MONTH($F$1)-1,1)),
MONTH(B380)=MONTH(DATE(YEAR($F$1),MONTH($F$1)-1,1))),
$F$1,
DATE(YEAR(B380),MONTH(B380)+1,1))</f>
        <v>43800</v>
      </c>
      <c r="B382" s="152">
        <f t="shared" ref="B382" si="266">IF(
AND(
YEAR(B380)=YEAR(DATE(YEAR($F$2),MONTH($F$2)-1,1)),
MONTH(B380)=MONTH(DATE(YEAR($F$2),MONTH($F$2)-1,1))
),
$F$2,
EOMONTH(B380,1)
)</f>
        <v>43830</v>
      </c>
      <c r="C382" s="439"/>
      <c r="D382" s="149" t="s">
        <v>108</v>
      </c>
      <c r="E382" s="149">
        <f t="shared" si="227"/>
        <v>30</v>
      </c>
      <c r="F382" s="153">
        <f>IF(AND(A382&gt;=$F$1,B382&lt;=$F$2),((VLOOKUP(YEAR(B382),'DIF MES'!A$2:E$38,5)*E382)/30),0)</f>
        <v>3260640.7842837851</v>
      </c>
      <c r="G382" s="154">
        <f>VLOOKUP(100*YEAR(A382)+MONTH(A382)-1,IPC!A$14:E$861,2)</f>
        <v>103.54</v>
      </c>
      <c r="H382" s="151">
        <f t="shared" si="232"/>
        <v>105.29</v>
      </c>
      <c r="I382" s="153">
        <f t="shared" si="246"/>
        <v>3315751.0930774552</v>
      </c>
      <c r="J382" s="153">
        <f t="shared" si="233"/>
        <v>55110.308793670032</v>
      </c>
      <c r="K382" s="155">
        <f t="shared" si="230"/>
        <v>397890.13116929459</v>
      </c>
      <c r="L382" s="153">
        <f t="shared" si="231"/>
        <v>2917860.9619081607</v>
      </c>
      <c r="M382" s="184"/>
      <c r="N382" s="172" t="s">
        <v>188</v>
      </c>
      <c r="O382" s="173"/>
    </row>
    <row r="383" spans="1:15" ht="15" thickBot="1" x14ac:dyDescent="0.4">
      <c r="A383" s="152">
        <f t="shared" ref="A383:A443" si="267">IF(
AND(YEAR(B382)=YEAR(DATE(YEAR($F$1),MONTH($F$1)-1,1)),
MONTH(B382)=MONTH(DATE(YEAR($F$1),MONTH($F$1)-1,1))),
$F$1,
DATE(YEAR(B382),MONTH(B382)+1,1))</f>
        <v>43831</v>
      </c>
      <c r="B383" s="152">
        <f t="shared" ref="B383:B443" si="268">IF(
AND(
YEAR(B382)=YEAR(DATE(YEAR($F$2),MONTH($F$2)-1,1)),
MONTH(B382)=MONTH(DATE(YEAR($F$2),MONTH($F$2)-1,1))
),
$F$2,
EOMONTH(B382,1)
)</f>
        <v>43861</v>
      </c>
      <c r="C383" s="437">
        <v>2020</v>
      </c>
      <c r="D383" s="149" t="s">
        <v>96</v>
      </c>
      <c r="E383" s="149">
        <f t="shared" si="227"/>
        <v>30</v>
      </c>
      <c r="F383" s="153">
        <f>IF(AND(A383&gt;=$F$1,B383&lt;=$F$2),((VLOOKUP(YEAR(B383),'DIF MES'!A$2:E$38,5)*E383)/30),0)</f>
        <v>3384545.1340865693</v>
      </c>
      <c r="G383" s="154">
        <f>VLOOKUP(100*YEAR(A383)+MONTH(A383)-1,IPC!A$14:E$861,2)</f>
        <v>103.8</v>
      </c>
      <c r="H383" s="151">
        <f t="shared" si="232"/>
        <v>105.29</v>
      </c>
      <c r="I383" s="153">
        <f t="shared" si="246"/>
        <v>3433128.6817723978</v>
      </c>
      <c r="J383" s="153">
        <f t="shared" si="233"/>
        <v>48583.547685828526</v>
      </c>
      <c r="K383" s="163">
        <f t="shared" si="230"/>
        <v>411975.44181268773</v>
      </c>
      <c r="L383" s="153">
        <f t="shared" si="231"/>
        <v>3021153.2399597103</v>
      </c>
      <c r="M383" s="184"/>
      <c r="N383" s="174" t="s">
        <v>189</v>
      </c>
      <c r="O383" s="175"/>
    </row>
    <row r="384" spans="1:15" ht="15" thickBot="1" x14ac:dyDescent="0.4">
      <c r="A384" s="152">
        <f t="shared" si="267"/>
        <v>43862</v>
      </c>
      <c r="B384" s="152">
        <f t="shared" si="268"/>
        <v>43890</v>
      </c>
      <c r="C384" s="438"/>
      <c r="D384" s="149" t="s">
        <v>97</v>
      </c>
      <c r="E384" s="149">
        <f t="shared" si="227"/>
        <v>30</v>
      </c>
      <c r="F384" s="153">
        <f>IF(AND(A384&gt;=$F$1,B384&lt;=$F$2),((VLOOKUP(YEAR(B384),'DIF MES'!A$2:E$38,5)*E384)/30),0)</f>
        <v>3384545.1340865693</v>
      </c>
      <c r="G384" s="154">
        <f>VLOOKUP(100*YEAR(A384)+MONTH(A384)-1,IPC!A$14:E$861,2)</f>
        <v>104.24</v>
      </c>
      <c r="H384" s="151">
        <f t="shared" si="232"/>
        <v>105.29</v>
      </c>
      <c r="I384" s="153">
        <f t="shared" si="246"/>
        <v>3418637.3481194833</v>
      </c>
      <c r="J384" s="153">
        <f t="shared" si="233"/>
        <v>34092.214032914024</v>
      </c>
      <c r="K384" s="163">
        <f t="shared" si="230"/>
        <v>410236.481774338</v>
      </c>
      <c r="L384" s="153">
        <f t="shared" si="231"/>
        <v>3008400.8663451453</v>
      </c>
      <c r="M384" s="184"/>
      <c r="N384" s="176" t="s">
        <v>190</v>
      </c>
      <c r="O384" s="177" t="s">
        <v>191</v>
      </c>
    </row>
    <row r="385" spans="1:15" ht="15" thickBot="1" x14ac:dyDescent="0.4">
      <c r="A385" s="152">
        <f t="shared" si="267"/>
        <v>43891</v>
      </c>
      <c r="B385" s="152">
        <f t="shared" si="268"/>
        <v>43921</v>
      </c>
      <c r="C385" s="438"/>
      <c r="D385" s="149" t="s">
        <v>98</v>
      </c>
      <c r="E385" s="149">
        <f t="shared" si="227"/>
        <v>30</v>
      </c>
      <c r="F385" s="153">
        <f>IF(AND(A385&gt;=$F$1,B385&lt;=$F$2),((VLOOKUP(YEAR(B385),'DIF MES'!A$2:E$38,5)*E385)/30),0)</f>
        <v>3384545.1340865693</v>
      </c>
      <c r="G385" s="154">
        <f>VLOOKUP(100*YEAR(A385)+MONTH(A385)-1,IPC!A$14:E$861,2)</f>
        <v>104.94</v>
      </c>
      <c r="H385" s="151">
        <f t="shared" si="232"/>
        <v>105.29</v>
      </c>
      <c r="I385" s="153">
        <f t="shared" si="246"/>
        <v>3395833.4016387924</v>
      </c>
      <c r="J385" s="153">
        <f t="shared" si="233"/>
        <v>11288.267552223057</v>
      </c>
      <c r="K385" s="163">
        <f t="shared" si="230"/>
        <v>407500.00819665508</v>
      </c>
      <c r="L385" s="153">
        <f t="shared" si="231"/>
        <v>2988333.3934421372</v>
      </c>
      <c r="M385" s="184"/>
      <c r="N385" s="178" t="s">
        <v>192</v>
      </c>
      <c r="O385" s="179">
        <v>0.08</v>
      </c>
    </row>
    <row r="386" spans="1:15" ht="15" thickBot="1" x14ac:dyDescent="0.4">
      <c r="A386" s="152">
        <f t="shared" si="267"/>
        <v>43922</v>
      </c>
      <c r="B386" s="152">
        <f t="shared" si="268"/>
        <v>43951</v>
      </c>
      <c r="C386" s="438"/>
      <c r="D386" s="149" t="s">
        <v>99</v>
      </c>
      <c r="E386" s="149">
        <f t="shared" si="227"/>
        <v>30</v>
      </c>
      <c r="F386" s="153">
        <f>IF(AND(A386&gt;=$F$1,B386&lt;=$F$2),((VLOOKUP(YEAR(B386),'DIF MES'!A$2:E$38,5)*E386)/30),0)</f>
        <v>3384545.1340865693</v>
      </c>
      <c r="G386" s="154">
        <f>VLOOKUP(100*YEAR(A386)+MONTH(A386)-1,IPC!A$14:E$861,2)</f>
        <v>105.53</v>
      </c>
      <c r="H386" s="151">
        <f t="shared" si="232"/>
        <v>105.29</v>
      </c>
      <c r="I386" s="153">
        <f t="shared" si="246"/>
        <v>3376847.8837105553</v>
      </c>
      <c r="J386" s="153">
        <f t="shared" si="233"/>
        <v>-7697.2503760140389</v>
      </c>
      <c r="K386" s="163">
        <f t="shared" si="230"/>
        <v>405221.74604526663</v>
      </c>
      <c r="L386" s="153">
        <f t="shared" si="231"/>
        <v>2971626.1376652885</v>
      </c>
      <c r="M386" s="184"/>
      <c r="N386" s="178" t="s">
        <v>193</v>
      </c>
      <c r="O386" s="179">
        <v>0.1</v>
      </c>
    </row>
    <row r="387" spans="1:15" ht="15" thickBot="1" x14ac:dyDescent="0.4">
      <c r="A387" s="152">
        <f t="shared" si="267"/>
        <v>43952</v>
      </c>
      <c r="B387" s="152">
        <f t="shared" si="268"/>
        <v>43982</v>
      </c>
      <c r="C387" s="438"/>
      <c r="D387" s="149" t="s">
        <v>100</v>
      </c>
      <c r="E387" s="149">
        <f t="shared" si="227"/>
        <v>30</v>
      </c>
      <c r="F387" s="153">
        <f>IF(AND(A387&gt;=$F$1,B387&lt;=$F$2),((VLOOKUP(YEAR(B387),'DIF MES'!A$2:E$38,5)*E387)/30),0)</f>
        <v>3384545.1340865693</v>
      </c>
      <c r="G387" s="154">
        <f>VLOOKUP(100*YEAR(A387)+MONTH(A387)-1,IPC!A$14:E$861,2)</f>
        <v>105.7</v>
      </c>
      <c r="H387" s="151">
        <f t="shared" si="232"/>
        <v>105.29</v>
      </c>
      <c r="I387" s="153">
        <f t="shared" si="246"/>
        <v>3371416.8133204812</v>
      </c>
      <c r="J387" s="153">
        <f t="shared" si="233"/>
        <v>-13128.320766088087</v>
      </c>
      <c r="K387" s="163">
        <f t="shared" si="230"/>
        <v>404570.01759845775</v>
      </c>
      <c r="L387" s="153">
        <f t="shared" si="231"/>
        <v>2966846.7957220236</v>
      </c>
      <c r="M387" s="184"/>
      <c r="N387" s="180" t="s">
        <v>194</v>
      </c>
      <c r="O387" s="175"/>
    </row>
    <row r="388" spans="1:15" ht="15" thickBot="1" x14ac:dyDescent="0.4">
      <c r="A388" s="156">
        <f t="shared" ref="A388" si="269">A389</f>
        <v>43983</v>
      </c>
      <c r="B388" s="156">
        <f t="shared" ref="B388" si="270">B389</f>
        <v>44012</v>
      </c>
      <c r="C388" s="438"/>
      <c r="D388" s="157" t="s">
        <v>101</v>
      </c>
      <c r="E388" s="157">
        <f t="shared" si="227"/>
        <v>30</v>
      </c>
      <c r="F388" s="153">
        <f>IF(AND(A388&gt;=$F$1,B388&lt;=$F$2),((VLOOKUP(YEAR(B388),'DIF MES'!A$2:E$38,5)*E388)/30),0)</f>
        <v>3384545.1340865693</v>
      </c>
      <c r="G388" s="158">
        <f>VLOOKUP(100*YEAR(A388)+MONTH(A388)-1,IPC!A$14:E$861,2)</f>
        <v>105.36</v>
      </c>
      <c r="H388" s="159">
        <f t="shared" si="232"/>
        <v>105.29</v>
      </c>
      <c r="I388" s="160">
        <f>F388*(H388/G388)</f>
        <v>3382296.4803338544</v>
      </c>
      <c r="J388" s="161">
        <f>+I388-F388</f>
        <v>-2248.6537527148612</v>
      </c>
      <c r="K388" s="163">
        <f>IF(D388="adicional", 0, +I388*0.12)</f>
        <v>0</v>
      </c>
      <c r="L388" s="161">
        <f>+I388-K388</f>
        <v>3382296.4803338544</v>
      </c>
      <c r="M388" s="184"/>
      <c r="N388" s="181" t="s">
        <v>190</v>
      </c>
      <c r="O388" s="177" t="s">
        <v>191</v>
      </c>
    </row>
    <row r="389" spans="1:15" ht="15" thickBot="1" x14ac:dyDescent="0.4">
      <c r="A389" s="152">
        <f t="shared" ref="A389" si="271">IF(
AND(YEAR(B387)=YEAR(DATE(YEAR($F$1),MONTH($F$1)-1,1)),
MONTH(B387)=MONTH(DATE(YEAR($F$1),MONTH($F$1)-1,1))),
$F$1,
DATE(YEAR(B387),MONTH(B387)+1,1))</f>
        <v>43983</v>
      </c>
      <c r="B389" s="152">
        <f t="shared" ref="B389" si="272">IF(
AND(
YEAR(B387)=YEAR(DATE(YEAR($F$2),MONTH($F$2)-1,1)),
MONTH(B387)=MONTH(DATE(YEAR($F$2),MONTH($F$2)-1,1))
),
$F$2,
EOMONTH(B387,1)
)</f>
        <v>44012</v>
      </c>
      <c r="C389" s="438"/>
      <c r="D389" s="149" t="s">
        <v>102</v>
      </c>
      <c r="E389" s="149">
        <f t="shared" ref="E389:E452" si="273">DAYS360(A389,B389+1)</f>
        <v>30</v>
      </c>
      <c r="F389" s="153">
        <f>IF(AND(A389&gt;=$F$1,B389&lt;=$F$2),((VLOOKUP(YEAR(B389),'DIF MES'!A$2:E$38,5)*E389)/30),0)</f>
        <v>3384545.1340865693</v>
      </c>
      <c r="G389" s="154">
        <f>VLOOKUP(100*YEAR(A389)+MONTH(A389)-1,IPC!A$14:E$861,2)</f>
        <v>105.36</v>
      </c>
      <c r="H389" s="151">
        <f t="shared" si="232"/>
        <v>105.29</v>
      </c>
      <c r="I389" s="153">
        <f>F389*(H389/G389)</f>
        <v>3382296.4803338544</v>
      </c>
      <c r="J389" s="153">
        <f>+I389-F389</f>
        <v>-2248.6537527148612</v>
      </c>
      <c r="K389" s="163">
        <f>IF(D389="adicional", 0, +I389*0.12)</f>
        <v>405875.57764006255</v>
      </c>
      <c r="L389" s="153">
        <f>+I389-K389</f>
        <v>2976420.9026937918</v>
      </c>
      <c r="M389" s="184"/>
      <c r="N389" s="178" t="s">
        <v>192</v>
      </c>
      <c r="O389" s="179">
        <v>0.04</v>
      </c>
    </row>
    <row r="390" spans="1:15" ht="15" thickBot="1" x14ac:dyDescent="0.4">
      <c r="A390" s="152">
        <f t="shared" ref="A390:A450" si="274">IF(
AND(YEAR(B389)=YEAR(DATE(YEAR($F$1),MONTH($F$1)-1,1)),
MONTH(B389)=MONTH(DATE(YEAR($F$1),MONTH($F$1)-1,1))),
$F$1,
DATE(YEAR(B389),MONTH(B389)+1,1))</f>
        <v>44013</v>
      </c>
      <c r="B390" s="152">
        <f t="shared" ref="B390:B450" si="275">IF(
AND(
YEAR(B389)=YEAR(DATE(YEAR($F$2),MONTH($F$2)-1,1)),
MONTH(B389)=MONTH(DATE(YEAR($F$2),MONTH($F$2)-1,1))
),
$F$2,
EOMONTH(B389,1)
)</f>
        <v>44043</v>
      </c>
      <c r="C390" s="438"/>
      <c r="D390" s="149" t="s">
        <v>103</v>
      </c>
      <c r="E390" s="149">
        <f t="shared" si="273"/>
        <v>30</v>
      </c>
      <c r="F390" s="153">
        <f>IF(AND(A390&gt;=$F$1,B390&lt;=$F$2),((VLOOKUP(YEAR(B390),'DIF MES'!A$2:E$38,5)*E390)/30),0)</f>
        <v>3384545.1340865693</v>
      </c>
      <c r="G390" s="154">
        <f>VLOOKUP(100*YEAR(A390)+MONTH(A390)-1,IPC!A$14:E$861,2)</f>
        <v>104.97</v>
      </c>
      <c r="H390" s="151">
        <f t="shared" si="232"/>
        <v>105.29</v>
      </c>
      <c r="I390" s="153">
        <f t="shared" si="246"/>
        <v>3394862.886233923</v>
      </c>
      <c r="J390" s="153">
        <f t="shared" si="233"/>
        <v>10317.75214735372</v>
      </c>
      <c r="K390" s="163">
        <f t="shared" ref="K390:K453" si="276">IF(D390="adicional", 0, +I390*0.12)</f>
        <v>407383.54634807073</v>
      </c>
      <c r="L390" s="153">
        <f t="shared" ref="L390:L438" si="277">+I390-K390</f>
        <v>2987479.3398858523</v>
      </c>
      <c r="M390" s="184"/>
      <c r="N390" s="182" t="s">
        <v>193</v>
      </c>
      <c r="O390" s="183">
        <v>0.1</v>
      </c>
    </row>
    <row r="391" spans="1:15" x14ac:dyDescent="0.35">
      <c r="A391" s="152">
        <f t="shared" si="274"/>
        <v>44044</v>
      </c>
      <c r="B391" s="152">
        <f t="shared" si="275"/>
        <v>44074</v>
      </c>
      <c r="C391" s="438"/>
      <c r="D391" s="149" t="s">
        <v>104</v>
      </c>
      <c r="E391" s="149">
        <f t="shared" si="273"/>
        <v>30</v>
      </c>
      <c r="F391" s="153">
        <f>IF(AND(A391&gt;=$F$1,B391&lt;=$F$2),((VLOOKUP(YEAR(B391),'DIF MES'!A$2:E$38,5)*E391)/30),0)</f>
        <v>3384545.1340865693</v>
      </c>
      <c r="G391" s="154">
        <f>VLOOKUP(100*YEAR(A391)+MONTH(A391)-1,IPC!A$14:E$861,2)</f>
        <v>104.97</v>
      </c>
      <c r="H391" s="151">
        <f t="shared" si="232"/>
        <v>105.29</v>
      </c>
      <c r="I391" s="153">
        <f t="shared" si="246"/>
        <v>3394862.886233923</v>
      </c>
      <c r="J391" s="153">
        <f t="shared" ref="J391:J438" si="278">+I391-F391</f>
        <v>10317.75214735372</v>
      </c>
      <c r="K391" s="163">
        <f t="shared" si="276"/>
        <v>407383.54634807073</v>
      </c>
      <c r="L391" s="153">
        <f t="shared" si="277"/>
        <v>2987479.3398858523</v>
      </c>
      <c r="M391" s="184"/>
      <c r="N391" s="6"/>
    </row>
    <row r="392" spans="1:15" ht="20" x14ac:dyDescent="0.35">
      <c r="A392" s="152">
        <f t="shared" si="274"/>
        <v>44075</v>
      </c>
      <c r="B392" s="152">
        <f t="shared" si="275"/>
        <v>44104</v>
      </c>
      <c r="C392" s="438"/>
      <c r="D392" s="149" t="s">
        <v>105</v>
      </c>
      <c r="E392" s="149">
        <f t="shared" si="273"/>
        <v>30</v>
      </c>
      <c r="F392" s="153">
        <f>IF(AND(A392&gt;=$F$1,B392&lt;=$F$2),((VLOOKUP(YEAR(B392),'DIF MES'!A$2:E$38,5)*E392)/30),0)</f>
        <v>3384545.1340865693</v>
      </c>
      <c r="G392" s="154">
        <f>VLOOKUP(100*YEAR(A392)+MONTH(A392)-1,IPC!A$14:E$861,2)</f>
        <v>104.96</v>
      </c>
      <c r="H392" s="151">
        <f t="shared" ref="H392:H461" si="279">+$H$4</f>
        <v>105.29</v>
      </c>
      <c r="I392" s="153">
        <f t="shared" si="246"/>
        <v>3395186.3297253707</v>
      </c>
      <c r="J392" s="153">
        <f t="shared" si="278"/>
        <v>10641.195638801437</v>
      </c>
      <c r="K392" s="163">
        <f t="shared" si="276"/>
        <v>407422.35956704448</v>
      </c>
      <c r="L392" s="153">
        <f t="shared" si="277"/>
        <v>2987763.9701583264</v>
      </c>
      <c r="M392" s="184"/>
      <c r="N392" s="6"/>
    </row>
    <row r="393" spans="1:15" x14ac:dyDescent="0.35">
      <c r="A393" s="152">
        <f t="shared" si="274"/>
        <v>44105</v>
      </c>
      <c r="B393" s="152">
        <f t="shared" si="275"/>
        <v>44119</v>
      </c>
      <c r="C393" s="438"/>
      <c r="D393" s="149" t="s">
        <v>106</v>
      </c>
      <c r="E393" s="149">
        <f t="shared" si="273"/>
        <v>15</v>
      </c>
      <c r="F393" s="153">
        <f>IF(AND(A393&gt;=$F$1,B393&lt;=$F$2),((VLOOKUP(YEAR(B393),'DIF MES'!A$2:E$38,5)*E393)/30),0)</f>
        <v>1692272.5670432847</v>
      </c>
      <c r="G393" s="154">
        <f>VLOOKUP(100*YEAR(A393)+MONTH(A393)-1,IPC!A$14:E$861,2)</f>
        <v>105.29</v>
      </c>
      <c r="H393" s="151">
        <f t="shared" si="279"/>
        <v>105.29</v>
      </c>
      <c r="I393" s="153">
        <f t="shared" si="246"/>
        <v>1692272.5670432847</v>
      </c>
      <c r="J393" s="153">
        <f t="shared" si="278"/>
        <v>0</v>
      </c>
      <c r="K393" s="163">
        <f t="shared" si="276"/>
        <v>203072.70804519416</v>
      </c>
      <c r="L393" s="153">
        <f t="shared" si="277"/>
        <v>1489199.8589980905</v>
      </c>
      <c r="M393" s="184"/>
      <c r="N393" s="6"/>
    </row>
    <row r="394" spans="1:15" x14ac:dyDescent="0.35">
      <c r="A394" s="152">
        <f t="shared" si="274"/>
        <v>44136</v>
      </c>
      <c r="B394" s="152">
        <f t="shared" si="275"/>
        <v>44165</v>
      </c>
      <c r="C394" s="438"/>
      <c r="D394" s="149" t="s">
        <v>107</v>
      </c>
      <c r="E394" s="149">
        <f t="shared" si="273"/>
        <v>30</v>
      </c>
      <c r="F394" s="153">
        <f>IF(AND(A394&gt;=$F$1,B394&lt;=$F$2),((VLOOKUP(YEAR(B394),'DIF MES'!A$2:E$38,5)*E394)/30),0)</f>
        <v>0</v>
      </c>
      <c r="G394" s="154">
        <f>VLOOKUP(100*YEAR(A394)+MONTH(A394)-1,IPC!A$14:E$861,2)</f>
        <v>105.23</v>
      </c>
      <c r="H394" s="151">
        <f t="shared" si="279"/>
        <v>105.29</v>
      </c>
      <c r="I394" s="153">
        <f t="shared" si="246"/>
        <v>0</v>
      </c>
      <c r="J394" s="153">
        <f t="shared" si="278"/>
        <v>0</v>
      </c>
      <c r="K394" s="163">
        <f t="shared" si="276"/>
        <v>0</v>
      </c>
      <c r="L394" s="153">
        <f t="shared" si="277"/>
        <v>0</v>
      </c>
      <c r="M394" s="184"/>
      <c r="N394" s="6"/>
    </row>
    <row r="395" spans="1:15" x14ac:dyDescent="0.35">
      <c r="A395" s="156">
        <f t="shared" ref="A395" si="280">A394</f>
        <v>44136</v>
      </c>
      <c r="B395" s="156">
        <f t="shared" ref="B395" si="281">B394</f>
        <v>44165</v>
      </c>
      <c r="C395" s="438"/>
      <c r="D395" s="157" t="s">
        <v>101</v>
      </c>
      <c r="E395" s="157">
        <f t="shared" si="273"/>
        <v>30</v>
      </c>
      <c r="F395" s="153">
        <f>IF(AND(A395&gt;=$F$1,B395&lt;=$F$2),((VLOOKUP(YEAR(B395),'DIF MES'!A$2:E$38,5)*E395)/30),0)</f>
        <v>0</v>
      </c>
      <c r="G395" s="158">
        <f>VLOOKUP(100*YEAR(A395)+MONTH(A395)-1,IPC!A$14:E$861,2)</f>
        <v>105.23</v>
      </c>
      <c r="H395" s="159">
        <f t="shared" si="279"/>
        <v>105.29</v>
      </c>
      <c r="I395" s="161">
        <f t="shared" si="246"/>
        <v>0</v>
      </c>
      <c r="J395" s="161">
        <f t="shared" si="278"/>
        <v>0</v>
      </c>
      <c r="K395" s="163">
        <f t="shared" si="276"/>
        <v>0</v>
      </c>
      <c r="L395" s="161">
        <f t="shared" si="277"/>
        <v>0</v>
      </c>
      <c r="M395" s="184"/>
      <c r="N395" s="6"/>
    </row>
    <row r="396" spans="1:15" x14ac:dyDescent="0.35">
      <c r="A396" s="152">
        <f t="shared" ref="A396" si="282">IF(
AND(YEAR(B394)=YEAR(DATE(YEAR($F$1),MONTH($F$1)-1,1)),
MONTH(B394)=MONTH(DATE(YEAR($F$1),MONTH($F$1)-1,1))),
$F$1,
DATE(YEAR(B394),MONTH(B394)+1,1))</f>
        <v>44166</v>
      </c>
      <c r="B396" s="152">
        <f t="shared" ref="B396" si="283">IF(
AND(
YEAR(B394)=YEAR(DATE(YEAR($F$2),MONTH($F$2)-1,1)),
MONTH(B394)=MONTH(DATE(YEAR($F$2),MONTH($F$2)-1,1))
),
$F$2,
EOMONTH(B394,1)
)</f>
        <v>44196</v>
      </c>
      <c r="C396" s="439"/>
      <c r="D396" s="149" t="s">
        <v>108</v>
      </c>
      <c r="E396" s="149">
        <f t="shared" si="273"/>
        <v>30</v>
      </c>
      <c r="F396" s="153">
        <f>IF(AND(A396&gt;=$F$1,B396&lt;=$F$2),((VLOOKUP(YEAR(B396),'DIF MES'!A$2:E$38,5)*E396)/30),0)</f>
        <v>0</v>
      </c>
      <c r="G396" s="154">
        <f>VLOOKUP(100*YEAR(A396)+MONTH(A396)-1,IPC!A$14:E$861,2)</f>
        <v>105.08</v>
      </c>
      <c r="H396" s="151">
        <f t="shared" si="279"/>
        <v>105.29</v>
      </c>
      <c r="I396" s="153">
        <f t="shared" si="246"/>
        <v>0</v>
      </c>
      <c r="J396" s="153">
        <f t="shared" si="278"/>
        <v>0</v>
      </c>
      <c r="K396" s="163">
        <f t="shared" si="276"/>
        <v>0</v>
      </c>
      <c r="L396" s="153">
        <f t="shared" si="277"/>
        <v>0</v>
      </c>
      <c r="M396" s="184"/>
      <c r="N396" s="6"/>
    </row>
    <row r="397" spans="1:15" x14ac:dyDescent="0.35">
      <c r="A397" s="152">
        <f t="shared" si="267"/>
        <v>44197</v>
      </c>
      <c r="B397" s="152">
        <f t="shared" si="268"/>
        <v>44227</v>
      </c>
      <c r="C397" s="437">
        <v>2021</v>
      </c>
      <c r="D397" s="149" t="s">
        <v>96</v>
      </c>
      <c r="E397" s="149">
        <f t="shared" si="273"/>
        <v>30</v>
      </c>
      <c r="F397" s="153">
        <f>IF(AND(A397&gt;=$F$1,B397&lt;=$F$2),((VLOOKUP(YEAR(B397),'DIF MES'!A$2:E$38,5)*E397)/30),0)</f>
        <v>0</v>
      </c>
      <c r="G397" s="154">
        <f>VLOOKUP(100*YEAR(A397)+MONTH(A397)-1,IPC!A$14:E$861,2)</f>
        <v>105.48</v>
      </c>
      <c r="H397" s="151">
        <f t="shared" si="279"/>
        <v>105.29</v>
      </c>
      <c r="I397" s="153">
        <f t="shared" si="246"/>
        <v>0</v>
      </c>
      <c r="J397" s="153">
        <f t="shared" si="278"/>
        <v>0</v>
      </c>
      <c r="K397" s="163">
        <f t="shared" si="276"/>
        <v>0</v>
      </c>
      <c r="L397" s="153">
        <f t="shared" si="277"/>
        <v>0</v>
      </c>
      <c r="M397" s="184"/>
      <c r="N397" s="6"/>
    </row>
    <row r="398" spans="1:15" x14ac:dyDescent="0.35">
      <c r="A398" s="152">
        <f t="shared" si="267"/>
        <v>44228</v>
      </c>
      <c r="B398" s="152">
        <f t="shared" si="268"/>
        <v>44255</v>
      </c>
      <c r="C398" s="438"/>
      <c r="D398" s="149" t="s">
        <v>97</v>
      </c>
      <c r="E398" s="149">
        <f t="shared" si="273"/>
        <v>30</v>
      </c>
      <c r="F398" s="153">
        <f>IF(AND(A398&gt;=$F$1,B398&lt;=$F$2),((VLOOKUP(YEAR(B398),'DIF MES'!A$2:E$38,5)*E398)/30),0)</f>
        <v>0</v>
      </c>
      <c r="G398" s="154">
        <f>VLOOKUP(100*YEAR(A398)+MONTH(A398)-1,IPC!A$14:E$861,2)</f>
        <v>105.91</v>
      </c>
      <c r="H398" s="151">
        <f t="shared" si="279"/>
        <v>105.29</v>
      </c>
      <c r="I398" s="153">
        <f t="shared" si="246"/>
        <v>0</v>
      </c>
      <c r="J398" s="153">
        <f t="shared" si="278"/>
        <v>0</v>
      </c>
      <c r="K398" s="163">
        <f t="shared" si="276"/>
        <v>0</v>
      </c>
      <c r="L398" s="153">
        <f t="shared" si="277"/>
        <v>0</v>
      </c>
      <c r="M398" s="184"/>
      <c r="N398" s="6"/>
    </row>
    <row r="399" spans="1:15" x14ac:dyDescent="0.35">
      <c r="A399" s="152">
        <f t="shared" si="267"/>
        <v>44256</v>
      </c>
      <c r="B399" s="152">
        <f t="shared" si="268"/>
        <v>44286</v>
      </c>
      <c r="C399" s="438"/>
      <c r="D399" s="149" t="s">
        <v>98</v>
      </c>
      <c r="E399" s="149">
        <f t="shared" si="273"/>
        <v>30</v>
      </c>
      <c r="F399" s="153">
        <f>IF(AND(A399&gt;=$F$1,B399&lt;=$F$2),((VLOOKUP(YEAR(B399),'DIF MES'!A$2:E$38,5)*E399)/30),0)</f>
        <v>0</v>
      </c>
      <c r="G399" s="154">
        <f>VLOOKUP(100*YEAR(A399)+MONTH(A399)-1,IPC!A$14:E$861,2)</f>
        <v>106.58</v>
      </c>
      <c r="H399" s="151">
        <f t="shared" si="279"/>
        <v>105.29</v>
      </c>
      <c r="I399" s="153">
        <f t="shared" si="246"/>
        <v>0</v>
      </c>
      <c r="J399" s="153">
        <f t="shared" si="278"/>
        <v>0</v>
      </c>
      <c r="K399" s="163">
        <f t="shared" si="276"/>
        <v>0</v>
      </c>
      <c r="L399" s="153">
        <f t="shared" si="277"/>
        <v>0</v>
      </c>
      <c r="M399" s="184"/>
      <c r="N399" s="6"/>
    </row>
    <row r="400" spans="1:15" x14ac:dyDescent="0.35">
      <c r="A400" s="152">
        <f t="shared" si="267"/>
        <v>44287</v>
      </c>
      <c r="B400" s="152">
        <f t="shared" si="268"/>
        <v>44316</v>
      </c>
      <c r="C400" s="438"/>
      <c r="D400" s="149" t="s">
        <v>99</v>
      </c>
      <c r="E400" s="149">
        <f t="shared" si="273"/>
        <v>30</v>
      </c>
      <c r="F400" s="153">
        <f>IF(AND(A400&gt;=$F$1,B400&lt;=$F$2),((VLOOKUP(YEAR(B400),'DIF MES'!A$2:E$38,5)*E400)/30),0)</f>
        <v>0</v>
      </c>
      <c r="G400" s="154">
        <f>VLOOKUP(100*YEAR(A400)+MONTH(A400)-1,IPC!A$14:E$861,2)</f>
        <v>107.12</v>
      </c>
      <c r="H400" s="151">
        <f t="shared" si="279"/>
        <v>105.29</v>
      </c>
      <c r="I400" s="153">
        <f t="shared" si="246"/>
        <v>0</v>
      </c>
      <c r="J400" s="153">
        <f t="shared" si="278"/>
        <v>0</v>
      </c>
      <c r="K400" s="163">
        <f t="shared" si="276"/>
        <v>0</v>
      </c>
      <c r="L400" s="153">
        <f t="shared" si="277"/>
        <v>0</v>
      </c>
      <c r="M400" s="184"/>
      <c r="N400" s="6"/>
    </row>
    <row r="401" spans="1:14" x14ac:dyDescent="0.35">
      <c r="A401" s="152">
        <f t="shared" si="267"/>
        <v>44317</v>
      </c>
      <c r="B401" s="152">
        <f t="shared" si="268"/>
        <v>44347</v>
      </c>
      <c r="C401" s="438"/>
      <c r="D401" s="149" t="s">
        <v>100</v>
      </c>
      <c r="E401" s="149">
        <f t="shared" si="273"/>
        <v>30</v>
      </c>
      <c r="F401" s="153">
        <f>IF(AND(A401&gt;=$F$1,B401&lt;=$F$2),((VLOOKUP(YEAR(B401),'DIF MES'!A$2:E$38,5)*E401)/30),0)</f>
        <v>0</v>
      </c>
      <c r="G401" s="154">
        <f>VLOOKUP(100*YEAR(A401)+MONTH(A401)-1,IPC!A$14:E$861,2)</f>
        <v>107.76</v>
      </c>
      <c r="H401" s="151">
        <f t="shared" si="279"/>
        <v>105.29</v>
      </c>
      <c r="I401" s="153">
        <f t="shared" si="246"/>
        <v>0</v>
      </c>
      <c r="J401" s="153">
        <f t="shared" si="278"/>
        <v>0</v>
      </c>
      <c r="K401" s="163">
        <f t="shared" si="276"/>
        <v>0</v>
      </c>
      <c r="L401" s="153">
        <f t="shared" si="277"/>
        <v>0</v>
      </c>
      <c r="M401" s="184"/>
      <c r="N401" s="6"/>
    </row>
    <row r="402" spans="1:14" x14ac:dyDescent="0.35">
      <c r="A402" s="156">
        <f t="shared" ref="A402" si="284">A403</f>
        <v>44348</v>
      </c>
      <c r="B402" s="156">
        <f t="shared" ref="B402" si="285">B403</f>
        <v>44377</v>
      </c>
      <c r="C402" s="438"/>
      <c r="D402" s="157" t="s">
        <v>101</v>
      </c>
      <c r="E402" s="157">
        <f t="shared" si="273"/>
        <v>30</v>
      </c>
      <c r="F402" s="153">
        <f>IF(AND(A402&gt;=$F$1,B402&lt;=$F$2),((VLOOKUP(YEAR(B402),'DIF MES'!A$2:E$38,5)*E402)/30),0)</f>
        <v>0</v>
      </c>
      <c r="G402" s="158">
        <f>VLOOKUP(100*YEAR(A402)+MONTH(A402)-1,IPC!A$14:E$861,2)</f>
        <v>108.84</v>
      </c>
      <c r="H402" s="159">
        <f t="shared" si="279"/>
        <v>105.29</v>
      </c>
      <c r="I402" s="160">
        <f>F402*(H402/G402)</f>
        <v>0</v>
      </c>
      <c r="J402" s="161">
        <f>+I402-F402</f>
        <v>0</v>
      </c>
      <c r="K402" s="163">
        <f>IF(D402="adicional", 0, +I402*0.12)</f>
        <v>0</v>
      </c>
      <c r="L402" s="161">
        <f>+I402-K402</f>
        <v>0</v>
      </c>
      <c r="M402" s="184"/>
      <c r="N402" s="6"/>
    </row>
    <row r="403" spans="1:14" x14ac:dyDescent="0.35">
      <c r="A403" s="152">
        <f t="shared" ref="A403" si="286">IF(
AND(YEAR(B401)=YEAR(DATE(YEAR($F$1),MONTH($F$1)-1,1)),
MONTH(B401)=MONTH(DATE(YEAR($F$1),MONTH($F$1)-1,1))),
$F$1,
DATE(YEAR(B401),MONTH(B401)+1,1))</f>
        <v>44348</v>
      </c>
      <c r="B403" s="152">
        <f t="shared" ref="B403" si="287">IF(
AND(
YEAR(B401)=YEAR(DATE(YEAR($F$2),MONTH($F$2)-1,1)),
MONTH(B401)=MONTH(DATE(YEAR($F$2),MONTH($F$2)-1,1))
),
$F$2,
EOMONTH(B401,1)
)</f>
        <v>44377</v>
      </c>
      <c r="C403" s="438"/>
      <c r="D403" s="149" t="s">
        <v>102</v>
      </c>
      <c r="E403" s="149">
        <f t="shared" si="273"/>
        <v>30</v>
      </c>
      <c r="F403" s="153">
        <f>IF(AND(A403&gt;=$F$1,B403&lt;=$F$2),((VLOOKUP(YEAR(B403),'DIF MES'!A$2:E$38,5)*E403)/30),0)</f>
        <v>0</v>
      </c>
      <c r="G403" s="154">
        <f>VLOOKUP(100*YEAR(A403)+MONTH(A403)-1,IPC!A$14:E$861,2)</f>
        <v>108.84</v>
      </c>
      <c r="H403" s="151">
        <f t="shared" si="279"/>
        <v>105.29</v>
      </c>
      <c r="I403" s="153">
        <f>F403*(H403/G403)</f>
        <v>0</v>
      </c>
      <c r="J403" s="153">
        <f>+I403-F403</f>
        <v>0</v>
      </c>
      <c r="K403" s="163">
        <f>IF(D403="adicional", 0, +I403*0.12)</f>
        <v>0</v>
      </c>
      <c r="L403" s="153">
        <f>+I403-K403</f>
        <v>0</v>
      </c>
      <c r="M403" s="184"/>
      <c r="N403" s="6"/>
    </row>
    <row r="404" spans="1:14" x14ac:dyDescent="0.35">
      <c r="A404" s="152">
        <f t="shared" si="274"/>
        <v>44378</v>
      </c>
      <c r="B404" s="152">
        <f t="shared" si="275"/>
        <v>44408</v>
      </c>
      <c r="C404" s="438"/>
      <c r="D404" s="149" t="s">
        <v>103</v>
      </c>
      <c r="E404" s="149">
        <f t="shared" si="273"/>
        <v>30</v>
      </c>
      <c r="F404" s="153">
        <f>IF(AND(A404&gt;=$F$1,B404&lt;=$F$2),((VLOOKUP(YEAR(B404),'DIF MES'!A$2:E$38,5)*E404)/30),0)</f>
        <v>0</v>
      </c>
      <c r="G404" s="154">
        <f>VLOOKUP(100*YEAR(A404)+MONTH(A404)-1,IPC!A$14:E$861,2)</f>
        <v>108.78</v>
      </c>
      <c r="H404" s="151">
        <f t="shared" si="279"/>
        <v>105.29</v>
      </c>
      <c r="I404" s="153">
        <f t="shared" si="246"/>
        <v>0</v>
      </c>
      <c r="J404" s="153">
        <f t="shared" si="278"/>
        <v>0</v>
      </c>
      <c r="K404" s="163">
        <f t="shared" si="276"/>
        <v>0</v>
      </c>
      <c r="L404" s="153">
        <f t="shared" si="277"/>
        <v>0</v>
      </c>
      <c r="M404" s="184"/>
      <c r="N404" s="6"/>
    </row>
    <row r="405" spans="1:14" x14ac:dyDescent="0.35">
      <c r="A405" s="152">
        <f t="shared" si="274"/>
        <v>44409</v>
      </c>
      <c r="B405" s="152">
        <f t="shared" si="275"/>
        <v>44439</v>
      </c>
      <c r="C405" s="438"/>
      <c r="D405" s="149" t="s">
        <v>104</v>
      </c>
      <c r="E405" s="149">
        <f t="shared" si="273"/>
        <v>30</v>
      </c>
      <c r="F405" s="153">
        <f>IF(AND(A405&gt;=$F$1,B405&lt;=$F$2),((VLOOKUP(YEAR(B405),'DIF MES'!A$2:E$38,5)*E405)/30),0)</f>
        <v>0</v>
      </c>
      <c r="G405" s="154">
        <f>VLOOKUP(100*YEAR(A405)+MONTH(A405)-1,IPC!A$14:E$861,2)</f>
        <v>109.14</v>
      </c>
      <c r="H405" s="151">
        <f t="shared" si="279"/>
        <v>105.29</v>
      </c>
      <c r="I405" s="153">
        <f t="shared" si="246"/>
        <v>0</v>
      </c>
      <c r="J405" s="153">
        <f t="shared" si="278"/>
        <v>0</v>
      </c>
      <c r="K405" s="163">
        <f t="shared" si="276"/>
        <v>0</v>
      </c>
      <c r="L405" s="153">
        <f t="shared" si="277"/>
        <v>0</v>
      </c>
      <c r="M405" s="184"/>
      <c r="N405" s="6"/>
    </row>
    <row r="406" spans="1:14" ht="20" x14ac:dyDescent="0.35">
      <c r="A406" s="152">
        <f t="shared" si="274"/>
        <v>44440</v>
      </c>
      <c r="B406" s="152">
        <f t="shared" si="275"/>
        <v>44469</v>
      </c>
      <c r="C406" s="438"/>
      <c r="D406" s="149" t="s">
        <v>105</v>
      </c>
      <c r="E406" s="149">
        <f t="shared" si="273"/>
        <v>30</v>
      </c>
      <c r="F406" s="153">
        <f>IF(AND(A406&gt;=$F$1,B406&lt;=$F$2),((VLOOKUP(YEAR(B406),'DIF MES'!A$2:E$38,5)*E406)/30),0)</f>
        <v>0</v>
      </c>
      <c r="G406" s="154">
        <f>VLOOKUP(100*YEAR(A406)+MONTH(A406)-1,IPC!A$14:E$861,2)</f>
        <v>109.62</v>
      </c>
      <c r="H406" s="151">
        <f t="shared" si="279"/>
        <v>105.29</v>
      </c>
      <c r="I406" s="153">
        <f t="shared" si="246"/>
        <v>0</v>
      </c>
      <c r="J406" s="153">
        <f t="shared" si="278"/>
        <v>0</v>
      </c>
      <c r="K406" s="163">
        <f t="shared" si="276"/>
        <v>0</v>
      </c>
      <c r="L406" s="153">
        <f t="shared" si="277"/>
        <v>0</v>
      </c>
      <c r="M406" s="184"/>
      <c r="N406" s="6"/>
    </row>
    <row r="407" spans="1:14" x14ac:dyDescent="0.35">
      <c r="A407" s="152">
        <f t="shared" si="274"/>
        <v>44470</v>
      </c>
      <c r="B407" s="152">
        <f t="shared" si="275"/>
        <v>44500</v>
      </c>
      <c r="C407" s="438"/>
      <c r="D407" s="149" t="s">
        <v>106</v>
      </c>
      <c r="E407" s="149">
        <f t="shared" si="273"/>
        <v>30</v>
      </c>
      <c r="F407" s="153">
        <f>IF(AND(A407&gt;=$F$1,B407&lt;=$F$2),((VLOOKUP(YEAR(B407),'DIF MES'!A$2:E$38,5)*E407)/30),0)</f>
        <v>0</v>
      </c>
      <c r="G407" s="154">
        <f>VLOOKUP(100*YEAR(A407)+MONTH(A407)-1,IPC!A$14:E$861,2)</f>
        <v>110.04</v>
      </c>
      <c r="H407" s="151">
        <f t="shared" si="279"/>
        <v>105.29</v>
      </c>
      <c r="I407" s="153">
        <f t="shared" si="246"/>
        <v>0</v>
      </c>
      <c r="J407" s="153">
        <f t="shared" si="278"/>
        <v>0</v>
      </c>
      <c r="K407" s="163">
        <f t="shared" si="276"/>
        <v>0</v>
      </c>
      <c r="L407" s="153">
        <f t="shared" si="277"/>
        <v>0</v>
      </c>
      <c r="M407" s="184"/>
      <c r="N407" s="6"/>
    </row>
    <row r="408" spans="1:14" x14ac:dyDescent="0.35">
      <c r="A408" s="152">
        <f t="shared" si="274"/>
        <v>44501</v>
      </c>
      <c r="B408" s="152">
        <f t="shared" si="275"/>
        <v>44530</v>
      </c>
      <c r="C408" s="438"/>
      <c r="D408" s="149" t="s">
        <v>107</v>
      </c>
      <c r="E408" s="149">
        <f t="shared" si="273"/>
        <v>30</v>
      </c>
      <c r="F408" s="153">
        <f>IF(AND(A408&gt;=$F$1,B408&lt;=$F$2),((VLOOKUP(YEAR(B408),'DIF MES'!A$2:E$38,5)*E408)/30),0)</f>
        <v>0</v>
      </c>
      <c r="G408" s="154">
        <f>VLOOKUP(100*YEAR(A408)+MONTH(A408)-1,IPC!A$14:E$861,2)</f>
        <v>110.06</v>
      </c>
      <c r="H408" s="151">
        <f t="shared" si="279"/>
        <v>105.29</v>
      </c>
      <c r="I408" s="153">
        <f t="shared" si="246"/>
        <v>0</v>
      </c>
      <c r="J408" s="153">
        <f t="shared" si="278"/>
        <v>0</v>
      </c>
      <c r="K408" s="163">
        <f t="shared" si="276"/>
        <v>0</v>
      </c>
      <c r="L408" s="153">
        <f t="shared" si="277"/>
        <v>0</v>
      </c>
      <c r="M408" s="184"/>
      <c r="N408" s="6"/>
    </row>
    <row r="409" spans="1:14" x14ac:dyDescent="0.35">
      <c r="A409" s="156">
        <f t="shared" ref="A409" si="288">A408</f>
        <v>44501</v>
      </c>
      <c r="B409" s="156">
        <f t="shared" ref="B409" si="289">B408</f>
        <v>44530</v>
      </c>
      <c r="C409" s="438"/>
      <c r="D409" s="157" t="s">
        <v>101</v>
      </c>
      <c r="E409" s="157">
        <f t="shared" si="273"/>
        <v>30</v>
      </c>
      <c r="F409" s="153">
        <f>IF(AND(A409&gt;=$F$1,B409&lt;=$F$2),((VLOOKUP(YEAR(B409),'DIF MES'!A$2:E$38,5)*E409)/30),0)</f>
        <v>0</v>
      </c>
      <c r="G409" s="158">
        <f>VLOOKUP(100*YEAR(A409)+MONTH(A409)-1,IPC!A$14:E$861,2)</f>
        <v>110.06</v>
      </c>
      <c r="H409" s="159">
        <f t="shared" si="279"/>
        <v>105.29</v>
      </c>
      <c r="I409" s="161">
        <f t="shared" si="246"/>
        <v>0</v>
      </c>
      <c r="J409" s="161">
        <f t="shared" si="278"/>
        <v>0</v>
      </c>
      <c r="K409" s="163">
        <f t="shared" si="276"/>
        <v>0</v>
      </c>
      <c r="L409" s="161">
        <f t="shared" si="277"/>
        <v>0</v>
      </c>
      <c r="M409" s="184"/>
      <c r="N409" s="6"/>
    </row>
    <row r="410" spans="1:14" x14ac:dyDescent="0.35">
      <c r="A410" s="152">
        <f t="shared" ref="A410" si="290">IF(
AND(YEAR(B408)=YEAR(DATE(YEAR($F$1),MONTH($F$1)-1,1)),
MONTH(B408)=MONTH(DATE(YEAR($F$1),MONTH($F$1)-1,1))),
$F$1,
DATE(YEAR(B408),MONTH(B408)+1,1))</f>
        <v>44531</v>
      </c>
      <c r="B410" s="152">
        <f t="shared" ref="B410" si="291">IF(
AND(
YEAR(B408)=YEAR(DATE(YEAR($F$2),MONTH($F$2)-1,1)),
MONTH(B408)=MONTH(DATE(YEAR($F$2),MONTH($F$2)-1,1))
),
$F$2,
EOMONTH(B408,1)
)</f>
        <v>44561</v>
      </c>
      <c r="C410" s="439"/>
      <c r="D410" s="149" t="s">
        <v>108</v>
      </c>
      <c r="E410" s="149">
        <f t="shared" si="273"/>
        <v>30</v>
      </c>
      <c r="F410" s="153">
        <f>IF(AND(A410&gt;=$F$1,B410&lt;=$F$2),((VLOOKUP(YEAR(B410),'DIF MES'!A$2:E$38,5)*E410)/30),0)</f>
        <v>0</v>
      </c>
      <c r="G410" s="154">
        <f>VLOOKUP(100*YEAR(A410)+MONTH(A410)-1,IPC!A$14:E$861,2)</f>
        <v>110.6</v>
      </c>
      <c r="H410" s="151">
        <f t="shared" si="279"/>
        <v>105.29</v>
      </c>
      <c r="I410" s="153">
        <f t="shared" ref="I410:I438" si="292">F410*(H410/G410)</f>
        <v>0</v>
      </c>
      <c r="J410" s="153">
        <f t="shared" si="278"/>
        <v>0</v>
      </c>
      <c r="K410" s="163">
        <f t="shared" si="276"/>
        <v>0</v>
      </c>
      <c r="L410" s="153">
        <f t="shared" si="277"/>
        <v>0</v>
      </c>
      <c r="M410" s="184"/>
      <c r="N410" s="6"/>
    </row>
    <row r="411" spans="1:14" x14ac:dyDescent="0.35">
      <c r="A411" s="152">
        <f t="shared" si="267"/>
        <v>44562</v>
      </c>
      <c r="B411" s="152">
        <f t="shared" si="268"/>
        <v>44592</v>
      </c>
      <c r="C411" s="437">
        <v>2022</v>
      </c>
      <c r="D411" s="149" t="s">
        <v>96</v>
      </c>
      <c r="E411" s="149">
        <f t="shared" si="273"/>
        <v>30</v>
      </c>
      <c r="F411" s="153">
        <f>IF(AND(A411&gt;=$F$1,B411&lt;=$F$2),((VLOOKUP(YEAR(B411),'DIF MES'!A$2:E$38,5)*E411)/30),0)</f>
        <v>0</v>
      </c>
      <c r="G411" s="154">
        <f>VLOOKUP(100*YEAR(A411)+MONTH(A411)-1,IPC!A$14:E$861,2)</f>
        <v>111.41</v>
      </c>
      <c r="H411" s="151">
        <f t="shared" si="279"/>
        <v>105.29</v>
      </c>
      <c r="I411" s="153">
        <f t="shared" si="292"/>
        <v>0</v>
      </c>
      <c r="J411" s="153">
        <f t="shared" si="278"/>
        <v>0</v>
      </c>
      <c r="K411" s="163">
        <f t="shared" si="276"/>
        <v>0</v>
      </c>
      <c r="L411" s="153">
        <f t="shared" si="277"/>
        <v>0</v>
      </c>
      <c r="M411" s="184"/>
      <c r="N411" s="6"/>
    </row>
    <row r="412" spans="1:14" x14ac:dyDescent="0.35">
      <c r="A412" s="152">
        <f t="shared" si="267"/>
        <v>44593</v>
      </c>
      <c r="B412" s="152">
        <f t="shared" si="268"/>
        <v>44620</v>
      </c>
      <c r="C412" s="438"/>
      <c r="D412" s="149" t="s">
        <v>97</v>
      </c>
      <c r="E412" s="149">
        <f t="shared" si="273"/>
        <v>30</v>
      </c>
      <c r="F412" s="153">
        <f>IF(AND(A412&gt;=$F$1,B412&lt;=$F$2),((VLOOKUP(YEAR(B412),'DIF MES'!A$2:E$38,5)*E412)/30),0)</f>
        <v>0</v>
      </c>
      <c r="G412" s="154">
        <f>VLOOKUP(100*YEAR(A412)+MONTH(A412)-1,IPC!A$14:E$861,2)</f>
        <v>113.26</v>
      </c>
      <c r="H412" s="151">
        <f t="shared" si="279"/>
        <v>105.29</v>
      </c>
      <c r="I412" s="153">
        <f t="shared" si="292"/>
        <v>0</v>
      </c>
      <c r="J412" s="153">
        <f t="shared" si="278"/>
        <v>0</v>
      </c>
      <c r="K412" s="163">
        <f t="shared" si="276"/>
        <v>0</v>
      </c>
      <c r="L412" s="153">
        <f t="shared" si="277"/>
        <v>0</v>
      </c>
      <c r="M412" s="184"/>
      <c r="N412" s="6"/>
    </row>
    <row r="413" spans="1:14" x14ac:dyDescent="0.35">
      <c r="A413" s="152">
        <f t="shared" si="267"/>
        <v>44621</v>
      </c>
      <c r="B413" s="152">
        <f t="shared" si="268"/>
        <v>44651</v>
      </c>
      <c r="C413" s="438"/>
      <c r="D413" s="149" t="s">
        <v>98</v>
      </c>
      <c r="E413" s="149">
        <f t="shared" si="273"/>
        <v>30</v>
      </c>
      <c r="F413" s="153">
        <f>IF(AND(A413&gt;=$F$1,B413&lt;=$F$2),((VLOOKUP(YEAR(B413),'DIF MES'!A$2:E$38,5)*E413)/30),0)</f>
        <v>0</v>
      </c>
      <c r="G413" s="154">
        <f>VLOOKUP(100*YEAR(A413)+MONTH(A413)-1,IPC!A$14:E$861,2)</f>
        <v>115.11</v>
      </c>
      <c r="H413" s="151">
        <f t="shared" si="279"/>
        <v>105.29</v>
      </c>
      <c r="I413" s="153">
        <f t="shared" si="292"/>
        <v>0</v>
      </c>
      <c r="J413" s="153">
        <f t="shared" si="278"/>
        <v>0</v>
      </c>
      <c r="K413" s="163">
        <f t="shared" si="276"/>
        <v>0</v>
      </c>
      <c r="L413" s="153">
        <f t="shared" si="277"/>
        <v>0</v>
      </c>
      <c r="M413" s="184"/>
      <c r="N413" s="6"/>
    </row>
    <row r="414" spans="1:14" x14ac:dyDescent="0.35">
      <c r="A414" s="152">
        <f t="shared" si="267"/>
        <v>44652</v>
      </c>
      <c r="B414" s="152">
        <f t="shared" si="268"/>
        <v>44681</v>
      </c>
      <c r="C414" s="438"/>
      <c r="D414" s="149" t="s">
        <v>99</v>
      </c>
      <c r="E414" s="149">
        <f t="shared" si="273"/>
        <v>30</v>
      </c>
      <c r="F414" s="153">
        <f>IF(AND(A414&gt;=$F$1,B414&lt;=$F$2),((VLOOKUP(YEAR(B414),'DIF MES'!A$2:E$38,5)*E414)/30),0)</f>
        <v>0</v>
      </c>
      <c r="G414" s="154">
        <f>VLOOKUP(100*YEAR(A414)+MONTH(A414)-1,IPC!A$14:E$861,2)</f>
        <v>116.26</v>
      </c>
      <c r="H414" s="151">
        <f t="shared" si="279"/>
        <v>105.29</v>
      </c>
      <c r="I414" s="153">
        <f t="shared" si="292"/>
        <v>0</v>
      </c>
      <c r="J414" s="153">
        <f t="shared" si="278"/>
        <v>0</v>
      </c>
      <c r="K414" s="163">
        <f t="shared" si="276"/>
        <v>0</v>
      </c>
      <c r="L414" s="153">
        <f t="shared" si="277"/>
        <v>0</v>
      </c>
      <c r="M414" s="184"/>
      <c r="N414" s="6"/>
    </row>
    <row r="415" spans="1:14" x14ac:dyDescent="0.35">
      <c r="A415" s="152">
        <f t="shared" si="267"/>
        <v>44682</v>
      </c>
      <c r="B415" s="152">
        <f t="shared" si="268"/>
        <v>44712</v>
      </c>
      <c r="C415" s="438"/>
      <c r="D415" s="149" t="s">
        <v>100</v>
      </c>
      <c r="E415" s="149">
        <f t="shared" si="273"/>
        <v>30</v>
      </c>
      <c r="F415" s="153">
        <f>IF(AND(A415&gt;=$F$1,B415&lt;=$F$2),((VLOOKUP(YEAR(B415),'DIF MES'!A$2:E$38,5)*E415)/30),0)</f>
        <v>0</v>
      </c>
      <c r="G415" s="154">
        <f>VLOOKUP(100*YEAR(A415)+MONTH(A415)-1,IPC!A$14:E$861,2)</f>
        <v>117.71</v>
      </c>
      <c r="H415" s="151">
        <f t="shared" si="279"/>
        <v>105.29</v>
      </c>
      <c r="I415" s="153">
        <f t="shared" si="292"/>
        <v>0</v>
      </c>
      <c r="J415" s="153">
        <f t="shared" si="278"/>
        <v>0</v>
      </c>
      <c r="K415" s="163">
        <f t="shared" si="276"/>
        <v>0</v>
      </c>
      <c r="L415" s="153">
        <f t="shared" si="277"/>
        <v>0</v>
      </c>
      <c r="M415" s="184"/>
      <c r="N415" s="6"/>
    </row>
    <row r="416" spans="1:14" x14ac:dyDescent="0.35">
      <c r="A416" s="156">
        <f t="shared" ref="A416" si="293">A417</f>
        <v>44713</v>
      </c>
      <c r="B416" s="156">
        <f t="shared" ref="B416" si="294">B417</f>
        <v>44742</v>
      </c>
      <c r="C416" s="438"/>
      <c r="D416" s="157" t="s">
        <v>101</v>
      </c>
      <c r="E416" s="157">
        <f t="shared" si="273"/>
        <v>30</v>
      </c>
      <c r="F416" s="153">
        <f>IF(AND(A416&gt;=$F$1,B416&lt;=$F$2),((VLOOKUP(YEAR(B416),'DIF MES'!A$2:E$38,5)*E416)/30),0)</f>
        <v>0</v>
      </c>
      <c r="G416" s="158">
        <f>VLOOKUP(100*YEAR(A416)+MONTH(A416)-1,IPC!A$14:E$861,2)</f>
        <v>118.7</v>
      </c>
      <c r="H416" s="159">
        <f t="shared" si="279"/>
        <v>105.29</v>
      </c>
      <c r="I416" s="160">
        <f>F416*(H416/G416)</f>
        <v>0</v>
      </c>
      <c r="J416" s="161">
        <f>+I416-F416</f>
        <v>0</v>
      </c>
      <c r="K416" s="163">
        <f>IF(D416="adicional", 0, +I416*0.12)</f>
        <v>0</v>
      </c>
      <c r="L416" s="161">
        <f>+I416-K416</f>
        <v>0</v>
      </c>
      <c r="M416" s="184"/>
      <c r="N416" s="6"/>
    </row>
    <row r="417" spans="1:14" x14ac:dyDescent="0.35">
      <c r="A417" s="152">
        <f t="shared" ref="A417" si="295">IF(
AND(YEAR(B415)=YEAR(DATE(YEAR($F$1),MONTH($F$1)-1,1)),
MONTH(B415)=MONTH(DATE(YEAR($F$1),MONTH($F$1)-1,1))),
$F$1,
DATE(YEAR(B415),MONTH(B415)+1,1))</f>
        <v>44713</v>
      </c>
      <c r="B417" s="152">
        <f t="shared" ref="B417" si="296">IF(
AND(
YEAR(B415)=YEAR(DATE(YEAR($F$2),MONTH($F$2)-1,1)),
MONTH(B415)=MONTH(DATE(YEAR($F$2),MONTH($F$2)-1,1))
),
$F$2,
EOMONTH(B415,1)
)</f>
        <v>44742</v>
      </c>
      <c r="C417" s="438"/>
      <c r="D417" s="149" t="s">
        <v>102</v>
      </c>
      <c r="E417" s="149">
        <f t="shared" si="273"/>
        <v>30</v>
      </c>
      <c r="F417" s="153">
        <f>IF(AND(A417&gt;=$F$1,B417&lt;=$F$2),((VLOOKUP(YEAR(B417),'DIF MES'!A$2:E$38,5)*E417)/30),0)</f>
        <v>0</v>
      </c>
      <c r="G417" s="154">
        <f>VLOOKUP(100*YEAR(A417)+MONTH(A417)-1,IPC!A$14:E$861,2)</f>
        <v>118.7</v>
      </c>
      <c r="H417" s="151">
        <f t="shared" si="279"/>
        <v>105.29</v>
      </c>
      <c r="I417" s="153">
        <f>F417*(H417/G417)</f>
        <v>0</v>
      </c>
      <c r="J417" s="153">
        <f>+I417-F417</f>
        <v>0</v>
      </c>
      <c r="K417" s="163">
        <f>IF(D417="adicional", 0, +I417*0.12)</f>
        <v>0</v>
      </c>
      <c r="L417" s="153">
        <f>+I417-K417</f>
        <v>0</v>
      </c>
      <c r="M417" s="184"/>
      <c r="N417" s="6"/>
    </row>
    <row r="418" spans="1:14" x14ac:dyDescent="0.35">
      <c r="A418" s="152">
        <f t="shared" si="274"/>
        <v>44743</v>
      </c>
      <c r="B418" s="152">
        <f t="shared" si="275"/>
        <v>44773</v>
      </c>
      <c r="C418" s="438"/>
      <c r="D418" s="149" t="s">
        <v>103</v>
      </c>
      <c r="E418" s="149">
        <f t="shared" si="273"/>
        <v>30</v>
      </c>
      <c r="F418" s="153">
        <f>IF(AND(A418&gt;=$F$1,B418&lt;=$F$2),((VLOOKUP(YEAR(B418),'DIF MES'!A$2:E$38,5)*E418)/30),0)</f>
        <v>0</v>
      </c>
      <c r="G418" s="154">
        <f>VLOOKUP(100*YEAR(A418)+MONTH(A418)-1,IPC!A$14:E$861,2)</f>
        <v>119.31</v>
      </c>
      <c r="H418" s="151">
        <f t="shared" si="279"/>
        <v>105.29</v>
      </c>
      <c r="I418" s="153">
        <f t="shared" si="292"/>
        <v>0</v>
      </c>
      <c r="J418" s="153">
        <f t="shared" si="278"/>
        <v>0</v>
      </c>
      <c r="K418" s="163">
        <f t="shared" si="276"/>
        <v>0</v>
      </c>
      <c r="L418" s="153">
        <f t="shared" si="277"/>
        <v>0</v>
      </c>
      <c r="M418" s="184"/>
      <c r="N418" s="6"/>
    </row>
    <row r="419" spans="1:14" x14ac:dyDescent="0.35">
      <c r="A419" s="152">
        <f t="shared" si="274"/>
        <v>44774</v>
      </c>
      <c r="B419" s="152">
        <f t="shared" si="275"/>
        <v>44804</v>
      </c>
      <c r="C419" s="438"/>
      <c r="D419" s="149" t="s">
        <v>104</v>
      </c>
      <c r="E419" s="149">
        <f t="shared" si="273"/>
        <v>30</v>
      </c>
      <c r="F419" s="153">
        <f>IF(AND(A419&gt;=$F$1,B419&lt;=$F$2),((VLOOKUP(YEAR(B419),'DIF MES'!A$2:E$38,5)*E419)/30),0)</f>
        <v>0</v>
      </c>
      <c r="G419" s="154">
        <f>VLOOKUP(100*YEAR(A419)+MONTH(A419)-1,IPC!A$14:E$861,2)</f>
        <v>120.27</v>
      </c>
      <c r="H419" s="151">
        <f t="shared" si="279"/>
        <v>105.29</v>
      </c>
      <c r="I419" s="153">
        <f t="shared" si="292"/>
        <v>0</v>
      </c>
      <c r="J419" s="153">
        <f t="shared" si="278"/>
        <v>0</v>
      </c>
      <c r="K419" s="163">
        <f t="shared" si="276"/>
        <v>0</v>
      </c>
      <c r="L419" s="153">
        <f t="shared" si="277"/>
        <v>0</v>
      </c>
      <c r="M419" s="184"/>
      <c r="N419" s="6"/>
    </row>
    <row r="420" spans="1:14" ht="20" x14ac:dyDescent="0.35">
      <c r="A420" s="152">
        <f t="shared" si="274"/>
        <v>44805</v>
      </c>
      <c r="B420" s="152">
        <f t="shared" si="275"/>
        <v>44834</v>
      </c>
      <c r="C420" s="438"/>
      <c r="D420" s="149" t="s">
        <v>105</v>
      </c>
      <c r="E420" s="149">
        <f t="shared" si="273"/>
        <v>30</v>
      </c>
      <c r="F420" s="153">
        <f>IF(AND(A420&gt;=$F$1,B420&lt;=$F$2),((VLOOKUP(YEAR(B420),'DIF MES'!A$2:E$38,5)*E420)/30),0)</f>
        <v>0</v>
      </c>
      <c r="G420" s="154">
        <f>VLOOKUP(100*YEAR(A420)+MONTH(A420)-1,IPC!A$14:E$861,2)</f>
        <v>121.5</v>
      </c>
      <c r="H420" s="151">
        <f t="shared" si="279"/>
        <v>105.29</v>
      </c>
      <c r="I420" s="153">
        <f t="shared" si="292"/>
        <v>0</v>
      </c>
      <c r="J420" s="153">
        <f t="shared" si="278"/>
        <v>0</v>
      </c>
      <c r="K420" s="163">
        <f t="shared" si="276"/>
        <v>0</v>
      </c>
      <c r="L420" s="153">
        <f t="shared" si="277"/>
        <v>0</v>
      </c>
      <c r="M420" s="184"/>
      <c r="N420" s="6"/>
    </row>
    <row r="421" spans="1:14" x14ac:dyDescent="0.35">
      <c r="A421" s="152">
        <f t="shared" si="274"/>
        <v>44835</v>
      </c>
      <c r="B421" s="152">
        <f t="shared" si="275"/>
        <v>44865</v>
      </c>
      <c r="C421" s="438"/>
      <c r="D421" s="149" t="s">
        <v>106</v>
      </c>
      <c r="E421" s="149">
        <f t="shared" si="273"/>
        <v>30</v>
      </c>
      <c r="F421" s="153">
        <f>IF(AND(A421&gt;=$F$1,B421&lt;=$F$2),((VLOOKUP(YEAR(B421),'DIF MES'!A$2:E$38,5)*E421)/30),0)</f>
        <v>0</v>
      </c>
      <c r="G421" s="154">
        <f>VLOOKUP(100*YEAR(A421)+MONTH(A421)-1,IPC!A$14:E$861,2)</f>
        <v>122.63</v>
      </c>
      <c r="H421" s="151">
        <f t="shared" si="279"/>
        <v>105.29</v>
      </c>
      <c r="I421" s="153">
        <f t="shared" si="292"/>
        <v>0</v>
      </c>
      <c r="J421" s="153">
        <f t="shared" si="278"/>
        <v>0</v>
      </c>
      <c r="K421" s="163">
        <f t="shared" si="276"/>
        <v>0</v>
      </c>
      <c r="L421" s="153">
        <f t="shared" si="277"/>
        <v>0</v>
      </c>
      <c r="M421" s="184"/>
      <c r="N421" s="6"/>
    </row>
    <row r="422" spans="1:14" x14ac:dyDescent="0.35">
      <c r="A422" s="152">
        <f t="shared" si="274"/>
        <v>44866</v>
      </c>
      <c r="B422" s="152">
        <f t="shared" si="275"/>
        <v>44895</v>
      </c>
      <c r="C422" s="438"/>
      <c r="D422" s="149" t="s">
        <v>107</v>
      </c>
      <c r="E422" s="149">
        <f t="shared" si="273"/>
        <v>30</v>
      </c>
      <c r="F422" s="153">
        <f>IF(AND(A422&gt;=$F$1,B422&lt;=$F$2),((VLOOKUP(YEAR(B422),'DIF MES'!A$2:E$38,5)*E422)/30),0)</f>
        <v>0</v>
      </c>
      <c r="G422" s="154">
        <f>VLOOKUP(100*YEAR(A422)+MONTH(A422)-1,IPC!A$14:E$861,2)</f>
        <v>123.51</v>
      </c>
      <c r="H422" s="151">
        <f t="shared" si="279"/>
        <v>105.29</v>
      </c>
      <c r="I422" s="153">
        <f t="shared" si="292"/>
        <v>0</v>
      </c>
      <c r="J422" s="153">
        <f t="shared" si="278"/>
        <v>0</v>
      </c>
      <c r="K422" s="163">
        <f t="shared" si="276"/>
        <v>0</v>
      </c>
      <c r="L422" s="153">
        <f t="shared" si="277"/>
        <v>0</v>
      </c>
      <c r="M422" s="184"/>
      <c r="N422" s="6"/>
    </row>
    <row r="423" spans="1:14" x14ac:dyDescent="0.35">
      <c r="A423" s="156">
        <f t="shared" ref="A423" si="297">A422</f>
        <v>44866</v>
      </c>
      <c r="B423" s="156">
        <f t="shared" ref="B423" si="298">B422</f>
        <v>44895</v>
      </c>
      <c r="C423" s="438"/>
      <c r="D423" s="157" t="s">
        <v>101</v>
      </c>
      <c r="E423" s="157">
        <f t="shared" si="273"/>
        <v>30</v>
      </c>
      <c r="F423" s="153">
        <f>IF(AND(A423&gt;=$F$1,B423&lt;=$F$2),((VLOOKUP(YEAR(B423),'DIF MES'!A$2:E$38,5)*E423)/30),0)</f>
        <v>0</v>
      </c>
      <c r="G423" s="158">
        <f>VLOOKUP(100*YEAR(A423)+MONTH(A423)-1,IPC!A$14:E$861,2)</f>
        <v>123.51</v>
      </c>
      <c r="H423" s="159">
        <f t="shared" si="279"/>
        <v>105.29</v>
      </c>
      <c r="I423" s="161">
        <f t="shared" si="292"/>
        <v>0</v>
      </c>
      <c r="J423" s="161">
        <f t="shared" si="278"/>
        <v>0</v>
      </c>
      <c r="K423" s="163">
        <f t="shared" si="276"/>
        <v>0</v>
      </c>
      <c r="L423" s="161">
        <f t="shared" si="277"/>
        <v>0</v>
      </c>
      <c r="M423" s="184"/>
      <c r="N423" s="6"/>
    </row>
    <row r="424" spans="1:14" x14ac:dyDescent="0.35">
      <c r="A424" s="152">
        <f t="shared" ref="A424" si="299">IF(
AND(YEAR(B422)=YEAR(DATE(YEAR($F$1),MONTH($F$1)-1,1)),
MONTH(B422)=MONTH(DATE(YEAR($F$1),MONTH($F$1)-1,1))),
$F$1,
DATE(YEAR(B422),MONTH(B422)+1,1))</f>
        <v>44896</v>
      </c>
      <c r="B424" s="152">
        <f t="shared" ref="B424" si="300">IF(
AND(
YEAR(B422)=YEAR(DATE(YEAR($F$2),MONTH($F$2)-1,1)),
MONTH(B422)=MONTH(DATE(YEAR($F$2),MONTH($F$2)-1,1))
),
$F$2,
EOMONTH(B422,1)
)</f>
        <v>44926</v>
      </c>
      <c r="C424" s="439"/>
      <c r="D424" s="149" t="s">
        <v>108</v>
      </c>
      <c r="E424" s="149">
        <f t="shared" si="273"/>
        <v>30</v>
      </c>
      <c r="F424" s="153">
        <f>IF(AND(A424&gt;=$F$1,B424&lt;=$F$2),((VLOOKUP(YEAR(B424),'DIF MES'!A$2:E$38,5)*E424)/30),0)</f>
        <v>0</v>
      </c>
      <c r="G424" s="154">
        <f>VLOOKUP(100*YEAR(A424)+MONTH(A424)-1,IPC!A$14:E$861,2)</f>
        <v>124.46</v>
      </c>
      <c r="H424" s="151">
        <f t="shared" si="279"/>
        <v>105.29</v>
      </c>
      <c r="I424" s="153">
        <f t="shared" si="292"/>
        <v>0</v>
      </c>
      <c r="J424" s="153">
        <f t="shared" si="278"/>
        <v>0</v>
      </c>
      <c r="K424" s="163">
        <f t="shared" si="276"/>
        <v>0</v>
      </c>
      <c r="L424" s="153">
        <f t="shared" si="277"/>
        <v>0</v>
      </c>
      <c r="M424" s="184"/>
      <c r="N424" s="6"/>
    </row>
    <row r="425" spans="1:14" x14ac:dyDescent="0.35">
      <c r="A425" s="152">
        <f t="shared" si="267"/>
        <v>44927</v>
      </c>
      <c r="B425" s="152">
        <f t="shared" si="268"/>
        <v>44957</v>
      </c>
      <c r="C425" s="437">
        <v>2023</v>
      </c>
      <c r="D425" s="149" t="s">
        <v>96</v>
      </c>
      <c r="E425" s="149">
        <f t="shared" si="273"/>
        <v>30</v>
      </c>
      <c r="F425" s="153">
        <f>IF(AND(A425&gt;=$F$1,B425&lt;=$F$2),((VLOOKUP(YEAR(B425),'DIF MES'!A$2:E$38,5)*E425)/30),0)</f>
        <v>0</v>
      </c>
      <c r="G425" s="154">
        <f>VLOOKUP(100*YEAR(A425)+MONTH(A425)-1,IPC!A$14:E$861,2)</f>
        <v>126.03</v>
      </c>
      <c r="H425" s="151">
        <f t="shared" si="279"/>
        <v>105.29</v>
      </c>
      <c r="I425" s="153">
        <f t="shared" si="292"/>
        <v>0</v>
      </c>
      <c r="J425" s="153">
        <f t="shared" si="278"/>
        <v>0</v>
      </c>
      <c r="K425" s="163">
        <f t="shared" si="276"/>
        <v>0</v>
      </c>
      <c r="L425" s="153">
        <f t="shared" si="277"/>
        <v>0</v>
      </c>
      <c r="M425" s="184"/>
      <c r="N425" s="6"/>
    </row>
    <row r="426" spans="1:14" x14ac:dyDescent="0.35">
      <c r="A426" s="152">
        <f t="shared" si="267"/>
        <v>44958</v>
      </c>
      <c r="B426" s="152">
        <f t="shared" si="268"/>
        <v>44985</v>
      </c>
      <c r="C426" s="438"/>
      <c r="D426" s="149" t="s">
        <v>97</v>
      </c>
      <c r="E426" s="149">
        <f t="shared" si="273"/>
        <v>30</v>
      </c>
      <c r="F426" s="153">
        <f>IF(AND(A426&gt;=$F$1,B426&lt;=$F$2),((VLOOKUP(YEAR(B426),'DIF MES'!A$2:E$38,5)*E426)/30),0)</f>
        <v>0</v>
      </c>
      <c r="G426" s="154">
        <f>VLOOKUP(100*YEAR(A426)+MONTH(A426)-1,IPC!A$14:E$861,2)</f>
        <v>128.27000000000001</v>
      </c>
      <c r="H426" s="151">
        <f t="shared" si="279"/>
        <v>105.29</v>
      </c>
      <c r="I426" s="153">
        <f t="shared" si="292"/>
        <v>0</v>
      </c>
      <c r="J426" s="153">
        <f t="shared" si="278"/>
        <v>0</v>
      </c>
      <c r="K426" s="163">
        <f t="shared" si="276"/>
        <v>0</v>
      </c>
      <c r="L426" s="153">
        <f t="shared" si="277"/>
        <v>0</v>
      </c>
      <c r="M426" s="184"/>
      <c r="N426" s="6"/>
    </row>
    <row r="427" spans="1:14" x14ac:dyDescent="0.35">
      <c r="A427" s="152">
        <f t="shared" si="267"/>
        <v>44986</v>
      </c>
      <c r="B427" s="152">
        <f t="shared" si="268"/>
        <v>45016</v>
      </c>
      <c r="C427" s="438"/>
      <c r="D427" s="149" t="s">
        <v>98</v>
      </c>
      <c r="E427" s="149">
        <f t="shared" si="273"/>
        <v>30</v>
      </c>
      <c r="F427" s="153">
        <f>IF(AND(A427&gt;=$F$1,B427&lt;=$F$2),((VLOOKUP(YEAR(B427),'DIF MES'!A$2:E$38,5)*E427)/30),0)</f>
        <v>0</v>
      </c>
      <c r="G427" s="154">
        <f>VLOOKUP(100*YEAR(A427)+MONTH(A427)-1,IPC!A$14:E$861,2)</f>
        <v>130.4</v>
      </c>
      <c r="H427" s="151">
        <f t="shared" si="279"/>
        <v>105.29</v>
      </c>
      <c r="I427" s="153">
        <f t="shared" si="292"/>
        <v>0</v>
      </c>
      <c r="J427" s="153">
        <f t="shared" si="278"/>
        <v>0</v>
      </c>
      <c r="K427" s="163">
        <f t="shared" si="276"/>
        <v>0</v>
      </c>
      <c r="L427" s="153">
        <f t="shared" si="277"/>
        <v>0</v>
      </c>
      <c r="M427" s="184"/>
      <c r="N427" s="6"/>
    </row>
    <row r="428" spans="1:14" x14ac:dyDescent="0.35">
      <c r="A428" s="152">
        <f t="shared" si="267"/>
        <v>45017</v>
      </c>
      <c r="B428" s="152">
        <f t="shared" si="268"/>
        <v>45046</v>
      </c>
      <c r="C428" s="438"/>
      <c r="D428" s="149" t="s">
        <v>99</v>
      </c>
      <c r="E428" s="149">
        <f t="shared" si="273"/>
        <v>30</v>
      </c>
      <c r="F428" s="153">
        <f>IF(AND(A428&gt;=$F$1,B428&lt;=$F$2),((VLOOKUP(YEAR(B428),'DIF MES'!A$2:E$38,5)*E428)/30),0)</f>
        <v>0</v>
      </c>
      <c r="G428" s="154">
        <f>VLOOKUP(100*YEAR(A428)+MONTH(A428)-1,IPC!A$14:E$861,2)</f>
        <v>131.77000000000001</v>
      </c>
      <c r="H428" s="151">
        <f t="shared" si="279"/>
        <v>105.29</v>
      </c>
      <c r="I428" s="153">
        <f t="shared" si="292"/>
        <v>0</v>
      </c>
      <c r="J428" s="153">
        <f t="shared" si="278"/>
        <v>0</v>
      </c>
      <c r="K428" s="163">
        <f t="shared" si="276"/>
        <v>0</v>
      </c>
      <c r="L428" s="153">
        <f t="shared" si="277"/>
        <v>0</v>
      </c>
      <c r="M428" s="184"/>
      <c r="N428" s="6"/>
    </row>
    <row r="429" spans="1:14" x14ac:dyDescent="0.35">
      <c r="A429" s="152">
        <f t="shared" si="267"/>
        <v>45047</v>
      </c>
      <c r="B429" s="152">
        <f t="shared" si="268"/>
        <v>45077</v>
      </c>
      <c r="C429" s="438"/>
      <c r="D429" s="149" t="s">
        <v>100</v>
      </c>
      <c r="E429" s="149">
        <f t="shared" si="273"/>
        <v>30</v>
      </c>
      <c r="F429" s="153">
        <f>IF(AND(A429&gt;=$F$1,B429&lt;=$F$2),((VLOOKUP(YEAR(B429),'DIF MES'!A$2:E$38,5)*E429)/30),0)</f>
        <v>0</v>
      </c>
      <c r="G429" s="154">
        <f>VLOOKUP(100*YEAR(A429)+MONTH(A429)-1,IPC!A$14:E$861,2)</f>
        <v>132.80000000000001</v>
      </c>
      <c r="H429" s="151">
        <f t="shared" si="279"/>
        <v>105.29</v>
      </c>
      <c r="I429" s="153">
        <f t="shared" si="292"/>
        <v>0</v>
      </c>
      <c r="J429" s="153">
        <f t="shared" si="278"/>
        <v>0</v>
      </c>
      <c r="K429" s="163">
        <f t="shared" si="276"/>
        <v>0</v>
      </c>
      <c r="L429" s="153">
        <f t="shared" si="277"/>
        <v>0</v>
      </c>
      <c r="M429" s="184"/>
      <c r="N429" s="6"/>
    </row>
    <row r="430" spans="1:14" x14ac:dyDescent="0.35">
      <c r="A430" s="156">
        <f t="shared" ref="A430" si="301">A431</f>
        <v>45078</v>
      </c>
      <c r="B430" s="156">
        <f t="shared" ref="B430" si="302">B431</f>
        <v>45107</v>
      </c>
      <c r="C430" s="438"/>
      <c r="D430" s="157" t="s">
        <v>101</v>
      </c>
      <c r="E430" s="157">
        <f t="shared" si="273"/>
        <v>30</v>
      </c>
      <c r="F430" s="153">
        <f>IF(AND(A430&gt;=$F$1,B430&lt;=$F$2),((VLOOKUP(YEAR(B430),'DIF MES'!A$2:E$38,5)*E430)/30),0)</f>
        <v>0</v>
      </c>
      <c r="G430" s="158">
        <f>VLOOKUP(100*YEAR(A430)+MONTH(A430)-1,IPC!A$14:E$861,2)</f>
        <v>133.38</v>
      </c>
      <c r="H430" s="159">
        <f t="shared" si="279"/>
        <v>105.29</v>
      </c>
      <c r="I430" s="160">
        <f>F430*(H430/G430)</f>
        <v>0</v>
      </c>
      <c r="J430" s="161">
        <f>+I430-F430</f>
        <v>0</v>
      </c>
      <c r="K430" s="163">
        <f>IF(D430="adicional", 0, +I430*0.12)</f>
        <v>0</v>
      </c>
      <c r="L430" s="161">
        <f>+I430-K430</f>
        <v>0</v>
      </c>
      <c r="M430" s="184"/>
      <c r="N430" s="6"/>
    </row>
    <row r="431" spans="1:14" x14ac:dyDescent="0.35">
      <c r="A431" s="152">
        <f t="shared" ref="A431" si="303">IF(
AND(YEAR(B429)=YEAR(DATE(YEAR($F$1),MONTH($F$1)-1,1)),
MONTH(B429)=MONTH(DATE(YEAR($F$1),MONTH($F$1)-1,1))),
$F$1,
DATE(YEAR(B429),MONTH(B429)+1,1))</f>
        <v>45078</v>
      </c>
      <c r="B431" s="152">
        <f t="shared" ref="B431" si="304">IF(
AND(
YEAR(B429)=YEAR(DATE(YEAR($F$2),MONTH($F$2)-1,1)),
MONTH(B429)=MONTH(DATE(YEAR($F$2),MONTH($F$2)-1,1))
),
$F$2,
EOMONTH(B429,1)
)</f>
        <v>45107</v>
      </c>
      <c r="C431" s="438"/>
      <c r="D431" s="149" t="s">
        <v>102</v>
      </c>
      <c r="E431" s="149">
        <f t="shared" si="273"/>
        <v>30</v>
      </c>
      <c r="F431" s="153">
        <f>IF(AND(A431&gt;=$F$1,B431&lt;=$F$2),((VLOOKUP(YEAR(B431),'DIF MES'!A$2:E$38,5)*E431)/30),0)</f>
        <v>0</v>
      </c>
      <c r="G431" s="154">
        <f>VLOOKUP(100*YEAR(A431)+MONTH(A431)-1,IPC!A$14:E$861,2)</f>
        <v>133.38</v>
      </c>
      <c r="H431" s="151">
        <f t="shared" si="279"/>
        <v>105.29</v>
      </c>
      <c r="I431" s="153">
        <f>F431*(H431/G431)</f>
        <v>0</v>
      </c>
      <c r="J431" s="153">
        <f>+I431-F431</f>
        <v>0</v>
      </c>
      <c r="K431" s="163">
        <f>IF(D431="adicional", 0, +I431*0.12)</f>
        <v>0</v>
      </c>
      <c r="L431" s="153">
        <f>+I431-K431</f>
        <v>0</v>
      </c>
      <c r="M431" s="184"/>
      <c r="N431" s="6"/>
    </row>
    <row r="432" spans="1:14" x14ac:dyDescent="0.35">
      <c r="A432" s="152">
        <f t="shared" si="274"/>
        <v>45108</v>
      </c>
      <c r="B432" s="152">
        <f t="shared" si="275"/>
        <v>45138</v>
      </c>
      <c r="C432" s="438"/>
      <c r="D432" s="149" t="s">
        <v>103</v>
      </c>
      <c r="E432" s="149">
        <f t="shared" si="273"/>
        <v>30</v>
      </c>
      <c r="F432" s="153">
        <f>IF(AND(A432&gt;=$F$1,B432&lt;=$F$2),((VLOOKUP(YEAR(B432),'DIF MES'!A$2:E$38,5)*E432)/30),0)</f>
        <v>0</v>
      </c>
      <c r="G432" s="154">
        <f>VLOOKUP(100*YEAR(A432)+MONTH(A432)-1,IPC!A$14:E$861,2)</f>
        <v>133.78</v>
      </c>
      <c r="H432" s="151">
        <f t="shared" si="279"/>
        <v>105.29</v>
      </c>
      <c r="I432" s="153">
        <f t="shared" si="292"/>
        <v>0</v>
      </c>
      <c r="J432" s="153">
        <f t="shared" si="278"/>
        <v>0</v>
      </c>
      <c r="K432" s="163">
        <f t="shared" si="276"/>
        <v>0</v>
      </c>
      <c r="L432" s="153">
        <f t="shared" si="277"/>
        <v>0</v>
      </c>
      <c r="M432" s="184"/>
      <c r="N432" s="6"/>
    </row>
    <row r="433" spans="1:14" x14ac:dyDescent="0.35">
      <c r="A433" s="152">
        <f t="shared" si="274"/>
        <v>45139</v>
      </c>
      <c r="B433" s="152">
        <f t="shared" si="275"/>
        <v>45169</v>
      </c>
      <c r="C433" s="438"/>
      <c r="D433" s="149" t="s">
        <v>104</v>
      </c>
      <c r="E433" s="149">
        <f t="shared" si="273"/>
        <v>30</v>
      </c>
      <c r="F433" s="153">
        <f>IF(AND(A433&gt;=$F$1,B433&lt;=$F$2),((VLOOKUP(YEAR(B433),'DIF MES'!A$2:E$38,5)*E433)/30),0)</f>
        <v>0</v>
      </c>
      <c r="G433" s="154">
        <f>VLOOKUP(100*YEAR(A433)+MONTH(A433)-1,IPC!A$14:E$861,2)</f>
        <v>134.44999999999999</v>
      </c>
      <c r="H433" s="151">
        <f t="shared" si="279"/>
        <v>105.29</v>
      </c>
      <c r="I433" s="153">
        <f t="shared" si="292"/>
        <v>0</v>
      </c>
      <c r="J433" s="153">
        <f t="shared" si="278"/>
        <v>0</v>
      </c>
      <c r="K433" s="163">
        <f t="shared" si="276"/>
        <v>0</v>
      </c>
      <c r="L433" s="153">
        <f t="shared" si="277"/>
        <v>0</v>
      </c>
      <c r="M433" s="184"/>
      <c r="N433" s="6"/>
    </row>
    <row r="434" spans="1:14" ht="20" x14ac:dyDescent="0.35">
      <c r="A434" s="152">
        <f t="shared" si="274"/>
        <v>45170</v>
      </c>
      <c r="B434" s="152">
        <f t="shared" si="275"/>
        <v>45199</v>
      </c>
      <c r="C434" s="438"/>
      <c r="D434" s="149" t="s">
        <v>105</v>
      </c>
      <c r="E434" s="149">
        <f t="shared" si="273"/>
        <v>30</v>
      </c>
      <c r="F434" s="153">
        <f>IF(AND(A434&gt;=$F$1,B434&lt;=$F$2),((VLOOKUP(YEAR(B434),'DIF MES'!A$2:E$38,5)*E434)/30),0)</f>
        <v>0</v>
      </c>
      <c r="G434" s="154">
        <f>VLOOKUP(100*YEAR(A434)+MONTH(A434)-1,IPC!A$14:E$861,2)</f>
        <v>135.38999999999999</v>
      </c>
      <c r="H434" s="151">
        <f t="shared" si="279"/>
        <v>105.29</v>
      </c>
      <c r="I434" s="153">
        <f t="shared" si="292"/>
        <v>0</v>
      </c>
      <c r="J434" s="153">
        <f t="shared" si="278"/>
        <v>0</v>
      </c>
      <c r="K434" s="163">
        <f t="shared" si="276"/>
        <v>0</v>
      </c>
      <c r="L434" s="153">
        <f t="shared" si="277"/>
        <v>0</v>
      </c>
      <c r="M434" s="184"/>
      <c r="N434" s="6"/>
    </row>
    <row r="435" spans="1:14" x14ac:dyDescent="0.35">
      <c r="A435" s="152">
        <f t="shared" si="274"/>
        <v>45200</v>
      </c>
      <c r="B435" s="152">
        <f t="shared" si="275"/>
        <v>45230</v>
      </c>
      <c r="C435" s="438"/>
      <c r="D435" s="149" t="s">
        <v>106</v>
      </c>
      <c r="E435" s="149">
        <f t="shared" si="273"/>
        <v>30</v>
      </c>
      <c r="F435" s="153">
        <f>IF(AND(A435&gt;=$F$1,B435&lt;=$F$2),((VLOOKUP(YEAR(B435),'DIF MES'!A$2:E$38,5)*E435)/30),0)</f>
        <v>0</v>
      </c>
      <c r="G435" s="154">
        <f>VLOOKUP(100*YEAR(A435)+MONTH(A435)-1,IPC!A$14:E$861,2)</f>
        <v>136.11000000000001</v>
      </c>
      <c r="H435" s="151">
        <f t="shared" si="279"/>
        <v>105.29</v>
      </c>
      <c r="I435" s="153">
        <f t="shared" si="292"/>
        <v>0</v>
      </c>
      <c r="J435" s="153">
        <f t="shared" si="278"/>
        <v>0</v>
      </c>
      <c r="K435" s="163">
        <f t="shared" si="276"/>
        <v>0</v>
      </c>
      <c r="L435" s="153">
        <f t="shared" si="277"/>
        <v>0</v>
      </c>
      <c r="M435" s="184"/>
      <c r="N435" s="6"/>
    </row>
    <row r="436" spans="1:14" x14ac:dyDescent="0.35">
      <c r="A436" s="152">
        <f t="shared" si="274"/>
        <v>45231</v>
      </c>
      <c r="B436" s="152">
        <f t="shared" si="275"/>
        <v>45260</v>
      </c>
      <c r="C436" s="438"/>
      <c r="D436" s="149" t="s">
        <v>107</v>
      </c>
      <c r="E436" s="149">
        <f t="shared" si="273"/>
        <v>30</v>
      </c>
      <c r="F436" s="153">
        <f>IF(AND(A436&gt;=$F$1,B436&lt;=$F$2),((VLOOKUP(YEAR(B436),'DIF MES'!A$2:E$38,5)*E436)/30),0)</f>
        <v>0</v>
      </c>
      <c r="G436" s="154">
        <f>VLOOKUP(100*YEAR(A436)+MONTH(A436)-1,IPC!A$14:E$861,2)</f>
        <v>136.44999999999999</v>
      </c>
      <c r="H436" s="151">
        <f t="shared" si="279"/>
        <v>105.29</v>
      </c>
      <c r="I436" s="153">
        <f t="shared" si="292"/>
        <v>0</v>
      </c>
      <c r="J436" s="153">
        <f t="shared" si="278"/>
        <v>0</v>
      </c>
      <c r="K436" s="163">
        <f t="shared" si="276"/>
        <v>0</v>
      </c>
      <c r="L436" s="153">
        <f t="shared" si="277"/>
        <v>0</v>
      </c>
      <c r="M436" s="184"/>
      <c r="N436" s="6"/>
    </row>
    <row r="437" spans="1:14" x14ac:dyDescent="0.35">
      <c r="A437" s="156">
        <f t="shared" ref="A437" si="305">A436</f>
        <v>45231</v>
      </c>
      <c r="B437" s="156">
        <f t="shared" ref="B437" si="306">B436</f>
        <v>45260</v>
      </c>
      <c r="C437" s="438"/>
      <c r="D437" s="157" t="s">
        <v>101</v>
      </c>
      <c r="E437" s="157">
        <f t="shared" si="273"/>
        <v>30</v>
      </c>
      <c r="F437" s="153">
        <f>IF(AND(A437&gt;=$F$1,B437&lt;=$F$2),((VLOOKUP(YEAR(B437),'DIF MES'!A$2:E$38,5)*E437)/30),0)</f>
        <v>0</v>
      </c>
      <c r="G437" s="158">
        <f>VLOOKUP(100*YEAR(A437)+MONTH(A437)-1,IPC!A$14:E$861,2)</f>
        <v>136.44999999999999</v>
      </c>
      <c r="H437" s="159">
        <f t="shared" si="279"/>
        <v>105.29</v>
      </c>
      <c r="I437" s="161">
        <f t="shared" si="292"/>
        <v>0</v>
      </c>
      <c r="J437" s="161">
        <f t="shared" si="278"/>
        <v>0</v>
      </c>
      <c r="K437" s="163">
        <f t="shared" si="276"/>
        <v>0</v>
      </c>
      <c r="L437" s="161">
        <f t="shared" si="277"/>
        <v>0</v>
      </c>
      <c r="M437" s="184"/>
      <c r="N437" s="6"/>
    </row>
    <row r="438" spans="1:14" x14ac:dyDescent="0.35">
      <c r="A438" s="152">
        <f t="shared" ref="A438" si="307">IF(
AND(YEAR(B436)=YEAR(DATE(YEAR($F$1),MONTH($F$1)-1,1)),
MONTH(B436)=MONTH(DATE(YEAR($F$1),MONTH($F$1)-1,1))),
$F$1,
DATE(YEAR(B436),MONTH(B436)+1,1))</f>
        <v>45261</v>
      </c>
      <c r="B438" s="152">
        <f t="shared" ref="B438" si="308">IF(
AND(
YEAR(B436)=YEAR(DATE(YEAR($F$2),MONTH($F$2)-1,1)),
MONTH(B436)=MONTH(DATE(YEAR($F$2),MONTH($F$2)-1,1))
),
$F$2,
EOMONTH(B436,1)
)</f>
        <v>45291</v>
      </c>
      <c r="C438" s="439"/>
      <c r="D438" s="149" t="s">
        <v>108</v>
      </c>
      <c r="E438" s="149">
        <f t="shared" si="273"/>
        <v>30</v>
      </c>
      <c r="F438" s="153">
        <f>IF(AND(A438&gt;=$F$1,B438&lt;=$F$2),((VLOOKUP(YEAR(B438),'DIF MES'!A$2:E$38,5)*E438)/30),0)</f>
        <v>0</v>
      </c>
      <c r="G438" s="154">
        <f>VLOOKUP(100*YEAR(A438)+MONTH(A438)-1,IPC!A$14:E$861,2)</f>
        <v>137.09</v>
      </c>
      <c r="H438" s="151">
        <f t="shared" si="279"/>
        <v>105.29</v>
      </c>
      <c r="I438" s="153">
        <f t="shared" si="292"/>
        <v>0</v>
      </c>
      <c r="J438" s="153">
        <f t="shared" si="278"/>
        <v>0</v>
      </c>
      <c r="K438" s="163">
        <f t="shared" si="276"/>
        <v>0</v>
      </c>
      <c r="L438" s="153">
        <f t="shared" si="277"/>
        <v>0</v>
      </c>
      <c r="M438" s="184"/>
      <c r="N438" s="6"/>
    </row>
    <row r="439" spans="1:14" x14ac:dyDescent="0.35">
      <c r="A439" s="152">
        <f t="shared" si="267"/>
        <v>45292</v>
      </c>
      <c r="B439" s="152">
        <f t="shared" si="268"/>
        <v>45322</v>
      </c>
      <c r="C439" s="443">
        <v>2024</v>
      </c>
      <c r="D439" s="149" t="s">
        <v>96</v>
      </c>
      <c r="E439" s="149">
        <f t="shared" si="273"/>
        <v>30</v>
      </c>
      <c r="F439" s="153">
        <f>IF(AND(A439&gt;=$F$1,B439&lt;=$F$2),((VLOOKUP(YEAR(B439),'DIF MES'!A$2:E$38,5)*E439)/30),0)</f>
        <v>0</v>
      </c>
      <c r="G439" s="154">
        <f>VLOOKUP(100*YEAR(A439)+MONTH(A439)-1,IPC!A$14:E$861,2)</f>
        <v>137.72</v>
      </c>
      <c r="H439" s="151">
        <f t="shared" si="279"/>
        <v>105.29</v>
      </c>
      <c r="I439" s="153">
        <f t="shared" ref="I439:I466" si="309">F439*(H439/G439)</f>
        <v>0</v>
      </c>
      <c r="J439" s="153">
        <f t="shared" ref="J439:J466" si="310">+I439-F439</f>
        <v>0</v>
      </c>
      <c r="K439" s="163">
        <f t="shared" si="276"/>
        <v>0</v>
      </c>
      <c r="L439" s="153">
        <f t="shared" ref="L439:L466" si="311">+I439-K439</f>
        <v>0</v>
      </c>
      <c r="M439" s="184"/>
      <c r="N439" s="6"/>
    </row>
    <row r="440" spans="1:14" x14ac:dyDescent="0.35">
      <c r="A440" s="152">
        <f t="shared" si="267"/>
        <v>45323</v>
      </c>
      <c r="B440" s="152">
        <f t="shared" si="268"/>
        <v>45351</v>
      </c>
      <c r="C440" s="443"/>
      <c r="D440" s="149" t="s">
        <v>97</v>
      </c>
      <c r="E440" s="149">
        <f t="shared" si="273"/>
        <v>30</v>
      </c>
      <c r="F440" s="153">
        <f>IF(AND(A440&gt;=$F$1,B440&lt;=$F$2),((VLOOKUP(YEAR(B440),'DIF MES'!A$2:E$38,5)*E440)/30),0)</f>
        <v>0</v>
      </c>
      <c r="G440" s="154">
        <f>VLOOKUP(100*YEAR(A440)+MONTH(A440)-1,IPC!A$14:E$861,2)</f>
        <v>138.97999999999999</v>
      </c>
      <c r="H440" s="151">
        <f t="shared" si="279"/>
        <v>105.29</v>
      </c>
      <c r="I440" s="153">
        <f t="shared" si="309"/>
        <v>0</v>
      </c>
      <c r="J440" s="153">
        <f t="shared" si="310"/>
        <v>0</v>
      </c>
      <c r="K440" s="163">
        <f t="shared" si="276"/>
        <v>0</v>
      </c>
      <c r="L440" s="153">
        <f t="shared" si="311"/>
        <v>0</v>
      </c>
      <c r="M440" s="184"/>
      <c r="N440" s="6"/>
    </row>
    <row r="441" spans="1:14" x14ac:dyDescent="0.35">
      <c r="A441" s="152">
        <f t="shared" si="267"/>
        <v>45352</v>
      </c>
      <c r="B441" s="152">
        <f t="shared" si="268"/>
        <v>45382</v>
      </c>
      <c r="C441" s="443"/>
      <c r="D441" s="149" t="s">
        <v>98</v>
      </c>
      <c r="E441" s="149">
        <f t="shared" si="273"/>
        <v>30</v>
      </c>
      <c r="F441" s="153">
        <f>IF(AND(A441&gt;=$F$1,B441&lt;=$F$2),((VLOOKUP(YEAR(B441),'DIF MES'!A$2:E$38,5)*E441)/30),0)</f>
        <v>0</v>
      </c>
      <c r="G441" s="154">
        <f>VLOOKUP(100*YEAR(A441)+MONTH(A441)-1,IPC!A$14:E$861,2)</f>
        <v>140.49</v>
      </c>
      <c r="H441" s="151">
        <f t="shared" si="279"/>
        <v>105.29</v>
      </c>
      <c r="I441" s="153">
        <f t="shared" si="309"/>
        <v>0</v>
      </c>
      <c r="J441" s="153">
        <f t="shared" si="310"/>
        <v>0</v>
      </c>
      <c r="K441" s="163">
        <f t="shared" si="276"/>
        <v>0</v>
      </c>
      <c r="L441" s="153">
        <f t="shared" si="311"/>
        <v>0</v>
      </c>
      <c r="M441" s="184"/>
      <c r="N441" s="6"/>
    </row>
    <row r="442" spans="1:14" x14ac:dyDescent="0.35">
      <c r="A442" s="152">
        <f t="shared" si="267"/>
        <v>45383</v>
      </c>
      <c r="B442" s="152">
        <f t="shared" si="268"/>
        <v>45412</v>
      </c>
      <c r="C442" s="443"/>
      <c r="D442" s="149" t="s">
        <v>99</v>
      </c>
      <c r="E442" s="149">
        <f t="shared" si="273"/>
        <v>30</v>
      </c>
      <c r="F442" s="153">
        <f>IF(AND(A442&gt;=$F$1,B442&lt;=$F$2),((VLOOKUP(YEAR(B442),'DIF MES'!A$2:E$38,5)*E442)/30),0)</f>
        <v>0</v>
      </c>
      <c r="G442" s="154">
        <f>VLOOKUP(100*YEAR(A442)+MONTH(A442)-1,IPC!A$14:E$861,2)</f>
        <v>141.47999999999999</v>
      </c>
      <c r="H442" s="151">
        <f t="shared" si="279"/>
        <v>105.29</v>
      </c>
      <c r="I442" s="153">
        <f t="shared" si="309"/>
        <v>0</v>
      </c>
      <c r="J442" s="153">
        <f t="shared" si="310"/>
        <v>0</v>
      </c>
      <c r="K442" s="163">
        <f t="shared" si="276"/>
        <v>0</v>
      </c>
      <c r="L442" s="153">
        <f t="shared" si="311"/>
        <v>0</v>
      </c>
      <c r="M442" s="184"/>
      <c r="N442" s="6"/>
    </row>
    <row r="443" spans="1:14" x14ac:dyDescent="0.35">
      <c r="A443" s="152">
        <f t="shared" si="267"/>
        <v>45413</v>
      </c>
      <c r="B443" s="152">
        <f t="shared" si="268"/>
        <v>45443</v>
      </c>
      <c r="C443" s="443"/>
      <c r="D443" s="149" t="s">
        <v>100</v>
      </c>
      <c r="E443" s="149">
        <f t="shared" si="273"/>
        <v>30</v>
      </c>
      <c r="F443" s="153">
        <f>IF(AND(A443&gt;=$F$1,B443&lt;=$F$2),((VLOOKUP(YEAR(B443),'DIF MES'!A$2:E$38,5)*E443)/30),0)</f>
        <v>0</v>
      </c>
      <c r="G443" s="154">
        <f>VLOOKUP(100*YEAR(A443)+MONTH(A443)-1,IPC!A$14:E$861,2)</f>
        <v>142.32</v>
      </c>
      <c r="H443" s="151">
        <f t="shared" si="279"/>
        <v>105.29</v>
      </c>
      <c r="I443" s="153">
        <f t="shared" si="309"/>
        <v>0</v>
      </c>
      <c r="J443" s="153">
        <f t="shared" si="310"/>
        <v>0</v>
      </c>
      <c r="K443" s="163">
        <f t="shared" si="276"/>
        <v>0</v>
      </c>
      <c r="L443" s="153">
        <f t="shared" si="311"/>
        <v>0</v>
      </c>
      <c r="M443" s="184"/>
      <c r="N443" s="6"/>
    </row>
    <row r="444" spans="1:14" x14ac:dyDescent="0.35">
      <c r="A444" s="156">
        <f t="shared" ref="A444" si="312">A445</f>
        <v>45444</v>
      </c>
      <c r="B444" s="156">
        <f t="shared" ref="B444" si="313">B445</f>
        <v>45473</v>
      </c>
      <c r="C444" s="443"/>
      <c r="D444" s="157" t="s">
        <v>101</v>
      </c>
      <c r="E444" s="157">
        <f t="shared" si="273"/>
        <v>30</v>
      </c>
      <c r="F444" s="153">
        <f>IF(AND(A444&gt;=$F$1,B444&lt;=$F$2),((VLOOKUP(YEAR(B444),'DIF MES'!A$2:E$38,5)*E444)/30),0)</f>
        <v>0</v>
      </c>
      <c r="G444" s="158">
        <f>VLOOKUP(100*YEAR(A444)+MONTH(A444)-1,IPC!A$14:E$861,2)</f>
        <v>142.91999999999999</v>
      </c>
      <c r="H444" s="159">
        <f t="shared" si="279"/>
        <v>105.29</v>
      </c>
      <c r="I444" s="160">
        <f>F444*(H444/G444)</f>
        <v>0</v>
      </c>
      <c r="J444" s="161">
        <f>+I444-F444</f>
        <v>0</v>
      </c>
      <c r="K444" s="163">
        <f>IF(D444="adicional", 0, +I444*0.12)</f>
        <v>0</v>
      </c>
      <c r="L444" s="161">
        <f>+I444-K444</f>
        <v>0</v>
      </c>
      <c r="M444" s="184"/>
      <c r="N444" s="6"/>
    </row>
    <row r="445" spans="1:14" x14ac:dyDescent="0.35">
      <c r="A445" s="152">
        <f t="shared" ref="A445" si="314">IF(
AND(YEAR(B443)=YEAR(DATE(YEAR($F$1),MONTH($F$1)-1,1)),
MONTH(B443)=MONTH(DATE(YEAR($F$1),MONTH($F$1)-1,1))),
$F$1,
DATE(YEAR(B443),MONTH(B443)+1,1))</f>
        <v>45444</v>
      </c>
      <c r="B445" s="152">
        <f t="shared" ref="B445" si="315">IF(
AND(
YEAR(B443)=YEAR(DATE(YEAR($F$2),MONTH($F$2)-1,1)),
MONTH(B443)=MONTH(DATE(YEAR($F$2),MONTH($F$2)-1,1))
),
$F$2,
EOMONTH(B443,1)
)</f>
        <v>45473</v>
      </c>
      <c r="C445" s="443"/>
      <c r="D445" s="149" t="s">
        <v>102</v>
      </c>
      <c r="E445" s="149">
        <f t="shared" si="273"/>
        <v>30</v>
      </c>
      <c r="F445" s="153">
        <f>IF(AND(A445&gt;=$F$1,B445&lt;=$F$2),((VLOOKUP(YEAR(B445),'DIF MES'!A$2:E$38,5)*E445)/30),0)</f>
        <v>0</v>
      </c>
      <c r="G445" s="154">
        <f>VLOOKUP(100*YEAR(A445)+MONTH(A445)-1,IPC!A$14:E$861,2)</f>
        <v>142.91999999999999</v>
      </c>
      <c r="H445" s="151">
        <f t="shared" si="279"/>
        <v>105.29</v>
      </c>
      <c r="I445" s="153">
        <f>F445*(H445/G445)</f>
        <v>0</v>
      </c>
      <c r="J445" s="153">
        <f>+I445-F445</f>
        <v>0</v>
      </c>
      <c r="K445" s="163">
        <f>IF(D445="adicional", 0, +I445*0.12)</f>
        <v>0</v>
      </c>
      <c r="L445" s="153">
        <f>+I445-K445</f>
        <v>0</v>
      </c>
      <c r="M445" s="184"/>
      <c r="N445" s="6"/>
    </row>
    <row r="446" spans="1:14" x14ac:dyDescent="0.35">
      <c r="A446" s="152">
        <f t="shared" si="274"/>
        <v>45474</v>
      </c>
      <c r="B446" s="152">
        <f t="shared" si="275"/>
        <v>45504</v>
      </c>
      <c r="C446" s="443"/>
      <c r="D446" s="149" t="s">
        <v>103</v>
      </c>
      <c r="E446" s="149">
        <f t="shared" si="273"/>
        <v>30</v>
      </c>
      <c r="F446" s="153">
        <f>IF(AND(A446&gt;=$F$1,B446&lt;=$F$2),((VLOOKUP(YEAR(B446),'DIF MES'!A$2:E$38,5)*E446)/30),0)</f>
        <v>0</v>
      </c>
      <c r="G446" s="164">
        <f>VLOOKUP(100*YEAR(A446)+MONTH(A446)-1,IPC!A$14:E$861,2)</f>
        <v>143.38</v>
      </c>
      <c r="H446" s="151">
        <f t="shared" si="279"/>
        <v>105.29</v>
      </c>
      <c r="I446" s="153">
        <f t="shared" si="309"/>
        <v>0</v>
      </c>
      <c r="J446" s="153">
        <f t="shared" si="310"/>
        <v>0</v>
      </c>
      <c r="K446" s="163">
        <f t="shared" si="276"/>
        <v>0</v>
      </c>
      <c r="L446" s="153">
        <f t="shared" si="311"/>
        <v>0</v>
      </c>
      <c r="M446" s="184"/>
      <c r="N446" s="6"/>
    </row>
    <row r="447" spans="1:14" x14ac:dyDescent="0.35">
      <c r="A447" s="152">
        <f t="shared" si="274"/>
        <v>45505</v>
      </c>
      <c r="B447" s="152">
        <f t="shared" si="275"/>
        <v>45535</v>
      </c>
      <c r="C447" s="443"/>
      <c r="D447" s="149" t="s">
        <v>104</v>
      </c>
      <c r="E447" s="149">
        <f t="shared" si="273"/>
        <v>30</v>
      </c>
      <c r="F447" s="153">
        <f>IF(AND(A447&gt;=$F$1,B447&lt;=$F$2),((VLOOKUP(YEAR(B447),'DIF MES'!A$2:E$38,5)*E447)/30),0)</f>
        <v>0</v>
      </c>
      <c r="G447" s="164">
        <f>VLOOKUP(100*YEAR(A447)+MONTH(A447)-1,IPC!A$14:E$861,2)</f>
        <v>143.66999999999999</v>
      </c>
      <c r="H447" s="151">
        <f t="shared" si="279"/>
        <v>105.29</v>
      </c>
      <c r="I447" s="153">
        <f t="shared" si="309"/>
        <v>0</v>
      </c>
      <c r="J447" s="153">
        <f t="shared" si="310"/>
        <v>0</v>
      </c>
      <c r="K447" s="163">
        <f t="shared" si="276"/>
        <v>0</v>
      </c>
      <c r="L447" s="153">
        <f t="shared" si="311"/>
        <v>0</v>
      </c>
      <c r="M447" s="184"/>
      <c r="N447" s="6"/>
    </row>
    <row r="448" spans="1:14" ht="20" x14ac:dyDescent="0.35">
      <c r="A448" s="152">
        <f t="shared" si="274"/>
        <v>45536</v>
      </c>
      <c r="B448" s="152">
        <f t="shared" si="275"/>
        <v>45565</v>
      </c>
      <c r="C448" s="443"/>
      <c r="D448" s="149" t="s">
        <v>105</v>
      </c>
      <c r="E448" s="149">
        <f t="shared" si="273"/>
        <v>30</v>
      </c>
      <c r="F448" s="153">
        <f>IF(AND(A448&gt;=$F$1,B448&lt;=$F$2),((VLOOKUP(YEAR(B448),'DIF MES'!A$2:E$38,5)*E448)/30),0)</f>
        <v>0</v>
      </c>
      <c r="G448" s="164">
        <f>VLOOKUP(100*YEAR(A448)+MONTH(A448)-1,IPC!A$14:E$861,2)</f>
        <v>143.66999999999999</v>
      </c>
      <c r="H448" s="151">
        <f t="shared" si="279"/>
        <v>105.29</v>
      </c>
      <c r="I448" s="153">
        <f t="shared" si="309"/>
        <v>0</v>
      </c>
      <c r="J448" s="153">
        <f t="shared" si="310"/>
        <v>0</v>
      </c>
      <c r="K448" s="163">
        <f t="shared" si="276"/>
        <v>0</v>
      </c>
      <c r="L448" s="153">
        <f t="shared" si="311"/>
        <v>0</v>
      </c>
      <c r="M448" s="184"/>
      <c r="N448" s="6"/>
    </row>
    <row r="449" spans="1:14" x14ac:dyDescent="0.35">
      <c r="A449" s="152">
        <f t="shared" si="274"/>
        <v>45566</v>
      </c>
      <c r="B449" s="152">
        <f t="shared" si="275"/>
        <v>45596</v>
      </c>
      <c r="C449" s="443"/>
      <c r="D449" s="149" t="s">
        <v>106</v>
      </c>
      <c r="E449" s="149">
        <f t="shared" si="273"/>
        <v>30</v>
      </c>
      <c r="F449" s="153">
        <f>IF(AND(A449&gt;=$F$1,B449&lt;=$F$2),((VLOOKUP(YEAR(B449),'DIF MES'!A$2:E$38,5)*E449)/30),0)</f>
        <v>0</v>
      </c>
      <c r="G449" s="164">
        <f>VLOOKUP(100*YEAR(A449)+MONTH(A449)-1,IPC!A$14:E$861,2)</f>
        <v>144.02000000000001</v>
      </c>
      <c r="H449" s="151">
        <f t="shared" si="279"/>
        <v>105.29</v>
      </c>
      <c r="I449" s="153">
        <f t="shared" si="309"/>
        <v>0</v>
      </c>
      <c r="J449" s="153">
        <f t="shared" si="310"/>
        <v>0</v>
      </c>
      <c r="K449" s="163">
        <f t="shared" si="276"/>
        <v>0</v>
      </c>
      <c r="L449" s="153">
        <f t="shared" si="311"/>
        <v>0</v>
      </c>
      <c r="M449" s="184"/>
      <c r="N449" s="6"/>
    </row>
    <row r="450" spans="1:14" x14ac:dyDescent="0.35">
      <c r="A450" s="152">
        <f t="shared" si="274"/>
        <v>45597</v>
      </c>
      <c r="B450" s="152">
        <f t="shared" si="275"/>
        <v>45626</v>
      </c>
      <c r="C450" s="443"/>
      <c r="D450" s="149" t="s">
        <v>107</v>
      </c>
      <c r="E450" s="149">
        <f t="shared" si="273"/>
        <v>30</v>
      </c>
      <c r="F450" s="153">
        <f>IF(AND(A450&gt;=$F$1,B450&lt;=$F$2),((VLOOKUP(YEAR(B450),'DIF MES'!A$2:E$38,5)*E450)/30),0)</f>
        <v>0</v>
      </c>
      <c r="G450" s="164">
        <f>VLOOKUP(100*YEAR(A450)+MONTH(A450)-1,IPC!A$14:E$861,2)</f>
        <v>143.83000000000001</v>
      </c>
      <c r="H450" s="151">
        <f t="shared" si="279"/>
        <v>105.29</v>
      </c>
      <c r="I450" s="153">
        <f t="shared" si="309"/>
        <v>0</v>
      </c>
      <c r="J450" s="153">
        <f t="shared" si="310"/>
        <v>0</v>
      </c>
      <c r="K450" s="163">
        <f t="shared" si="276"/>
        <v>0</v>
      </c>
      <c r="L450" s="153">
        <f t="shared" si="311"/>
        <v>0</v>
      </c>
      <c r="M450" s="184"/>
      <c r="N450" s="6"/>
    </row>
    <row r="451" spans="1:14" x14ac:dyDescent="0.35">
      <c r="A451" s="156">
        <f t="shared" ref="A451" si="316">A450</f>
        <v>45597</v>
      </c>
      <c r="B451" s="156">
        <f t="shared" ref="B451" si="317">B450</f>
        <v>45626</v>
      </c>
      <c r="C451" s="443"/>
      <c r="D451" s="157" t="s">
        <v>101</v>
      </c>
      <c r="E451" s="157">
        <f t="shared" si="273"/>
        <v>30</v>
      </c>
      <c r="F451" s="153">
        <f>IF(AND(A451&gt;=$F$1,B451&lt;=$F$2),((VLOOKUP(YEAR(B451),'DIF MES'!A$2:E$38,5)*E451)/30),0)</f>
        <v>0</v>
      </c>
      <c r="G451" s="158">
        <f>VLOOKUP(100*YEAR(A451)+MONTH(A451)-1,IPC!A$14:E$861,2)</f>
        <v>143.83000000000001</v>
      </c>
      <c r="H451" s="159">
        <f t="shared" si="279"/>
        <v>105.29</v>
      </c>
      <c r="I451" s="161">
        <f t="shared" si="309"/>
        <v>0</v>
      </c>
      <c r="J451" s="161">
        <f t="shared" si="310"/>
        <v>0</v>
      </c>
      <c r="K451" s="163">
        <f t="shared" si="276"/>
        <v>0</v>
      </c>
      <c r="L451" s="161">
        <f t="shared" si="311"/>
        <v>0</v>
      </c>
      <c r="M451" s="184"/>
      <c r="N451" s="6"/>
    </row>
    <row r="452" spans="1:14" x14ac:dyDescent="0.35">
      <c r="A452" s="152">
        <f t="shared" ref="A452" si="318">IF(
AND(YEAR(B450)=YEAR(DATE(YEAR($F$1),MONTH($F$1)-1,1)),
MONTH(B450)=MONTH(DATE(YEAR($F$1),MONTH($F$1)-1,1))),
$F$1,
DATE(YEAR(B450),MONTH(B450)+1,1))</f>
        <v>45627</v>
      </c>
      <c r="B452" s="152">
        <f t="shared" ref="B452" si="319">IF(
AND(
YEAR(B450)=YEAR(DATE(YEAR($F$2),MONTH($F$2)-1,1)),
MONTH(B450)=MONTH(DATE(YEAR($F$2),MONTH($F$2)-1,1))
),
$F$2,
EOMONTH(B450,1)
)</f>
        <v>45657</v>
      </c>
      <c r="C452" s="443"/>
      <c r="D452" s="149" t="s">
        <v>108</v>
      </c>
      <c r="E452" s="149">
        <f t="shared" si="273"/>
        <v>30</v>
      </c>
      <c r="F452" s="153">
        <f>IF(AND(A452&gt;=$F$1,B452&lt;=$F$2),((VLOOKUP(YEAR(B452),'DIF MES'!A$2:E$38,5)*E452)/30),0)</f>
        <v>0</v>
      </c>
      <c r="G452" s="164">
        <f>VLOOKUP(100*YEAR(A452)+MONTH(A452)-1,IPC!A$14:E$861,2)</f>
        <v>144.22</v>
      </c>
      <c r="H452" s="151">
        <f t="shared" si="279"/>
        <v>105.29</v>
      </c>
      <c r="I452" s="153">
        <f t="shared" si="309"/>
        <v>0</v>
      </c>
      <c r="J452" s="153">
        <f t="shared" si="310"/>
        <v>0</v>
      </c>
      <c r="K452" s="163">
        <f t="shared" si="276"/>
        <v>0</v>
      </c>
      <c r="L452" s="153">
        <f t="shared" si="311"/>
        <v>0</v>
      </c>
      <c r="M452" s="184"/>
      <c r="N452" s="6"/>
    </row>
    <row r="453" spans="1:14" x14ac:dyDescent="0.35">
      <c r="A453" s="152">
        <f t="shared" ref="A453:A457" si="320">IF(
AND(YEAR(B452)=YEAR(DATE(YEAR($F$1),MONTH($F$1)-1,1)),
MONTH(B452)=MONTH(DATE(YEAR($F$1),MONTH($F$1)-1,1))),
$F$1,
DATE(YEAR(B452),MONTH(B452)+1,1))</f>
        <v>45658</v>
      </c>
      <c r="B453" s="152">
        <f t="shared" ref="B453:B457" si="321">IF(
AND(
YEAR(B452)=YEAR(DATE(YEAR($F$2),MONTH($F$2)-1,1)),
MONTH(B452)=MONTH(DATE(YEAR($F$2),MONTH($F$2)-1,1))
),
$F$2,
EOMONTH(B452,1)
)</f>
        <v>45688</v>
      </c>
      <c r="C453" s="437">
        <v>2025</v>
      </c>
      <c r="D453" s="149" t="s">
        <v>96</v>
      </c>
      <c r="E453" s="149">
        <f t="shared" ref="E453:E466" si="322">DAYS360(A453,B453+1)</f>
        <v>30</v>
      </c>
      <c r="F453" s="153">
        <f>IF(AND(A453&gt;=$F$1,B453&lt;=$F$2),((VLOOKUP(YEAR(B453),'DIF MES'!A$2:E$38,5)*E453)/30),0)</f>
        <v>0</v>
      </c>
      <c r="G453" s="154">
        <f>VLOOKUP(100*YEAR(A453)+MONTH(A453)-1,IPC!A$14:E$861,2)</f>
        <v>144.88</v>
      </c>
      <c r="H453" s="151">
        <f t="shared" si="279"/>
        <v>105.29</v>
      </c>
      <c r="I453" s="153">
        <f t="shared" si="309"/>
        <v>0</v>
      </c>
      <c r="J453" s="153">
        <f t="shared" si="310"/>
        <v>0</v>
      </c>
      <c r="K453" s="163">
        <f t="shared" si="276"/>
        <v>0</v>
      </c>
      <c r="L453" s="153">
        <f t="shared" si="311"/>
        <v>0</v>
      </c>
      <c r="M453" s="184"/>
      <c r="N453" s="6"/>
    </row>
    <row r="454" spans="1:14" x14ac:dyDescent="0.35">
      <c r="A454" s="152">
        <f t="shared" si="320"/>
        <v>45689</v>
      </c>
      <c r="B454" s="152">
        <f t="shared" si="321"/>
        <v>45716</v>
      </c>
      <c r="C454" s="438"/>
      <c r="D454" s="149" t="s">
        <v>97</v>
      </c>
      <c r="E454" s="149">
        <f t="shared" si="322"/>
        <v>30</v>
      </c>
      <c r="F454" s="153">
        <f>IF(AND(A454&gt;=$F$1,B454&lt;=$F$2),((VLOOKUP(YEAR(B454),'DIF MES'!A$2:E$38,5)*E454)/30),0)</f>
        <v>0</v>
      </c>
      <c r="G454" s="154">
        <f>VLOOKUP(100*YEAR(A454)+MONTH(A454)-1,IPC!A$14:E$861,2)</f>
        <v>146.24</v>
      </c>
      <c r="H454" s="151">
        <f t="shared" si="279"/>
        <v>105.29</v>
      </c>
      <c r="I454" s="153">
        <f t="shared" si="309"/>
        <v>0</v>
      </c>
      <c r="J454" s="153">
        <f t="shared" si="310"/>
        <v>0</v>
      </c>
      <c r="K454" s="163">
        <f t="shared" ref="K454:K466" si="323">IF(D454="adicional", 0, +I454*0.12)</f>
        <v>0</v>
      </c>
      <c r="L454" s="153">
        <f t="shared" si="311"/>
        <v>0</v>
      </c>
      <c r="M454" s="184"/>
      <c r="N454" s="6"/>
    </row>
    <row r="455" spans="1:14" x14ac:dyDescent="0.35">
      <c r="A455" s="152">
        <f t="shared" si="320"/>
        <v>45717</v>
      </c>
      <c r="B455" s="152">
        <f t="shared" si="321"/>
        <v>45747</v>
      </c>
      <c r="C455" s="438"/>
      <c r="D455" s="149" t="s">
        <v>98</v>
      </c>
      <c r="E455" s="149">
        <f t="shared" si="322"/>
        <v>30</v>
      </c>
      <c r="F455" s="153">
        <f>IF(AND(A455&gt;=$F$1,B455&lt;=$F$2),((VLOOKUP(YEAR(B455),'DIF MES'!A$2:E$38,5)*E455)/30),0)</f>
        <v>0</v>
      </c>
      <c r="G455" s="154">
        <f>VLOOKUP(100*YEAR(A455)+MONTH(A455)-1,IPC!A$14:E$861,2)</f>
        <v>147.9</v>
      </c>
      <c r="H455" s="151">
        <f t="shared" si="279"/>
        <v>105.29</v>
      </c>
      <c r="I455" s="153">
        <f t="shared" si="309"/>
        <v>0</v>
      </c>
      <c r="J455" s="153">
        <f t="shared" si="310"/>
        <v>0</v>
      </c>
      <c r="K455" s="163">
        <f t="shared" si="323"/>
        <v>0</v>
      </c>
      <c r="L455" s="153">
        <f t="shared" si="311"/>
        <v>0</v>
      </c>
      <c r="M455" s="184"/>
      <c r="N455" s="6"/>
    </row>
    <row r="456" spans="1:14" x14ac:dyDescent="0.35">
      <c r="A456" s="152">
        <f t="shared" si="320"/>
        <v>45748</v>
      </c>
      <c r="B456" s="152">
        <f t="shared" si="321"/>
        <v>45777</v>
      </c>
      <c r="C456" s="438"/>
      <c r="D456" s="149" t="s">
        <v>99</v>
      </c>
      <c r="E456" s="149">
        <f t="shared" si="322"/>
        <v>30</v>
      </c>
      <c r="F456" s="153">
        <f>IF(AND(A456&gt;=$F$1,B456&lt;=$F$2),((VLOOKUP(YEAR(B456),'DIF MES'!A$2:E$38,5)*E456)/30),0)</f>
        <v>0</v>
      </c>
      <c r="G456" s="154">
        <f>VLOOKUP(100*YEAR(A456)+MONTH(A456)-1,IPC!A$14:E$861,2)</f>
        <v>147.9</v>
      </c>
      <c r="H456" s="151">
        <f t="shared" si="279"/>
        <v>105.29</v>
      </c>
      <c r="I456" s="153">
        <f t="shared" si="309"/>
        <v>0</v>
      </c>
      <c r="J456" s="153">
        <f t="shared" si="310"/>
        <v>0</v>
      </c>
      <c r="K456" s="163">
        <f t="shared" si="323"/>
        <v>0</v>
      </c>
      <c r="L456" s="153">
        <f t="shared" si="311"/>
        <v>0</v>
      </c>
      <c r="M456" s="184"/>
      <c r="N456" s="6"/>
    </row>
    <row r="457" spans="1:14" x14ac:dyDescent="0.35">
      <c r="A457" s="152">
        <f t="shared" si="320"/>
        <v>45778</v>
      </c>
      <c r="B457" s="152">
        <f t="shared" si="321"/>
        <v>45808</v>
      </c>
      <c r="C457" s="438"/>
      <c r="D457" s="149" t="s">
        <v>100</v>
      </c>
      <c r="E457" s="149">
        <f t="shared" si="322"/>
        <v>30</v>
      </c>
      <c r="F457" s="153">
        <f>IF(AND(A457&gt;=$F$1,B457&lt;=$F$2),((VLOOKUP(YEAR(B457),'DIF MES'!A$2:E$38,5)*E457)/30),0)</f>
        <v>0</v>
      </c>
      <c r="G457" s="154">
        <f>VLOOKUP(100*YEAR(A457)+MONTH(A457)-1,IPC!A$14:E$861,2)</f>
        <v>147.9</v>
      </c>
      <c r="H457" s="151">
        <f t="shared" si="279"/>
        <v>105.29</v>
      </c>
      <c r="I457" s="153">
        <f t="shared" si="309"/>
        <v>0</v>
      </c>
      <c r="J457" s="153">
        <f t="shared" si="310"/>
        <v>0</v>
      </c>
      <c r="K457" s="163">
        <f t="shared" si="323"/>
        <v>0</v>
      </c>
      <c r="L457" s="153">
        <f t="shared" si="311"/>
        <v>0</v>
      </c>
      <c r="M457" s="184"/>
      <c r="N457" s="6"/>
    </row>
    <row r="458" spans="1:14" x14ac:dyDescent="0.35">
      <c r="A458" s="156">
        <f t="shared" ref="A458" si="324">A459</f>
        <v>45809</v>
      </c>
      <c r="B458" s="156">
        <f t="shared" ref="B458" si="325">B459</f>
        <v>45838</v>
      </c>
      <c r="C458" s="438"/>
      <c r="D458" s="157" t="s">
        <v>101</v>
      </c>
      <c r="E458" s="157">
        <f t="shared" si="322"/>
        <v>30</v>
      </c>
      <c r="F458" s="153">
        <f>IF(AND(A458&gt;=$F$1,B458&lt;=$F$2),((VLOOKUP(YEAR(B458),'DIF MES'!A$2:E$38,5)*E458)/30),0)</f>
        <v>0</v>
      </c>
      <c r="G458" s="158">
        <f>VLOOKUP(100*YEAR(A458)+MONTH(A458)-1,IPC!A$14:E$861,2)</f>
        <v>147.9</v>
      </c>
      <c r="H458" s="159">
        <f t="shared" si="279"/>
        <v>105.29</v>
      </c>
      <c r="I458" s="160">
        <f>F458*(H458/G458)</f>
        <v>0</v>
      </c>
      <c r="J458" s="161">
        <f>+I458-F458</f>
        <v>0</v>
      </c>
      <c r="K458" s="163">
        <f>IF(D458="adicional", 0, +I458*0.12)</f>
        <v>0</v>
      </c>
      <c r="L458" s="161">
        <f>+I458-K458</f>
        <v>0</v>
      </c>
      <c r="M458" s="184"/>
      <c r="N458" s="6"/>
    </row>
    <row r="459" spans="1:14" x14ac:dyDescent="0.35">
      <c r="A459" s="152">
        <f t="shared" ref="A459" si="326">IF(
AND(YEAR(B457)=YEAR(DATE(YEAR($F$1),MONTH($F$1)-1,1)),
MONTH(B457)=MONTH(DATE(YEAR($F$1),MONTH($F$1)-1,1))),
$F$1,
DATE(YEAR(B457),MONTH(B457)+1,1))</f>
        <v>45809</v>
      </c>
      <c r="B459" s="152">
        <f t="shared" ref="B459" si="327">IF(
AND(
YEAR(B457)=YEAR(DATE(YEAR($F$2),MONTH($F$2)-1,1)),
MONTH(B457)=MONTH(DATE(YEAR($F$2),MONTH($F$2)-1,1))
),
$F$2,
EOMONTH(B457,1)
)</f>
        <v>45838</v>
      </c>
      <c r="C459" s="438"/>
      <c r="D459" s="149" t="s">
        <v>102</v>
      </c>
      <c r="E459" s="149">
        <f t="shared" si="322"/>
        <v>30</v>
      </c>
      <c r="F459" s="153">
        <f>IF(AND(A459&gt;=$F$1,B459&lt;=$F$2),((VLOOKUP(YEAR(B459),'DIF MES'!A$2:E$38,5)*E459)/30),0)</f>
        <v>0</v>
      </c>
      <c r="G459" s="154">
        <f>VLOOKUP(100*YEAR(A459)+MONTH(A459)-1,IPC!A$14:E$861,2)</f>
        <v>147.9</v>
      </c>
      <c r="H459" s="151">
        <f t="shared" si="279"/>
        <v>105.29</v>
      </c>
      <c r="I459" s="153">
        <f>F459*(H459/G459)</f>
        <v>0</v>
      </c>
      <c r="J459" s="153">
        <f>+I459-F459</f>
        <v>0</v>
      </c>
      <c r="K459" s="163">
        <f>IF(D459="adicional", 0, +I459*0.12)</f>
        <v>0</v>
      </c>
      <c r="L459" s="153">
        <f>+I459-K459</f>
        <v>0</v>
      </c>
      <c r="M459" s="184"/>
      <c r="N459" s="6"/>
    </row>
    <row r="460" spans="1:14" x14ac:dyDescent="0.35">
      <c r="A460" s="152">
        <f t="shared" ref="A460:A464" si="328">IF(
AND(YEAR(B459)=YEAR(DATE(YEAR($F$1),MONTH($F$1)-1,1)),
MONTH(B459)=MONTH(DATE(YEAR($F$1),MONTH($F$1)-1,1))),
$F$1,
DATE(YEAR(B459),MONTH(B459)+1,1))</f>
        <v>45839</v>
      </c>
      <c r="B460" s="152">
        <f t="shared" ref="B460:B464" si="329">IF(
AND(
YEAR(B459)=YEAR(DATE(YEAR($F$2),MONTH($F$2)-1,1)),
MONTH(B459)=MONTH(DATE(YEAR($F$2),MONTH($F$2)-1,1))
),
$F$2,
EOMONTH(B459,1)
)</f>
        <v>45869</v>
      </c>
      <c r="C460" s="438"/>
      <c r="D460" s="149" t="s">
        <v>103</v>
      </c>
      <c r="E460" s="149">
        <f t="shared" si="322"/>
        <v>30</v>
      </c>
      <c r="F460" s="153">
        <f>IF(AND(A460&gt;=$F$1,B460&lt;=$F$2),((VLOOKUP(YEAR(B460),'DIF MES'!A$2:E$38,5)*E460)/30),0)</f>
        <v>0</v>
      </c>
      <c r="G460" s="154">
        <f>VLOOKUP(100*YEAR(A460)+MONTH(A460)-1,IPC!A$14:E$861,2)</f>
        <v>147.9</v>
      </c>
      <c r="H460" s="151">
        <f t="shared" si="279"/>
        <v>105.29</v>
      </c>
      <c r="I460" s="153">
        <f t="shared" si="309"/>
        <v>0</v>
      </c>
      <c r="J460" s="153">
        <f t="shared" si="310"/>
        <v>0</v>
      </c>
      <c r="K460" s="163">
        <f t="shared" si="323"/>
        <v>0</v>
      </c>
      <c r="L460" s="153">
        <f t="shared" si="311"/>
        <v>0</v>
      </c>
      <c r="M460" s="184"/>
      <c r="N460" s="6"/>
    </row>
    <row r="461" spans="1:14" x14ac:dyDescent="0.35">
      <c r="A461" s="152">
        <f t="shared" si="328"/>
        <v>45870</v>
      </c>
      <c r="B461" s="152">
        <f t="shared" si="329"/>
        <v>45900</v>
      </c>
      <c r="C461" s="438"/>
      <c r="D461" s="149" t="s">
        <v>104</v>
      </c>
      <c r="E461" s="149">
        <f t="shared" si="322"/>
        <v>30</v>
      </c>
      <c r="F461" s="153">
        <f>IF(AND(A461&gt;=$F$1,B461&lt;=$F$2),((VLOOKUP(YEAR(B461),'DIF MES'!A$2:E$38,5)*E461)/30),0)</f>
        <v>0</v>
      </c>
      <c r="G461" s="154">
        <f>VLOOKUP(100*YEAR(A461)+MONTH(A461)-1,IPC!A$14:E$861,2)</f>
        <v>147.9</v>
      </c>
      <c r="H461" s="151">
        <f t="shared" si="279"/>
        <v>105.29</v>
      </c>
      <c r="I461" s="153">
        <f t="shared" si="309"/>
        <v>0</v>
      </c>
      <c r="J461" s="153">
        <f t="shared" si="310"/>
        <v>0</v>
      </c>
      <c r="K461" s="163">
        <f t="shared" si="323"/>
        <v>0</v>
      </c>
      <c r="L461" s="153">
        <f t="shared" si="311"/>
        <v>0</v>
      </c>
      <c r="M461" s="184"/>
      <c r="N461" s="6"/>
    </row>
    <row r="462" spans="1:14" ht="20" x14ac:dyDescent="0.35">
      <c r="A462" s="152">
        <f t="shared" si="328"/>
        <v>45901</v>
      </c>
      <c r="B462" s="152">
        <f t="shared" si="329"/>
        <v>45930</v>
      </c>
      <c r="C462" s="438"/>
      <c r="D462" s="149" t="s">
        <v>105</v>
      </c>
      <c r="E462" s="149">
        <f t="shared" si="322"/>
        <v>30</v>
      </c>
      <c r="F462" s="153">
        <f>IF(AND(A462&gt;=$F$1,B462&lt;=$F$2),((VLOOKUP(YEAR(B462),'DIF MES'!A$2:E$38,5)*E462)/30),0)</f>
        <v>0</v>
      </c>
      <c r="G462" s="154">
        <f>VLOOKUP(100*YEAR(A462)+MONTH(A462)-1,IPC!A$14:E$861,2)</f>
        <v>147.9</v>
      </c>
      <c r="H462" s="151">
        <f>+$H$4</f>
        <v>105.29</v>
      </c>
      <c r="I462" s="153">
        <f t="shared" si="309"/>
        <v>0</v>
      </c>
      <c r="J462" s="153">
        <f t="shared" si="310"/>
        <v>0</v>
      </c>
      <c r="K462" s="163">
        <f t="shared" si="323"/>
        <v>0</v>
      </c>
      <c r="L462" s="153">
        <f t="shared" si="311"/>
        <v>0</v>
      </c>
      <c r="M462" s="184"/>
      <c r="N462" s="6"/>
    </row>
    <row r="463" spans="1:14" x14ac:dyDescent="0.35">
      <c r="A463" s="152">
        <f t="shared" si="328"/>
        <v>45931</v>
      </c>
      <c r="B463" s="152">
        <f t="shared" si="329"/>
        <v>45961</v>
      </c>
      <c r="C463" s="438"/>
      <c r="D463" s="149" t="s">
        <v>106</v>
      </c>
      <c r="E463" s="149">
        <f t="shared" si="322"/>
        <v>30</v>
      </c>
      <c r="F463" s="153">
        <f>IF(AND(A463&gt;=$F$1,B463&lt;=$F$2),((VLOOKUP(YEAR(B463),'DIF MES'!A$2:E$38,5)*E463)/30),0)</f>
        <v>0</v>
      </c>
      <c r="G463" s="154">
        <f>VLOOKUP(100*YEAR(A463)+MONTH(A463)-1,IPC!A$14:E$861,2)</f>
        <v>147.9</v>
      </c>
      <c r="H463" s="151">
        <f>+$H$4</f>
        <v>105.29</v>
      </c>
      <c r="I463" s="153">
        <f t="shared" si="309"/>
        <v>0</v>
      </c>
      <c r="J463" s="153">
        <f t="shared" si="310"/>
        <v>0</v>
      </c>
      <c r="K463" s="163">
        <f t="shared" si="323"/>
        <v>0</v>
      </c>
      <c r="L463" s="153">
        <f t="shared" si="311"/>
        <v>0</v>
      </c>
      <c r="M463" s="184"/>
      <c r="N463" s="6"/>
    </row>
    <row r="464" spans="1:14" x14ac:dyDescent="0.35">
      <c r="A464" s="152">
        <f t="shared" si="328"/>
        <v>45962</v>
      </c>
      <c r="B464" s="152">
        <f t="shared" si="329"/>
        <v>45991</v>
      </c>
      <c r="C464" s="438"/>
      <c r="D464" s="149" t="s">
        <v>107</v>
      </c>
      <c r="E464" s="149">
        <f t="shared" si="322"/>
        <v>30</v>
      </c>
      <c r="F464" s="153">
        <f>IF(AND(A464&gt;=$F$1,B464&lt;=$F$2),((VLOOKUP(YEAR(B464),'DIF MES'!A$2:E$38,5)*E464)/30),0)</f>
        <v>0</v>
      </c>
      <c r="G464" s="154">
        <f>VLOOKUP(100*YEAR(A464)+MONTH(A464)-1,IPC!A$14:E$861,2)</f>
        <v>147.9</v>
      </c>
      <c r="H464" s="151">
        <f>+$H$4</f>
        <v>105.29</v>
      </c>
      <c r="I464" s="153">
        <f t="shared" si="309"/>
        <v>0</v>
      </c>
      <c r="J464" s="153">
        <f t="shared" si="310"/>
        <v>0</v>
      </c>
      <c r="K464" s="163">
        <f t="shared" si="323"/>
        <v>0</v>
      </c>
      <c r="L464" s="153">
        <f t="shared" si="311"/>
        <v>0</v>
      </c>
      <c r="M464" s="184"/>
      <c r="N464" s="6"/>
    </row>
    <row r="465" spans="1:18" x14ac:dyDescent="0.35">
      <c r="A465" s="156">
        <f t="shared" ref="A465" si="330">A464</f>
        <v>45962</v>
      </c>
      <c r="B465" s="156">
        <f t="shared" ref="B465" si="331">B464</f>
        <v>45991</v>
      </c>
      <c r="C465" s="438"/>
      <c r="D465" s="157" t="s">
        <v>101</v>
      </c>
      <c r="E465" s="157">
        <f t="shared" si="322"/>
        <v>30</v>
      </c>
      <c r="F465" s="153">
        <f>IF(AND(A465&gt;=$F$1,B465&lt;=$F$2),((VLOOKUP(YEAR(B465),'DIF MES'!A$2:E$38,5)*E465)/30),0)</f>
        <v>0</v>
      </c>
      <c r="G465" s="158">
        <f>VLOOKUP(100*YEAR(A465)+MONTH(A465)-1,IPC!A$14:E$861,2)</f>
        <v>147.9</v>
      </c>
      <c r="H465" s="159">
        <f>+$H$4</f>
        <v>105.29</v>
      </c>
      <c r="I465" s="161">
        <f t="shared" si="309"/>
        <v>0</v>
      </c>
      <c r="J465" s="161">
        <f t="shared" si="310"/>
        <v>0</v>
      </c>
      <c r="K465" s="163">
        <f t="shared" si="323"/>
        <v>0</v>
      </c>
      <c r="L465" s="161">
        <f t="shared" si="311"/>
        <v>0</v>
      </c>
      <c r="M465" s="184"/>
      <c r="N465" s="6"/>
    </row>
    <row r="466" spans="1:18" x14ac:dyDescent="0.35">
      <c r="A466" s="152">
        <f t="shared" ref="A466" si="332">IF(
AND(YEAR(B464)=YEAR(DATE(YEAR($F$1),MONTH($F$1)-1,1)),
MONTH(B464)=MONTH(DATE(YEAR($F$1),MONTH($F$1)-1,1))),
$F$1,
DATE(YEAR(B464),MONTH(B464)+1,1))</f>
        <v>45992</v>
      </c>
      <c r="B466" s="152">
        <f t="shared" ref="B466" si="333">IF(
AND(
YEAR(B464)=YEAR(DATE(YEAR($F$2),MONTH($F$2)-1,1)),
MONTH(B464)=MONTH(DATE(YEAR($F$2),MONTH($F$2)-1,1))
),
$F$2,
EOMONTH(B464,1)
)</f>
        <v>46022</v>
      </c>
      <c r="C466" s="439"/>
      <c r="D466" s="149" t="s">
        <v>108</v>
      </c>
      <c r="E466" s="149">
        <f t="shared" si="322"/>
        <v>30</v>
      </c>
      <c r="F466" s="153">
        <f>IF(AND(A466&gt;=$F$1,B466&lt;=$F$2),((VLOOKUP(YEAR(B466),'DIF MES'!A$2:E$38,5)*E466)/30),0)</f>
        <v>0</v>
      </c>
      <c r="G466" s="154">
        <f>VLOOKUP(100*YEAR(A466)+MONTH(A466)-1,IPC!A$14:E$861,2)</f>
        <v>147.9</v>
      </c>
      <c r="H466" s="151">
        <f>+$H$4</f>
        <v>105.29</v>
      </c>
      <c r="I466" s="153">
        <f t="shared" si="309"/>
        <v>0</v>
      </c>
      <c r="J466" s="153">
        <f t="shared" si="310"/>
        <v>0</v>
      </c>
      <c r="K466" s="163">
        <f t="shared" si="323"/>
        <v>0</v>
      </c>
      <c r="L466" s="153">
        <f t="shared" si="311"/>
        <v>0</v>
      </c>
      <c r="M466" s="184"/>
      <c r="N466" s="6"/>
    </row>
    <row r="467" spans="1:18" ht="15" thickBot="1" x14ac:dyDescent="0.4">
      <c r="A467" s="165"/>
      <c r="B467" s="165"/>
      <c r="C467" s="165"/>
      <c r="D467" s="165"/>
      <c r="E467" s="165"/>
      <c r="F467" s="166">
        <f>SUM(F5:F466)</f>
        <v>507810767.9923265</v>
      </c>
      <c r="G467" s="167"/>
      <c r="H467" s="167"/>
      <c r="I467" s="167"/>
      <c r="J467" s="166"/>
      <c r="K467" s="166"/>
      <c r="L467" s="165"/>
    </row>
    <row r="468" spans="1:18" ht="15" customHeight="1" thickBot="1" x14ac:dyDescent="0.4">
      <c r="A468" s="459" t="s">
        <v>109</v>
      </c>
      <c r="B468" s="460"/>
      <c r="C468" s="460"/>
      <c r="D468" s="460"/>
      <c r="E468" s="460"/>
      <c r="F468" s="460"/>
      <c r="G468" s="460"/>
      <c r="H468" s="460"/>
      <c r="I468" s="460"/>
      <c r="J468" s="460"/>
      <c r="K468" s="460"/>
      <c r="L468" s="461"/>
      <c r="M468" s="191">
        <f>+F467</f>
        <v>507810767.9923265</v>
      </c>
    </row>
    <row r="469" spans="1:18" ht="15" customHeight="1" thickBot="1" x14ac:dyDescent="0.4">
      <c r="A469" s="459" t="s">
        <v>93</v>
      </c>
      <c r="B469" s="460"/>
      <c r="C469" s="460"/>
      <c r="D469" s="460"/>
      <c r="E469" s="460"/>
      <c r="F469" s="460"/>
      <c r="G469" s="460"/>
      <c r="H469" s="460"/>
      <c r="I469" s="460"/>
      <c r="J469" s="460"/>
      <c r="K469" s="460"/>
      <c r="L469" s="461"/>
      <c r="M469" s="189">
        <f>SUM(J5:J466)</f>
        <v>136310602.13232401</v>
      </c>
    </row>
    <row r="470" spans="1:18" ht="15.75" customHeight="1" thickBot="1" x14ac:dyDescent="0.4">
      <c r="A470" s="459" t="s">
        <v>110</v>
      </c>
      <c r="B470" s="460"/>
      <c r="C470" s="460"/>
      <c r="D470" s="460"/>
      <c r="E470" s="460"/>
      <c r="F470" s="460"/>
      <c r="G470" s="460"/>
      <c r="H470" s="460"/>
      <c r="I470" s="460"/>
      <c r="J470" s="460"/>
      <c r="K470" s="460"/>
      <c r="L470" s="461"/>
      <c r="M470" s="190">
        <f>SUM(K5:K466)</f>
        <v>66894496.811096996</v>
      </c>
    </row>
    <row r="471" spans="1:18" ht="15.75" customHeight="1" thickBot="1" x14ac:dyDescent="0.4">
      <c r="A471" s="459" t="s">
        <v>111</v>
      </c>
      <c r="B471" s="460"/>
      <c r="C471" s="460"/>
      <c r="D471" s="460"/>
      <c r="E471" s="460"/>
      <c r="F471" s="460"/>
      <c r="G471" s="460"/>
      <c r="H471" s="460"/>
      <c r="I471" s="460"/>
      <c r="J471" s="460"/>
      <c r="K471" s="460"/>
      <c r="L471" s="461"/>
      <c r="M471" s="190">
        <v>0</v>
      </c>
    </row>
    <row r="472" spans="1:18" ht="15.75" customHeight="1" thickBot="1" x14ac:dyDescent="0.4">
      <c r="A472" s="462" t="s">
        <v>112</v>
      </c>
      <c r="B472" s="463"/>
      <c r="C472" s="463"/>
      <c r="D472" s="463"/>
      <c r="E472" s="463"/>
      <c r="F472" s="463"/>
      <c r="G472" s="463"/>
      <c r="H472" s="463"/>
      <c r="I472" s="463"/>
      <c r="J472" s="463"/>
      <c r="K472" s="463"/>
      <c r="L472" s="464"/>
      <c r="M472" s="190">
        <f>+M468+M469-M470-M471</f>
        <v>577226873.31355345</v>
      </c>
    </row>
    <row r="473" spans="1:18" ht="15" thickBot="1" x14ac:dyDescent="0.4">
      <c r="M473" s="188"/>
    </row>
    <row r="474" spans="1:18" ht="15" customHeight="1" x14ac:dyDescent="0.35">
      <c r="A474" s="444" t="s">
        <v>113</v>
      </c>
      <c r="B474" s="445"/>
      <c r="C474" s="445"/>
      <c r="D474" s="445"/>
      <c r="E474" s="445"/>
      <c r="F474" s="445"/>
      <c r="G474" s="445"/>
      <c r="H474" s="445"/>
      <c r="I474" s="445"/>
      <c r="J474" s="445"/>
      <c r="K474" s="445"/>
      <c r="L474" s="445"/>
      <c r="M474" s="446"/>
    </row>
    <row r="475" spans="1:18" ht="15" customHeight="1" thickBot="1" x14ac:dyDescent="0.4">
      <c r="A475" s="447"/>
      <c r="B475" s="448"/>
      <c r="C475" s="448"/>
      <c r="D475" s="448"/>
      <c r="E475" s="448"/>
      <c r="F475" s="448"/>
      <c r="G475" s="448"/>
      <c r="H475" s="448"/>
      <c r="I475" s="448"/>
      <c r="J475" s="448"/>
      <c r="K475" s="448"/>
      <c r="L475" s="448"/>
      <c r="M475" s="449"/>
    </row>
    <row r="476" spans="1:18" ht="15" customHeight="1" thickBot="1" x14ac:dyDescent="0.4">
      <c r="F476" s="142"/>
      <c r="J476" s="142"/>
      <c r="K476" s="142"/>
      <c r="M476" s="106"/>
    </row>
    <row r="477" spans="1:18" ht="15" customHeight="1" x14ac:dyDescent="0.35">
      <c r="A477" s="450" t="s">
        <v>114</v>
      </c>
      <c r="B477" s="451"/>
      <c r="C477" s="451"/>
      <c r="D477" s="451"/>
      <c r="E477" s="451"/>
      <c r="F477" s="451"/>
      <c r="G477" s="451"/>
      <c r="H477" s="451"/>
      <c r="I477" s="451"/>
      <c r="J477" s="451"/>
      <c r="K477" s="451"/>
      <c r="L477" s="451"/>
      <c r="M477" s="452"/>
    </row>
    <row r="478" spans="1:18" ht="15" customHeight="1" thickBot="1" x14ac:dyDescent="0.4">
      <c r="A478" s="453"/>
      <c r="B478" s="454"/>
      <c r="C478" s="454"/>
      <c r="D478" s="454"/>
      <c r="E478" s="454"/>
      <c r="F478" s="454"/>
      <c r="G478" s="454"/>
      <c r="H478" s="454"/>
      <c r="I478" s="454"/>
      <c r="J478" s="454"/>
      <c r="K478" s="454"/>
      <c r="L478" s="454"/>
      <c r="M478" s="455"/>
    </row>
    <row r="479" spans="1:18" ht="15" customHeight="1" thickBot="1" x14ac:dyDescent="0.4">
      <c r="A479" s="144"/>
      <c r="B479" s="144"/>
      <c r="C479" s="168"/>
      <c r="D479" s="168"/>
      <c r="E479" s="168"/>
      <c r="F479" s="168"/>
      <c r="G479" s="169"/>
      <c r="H479" s="169"/>
      <c r="I479" s="169"/>
    </row>
    <row r="480" spans="1:18" s="5" customFormat="1" ht="15" customHeight="1" x14ac:dyDescent="0.35">
      <c r="A480" s="450" t="s">
        <v>115</v>
      </c>
      <c r="B480" s="451"/>
      <c r="C480" s="451"/>
      <c r="D480" s="451"/>
      <c r="E480" s="451"/>
      <c r="F480" s="451"/>
      <c r="G480" s="451"/>
      <c r="H480" s="451"/>
      <c r="I480" s="451"/>
      <c r="J480" s="451"/>
      <c r="K480" s="451"/>
      <c r="L480" s="451"/>
      <c r="M480" s="452"/>
      <c r="N480"/>
      <c r="O480"/>
      <c r="P480"/>
      <c r="Q480"/>
      <c r="R480"/>
    </row>
    <row r="481" spans="1:18" s="5" customFormat="1" ht="15" customHeight="1" x14ac:dyDescent="0.35">
      <c r="A481" s="456"/>
      <c r="B481" s="457"/>
      <c r="C481" s="457"/>
      <c r="D481" s="457"/>
      <c r="E481" s="457"/>
      <c r="F481" s="457"/>
      <c r="G481" s="457"/>
      <c r="H481" s="457"/>
      <c r="I481" s="457"/>
      <c r="J481" s="457"/>
      <c r="K481" s="457"/>
      <c r="L481" s="457"/>
      <c r="M481" s="458"/>
      <c r="N481"/>
      <c r="O481"/>
      <c r="P481"/>
      <c r="Q481"/>
      <c r="R481"/>
    </row>
    <row r="482" spans="1:18" s="5" customFormat="1" ht="15" thickBot="1" x14ac:dyDescent="0.4">
      <c r="A482" s="453"/>
      <c r="B482" s="454"/>
      <c r="C482" s="454"/>
      <c r="D482" s="454"/>
      <c r="E482" s="454"/>
      <c r="F482" s="454"/>
      <c r="G482" s="454"/>
      <c r="H482" s="454"/>
      <c r="I482" s="454"/>
      <c r="J482" s="454"/>
      <c r="K482" s="454"/>
      <c r="L482" s="454"/>
      <c r="M482" s="455"/>
      <c r="N482"/>
      <c r="O482"/>
      <c r="P482"/>
      <c r="Q482"/>
      <c r="R482"/>
    </row>
    <row r="483" spans="1:18" s="5" customFormat="1" x14ac:dyDescent="0.35">
      <c r="A483" s="142"/>
      <c r="B483" s="142"/>
      <c r="C483" s="142"/>
      <c r="D483" s="142"/>
      <c r="E483" s="142"/>
      <c r="F483" s="144"/>
      <c r="G483" s="143"/>
      <c r="H483" s="143"/>
      <c r="I483" s="143"/>
      <c r="J483" s="144"/>
      <c r="K483" s="144"/>
      <c r="L483" s="142"/>
      <c r="M483" s="77"/>
      <c r="N483"/>
      <c r="O483"/>
      <c r="P483"/>
      <c r="Q483"/>
      <c r="R483"/>
    </row>
  </sheetData>
  <mergeCells count="44">
    <mergeCell ref="A474:M475"/>
    <mergeCell ref="A477:M478"/>
    <mergeCell ref="A480:M482"/>
    <mergeCell ref="A468:L468"/>
    <mergeCell ref="A469:L469"/>
    <mergeCell ref="A470:L470"/>
    <mergeCell ref="A471:L471"/>
    <mergeCell ref="A472:L472"/>
    <mergeCell ref="C425:C438"/>
    <mergeCell ref="C439:C452"/>
    <mergeCell ref="C453:C466"/>
    <mergeCell ref="C285:C298"/>
    <mergeCell ref="C299:C312"/>
    <mergeCell ref="C327:C340"/>
    <mergeCell ref="C383:C396"/>
    <mergeCell ref="C229:C242"/>
    <mergeCell ref="C369:C382"/>
    <mergeCell ref="C397:C410"/>
    <mergeCell ref="C411:C424"/>
    <mergeCell ref="C75:C88"/>
    <mergeCell ref="C159:C172"/>
    <mergeCell ref="C173:C186"/>
    <mergeCell ref="C187:C200"/>
    <mergeCell ref="C201:C214"/>
    <mergeCell ref="C103:C116"/>
    <mergeCell ref="C117:C130"/>
    <mergeCell ref="C131:C144"/>
    <mergeCell ref="C145:C158"/>
    <mergeCell ref="C89:C102"/>
    <mergeCell ref="C215:C228"/>
    <mergeCell ref="C313:C326"/>
    <mergeCell ref="C19:C32"/>
    <mergeCell ref="C33:C46"/>
    <mergeCell ref="C47:C60"/>
    <mergeCell ref="C61:C74"/>
    <mergeCell ref="B1:E1"/>
    <mergeCell ref="B2:E2"/>
    <mergeCell ref="C4:D4"/>
    <mergeCell ref="C5:C18"/>
    <mergeCell ref="C243:C256"/>
    <mergeCell ref="C355:C368"/>
    <mergeCell ref="C341:C354"/>
    <mergeCell ref="C257:C270"/>
    <mergeCell ref="C271:C284"/>
  </mergeCells>
  <phoneticPr fontId="15" type="noConversion"/>
  <pageMargins left="0.7" right="0.7" top="0.75" bottom="0.75" header="0.3" footer="0.3"/>
  <pageSetup paperSize="14" orientation="portrait"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17"/>
  <sheetViews>
    <sheetView zoomScale="140" zoomScaleNormal="140" workbookViewId="0">
      <pane ySplit="6" topLeftCell="A7" activePane="bottomLeft" state="frozen"/>
      <selection activeCell="L46" sqref="L46"/>
      <selection pane="bottomLeft" activeCell="G200" sqref="G200"/>
    </sheetView>
  </sheetViews>
  <sheetFormatPr baseColWidth="10" defaultColWidth="11.54296875" defaultRowHeight="14.5" x14ac:dyDescent="0.35"/>
  <cols>
    <col min="1" max="2" width="7.54296875" style="77" bestFit="1" customWidth="1"/>
    <col min="3" max="3" width="5.1796875" style="77" bestFit="1" customWidth="1"/>
    <col min="4" max="4" width="11.453125" style="77" bestFit="1" customWidth="1"/>
    <col min="5" max="5" width="13.1796875" style="77" bestFit="1" customWidth="1"/>
    <col min="6" max="6" width="11.26953125" style="77" customWidth="1"/>
    <col min="7" max="7" width="10.81640625" style="77" bestFit="1" customWidth="1"/>
    <col min="8" max="8" width="5.26953125" style="77" bestFit="1" customWidth="1"/>
    <col min="9" max="9" width="22" style="77" bestFit="1" customWidth="1"/>
    <col min="10" max="11" width="11.54296875" style="74"/>
    <col min="12" max="12" width="16.54296875" customWidth="1"/>
  </cols>
  <sheetData>
    <row r="1" spans="1:11" ht="15" thickBot="1" x14ac:dyDescent="0.4">
      <c r="A1" s="477" t="s">
        <v>116</v>
      </c>
      <c r="B1" s="477"/>
      <c r="C1" s="477"/>
      <c r="D1" s="477"/>
      <c r="E1" s="209">
        <f>SABANA!C14+DAY(1)</f>
        <v>44120</v>
      </c>
    </row>
    <row r="2" spans="1:11" ht="15" thickBot="1" x14ac:dyDescent="0.4">
      <c r="A2" s="477" t="s">
        <v>117</v>
      </c>
      <c r="B2" s="477"/>
      <c r="C2" s="477"/>
      <c r="D2" s="477"/>
      <c r="E2" s="209">
        <f>EDATE(E1, 10)- DAY(1)</f>
        <v>44423</v>
      </c>
      <c r="F2" s="479" t="s">
        <v>118</v>
      </c>
      <c r="G2" s="480"/>
      <c r="H2" s="480"/>
      <c r="I2" s="480"/>
      <c r="J2" s="480"/>
    </row>
    <row r="3" spans="1:11" ht="15" thickBot="1" x14ac:dyDescent="0.4">
      <c r="A3" s="477" t="s">
        <v>119</v>
      </c>
      <c r="B3" s="477"/>
      <c r="C3" s="477"/>
      <c r="D3" s="477"/>
      <c r="E3" s="209">
        <f>IF(ISBLANK(SABANA!C25 ),"",SABANA!C25 )</f>
        <v>44301</v>
      </c>
    </row>
    <row r="4" spans="1:11" ht="15" thickBot="1" x14ac:dyDescent="0.4">
      <c r="A4" s="478" t="s">
        <v>143</v>
      </c>
      <c r="B4" s="478"/>
      <c r="C4" s="478"/>
      <c r="D4" s="478"/>
      <c r="E4" s="209">
        <f>IF(ISBLANK(SABANA!D25),"",SABANA!D25)</f>
        <v>44392</v>
      </c>
    </row>
    <row r="5" spans="1:11" ht="30.75" customHeight="1" thickBot="1" x14ac:dyDescent="0.4">
      <c r="A5" s="474" t="s">
        <v>120</v>
      </c>
      <c r="B5" s="475"/>
      <c r="C5" s="475"/>
      <c r="D5" s="476"/>
      <c r="E5" s="192">
        <f>'CAP ANT INDEX '!M472</f>
        <v>577226873.31355345</v>
      </c>
    </row>
    <row r="6" spans="1:11" s="2" customFormat="1" x14ac:dyDescent="0.35">
      <c r="A6" s="193" t="s">
        <v>85</v>
      </c>
      <c r="B6" s="193" t="s">
        <v>86</v>
      </c>
      <c r="C6" s="193" t="s">
        <v>66</v>
      </c>
      <c r="D6" s="193" t="s">
        <v>87</v>
      </c>
      <c r="E6" s="193" t="s">
        <v>89</v>
      </c>
      <c r="F6" s="145" t="s">
        <v>121</v>
      </c>
      <c r="G6" s="145" t="s">
        <v>122</v>
      </c>
      <c r="H6" s="145" t="s">
        <v>123</v>
      </c>
      <c r="I6" s="145" t="s">
        <v>124</v>
      </c>
      <c r="J6" s="194"/>
      <c r="K6" s="194"/>
    </row>
    <row r="7" spans="1:11" x14ac:dyDescent="0.35">
      <c r="A7" s="152">
        <f>IF(
     AND(
       YEAR(B7)=YEAR(DATE(YEAR($E$1), MONTH($E$1), 1)),
       MONTH(B7)=MONTH(DATE(YEAR($E$1), MONTH($E$1), 1))
     ),
     $E$1,
IF(
     $E$4="",
     DATE(YEAR(B7), MONTH(B7), 1),
IF(
     AND(
       YEAR(B7)=YEAR(DATE(YEAR($E$4), MONTH($E$4), 1)),
       MONTH(B7)=MONTH(DATE(YEAR($E$4), MONTH($E$4), 1))
     ),
     $E$4,
DATE(YEAR(B7), MONTH(B7), 1))
))</f>
        <v>39083</v>
      </c>
      <c r="B7" s="152">
        <v>39113</v>
      </c>
      <c r="C7" s="437">
        <v>2007</v>
      </c>
      <c r="D7" s="195" t="s">
        <v>125</v>
      </c>
      <c r="E7" s="196">
        <f>IF(AND(A7&gt;=$E$1,B7&lt;=$E$2),+$E$5,0)</f>
        <v>0</v>
      </c>
      <c r="F7" s="197">
        <v>6.8073784349999999E-2</v>
      </c>
      <c r="G7" s="198">
        <f>((1+F7)^(1/365)-1)</f>
        <v>1.8044593490729177E-4</v>
      </c>
      <c r="H7" s="199">
        <f t="shared" ref="H7:H70" si="0">_xlfn.DAYS(B7,A7)+1</f>
        <v>31</v>
      </c>
      <c r="I7" s="200">
        <f>IF(AND(OR(A7&gt;=$E$4,B7&lt;=$E$3), AND(A7&gt;=$E$1,B7&lt;=$E$2)),(E7*G7*H7),0)</f>
        <v>0</v>
      </c>
    </row>
    <row r="8" spans="1:11" x14ac:dyDescent="0.35">
      <c r="A8" s="152">
        <f>IF(
    AND(
        YEAR(B7)=YEAR(DATE(YEAR($E$1), MONTH($E$1)-1, 1)),
        MONTH(B7)=MONTH(DATE(YEAR($E$1), MONTH($E$1)-1, 1))
    ),
    $E$1,
    IF(
        $E$4="",
        DATE(YEAR(B7), MONTH(B7)+1, 1),
        IF(
            AND(
                YEAR(B7)=YEAR(DATE(YEAR($E$4), MONTH($E$4)-1, 1)),
                MONTH(B7)=MONTH(DATE(YEAR($E$4), MONTH($E$4)-1, 1))
            ),
            $E$4,
            DATE(YEAR(B7), MONTH(B7)+1, 1)
        )
    )
)</f>
        <v>39114</v>
      </c>
      <c r="B8" s="152">
        <f>IF(
AND(
YEAR(B7)=YEAR(DATE(YEAR($E$2),MONTH($E$2)-1,1)),
MONTH(B7)=MONTH(DATE(YEAR($E$2),MONTH($E$2)-1,1))
),
$E$2,
IF(
$E$3="",
EOMONTH(B7,1),
IF(
AND(
YEAR(B7)=YEAR(DATE(YEAR($E$3),MONTH($E$3)-1,1)),
MONTH(B7)=MONTH(DATE(YEAR($E$3),MONTH($E$3)-1,1))
),
$E$3,
EOMONTH(B7,1)
)))</f>
        <v>39141</v>
      </c>
      <c r="C8" s="438"/>
      <c r="D8" s="195" t="s">
        <v>126</v>
      </c>
      <c r="E8" s="196">
        <f t="shared" ref="E8:E71" si="1">IF(AND(A8&gt;=$E$1,B8&lt;=$E$2),+$E$5,0)</f>
        <v>0</v>
      </c>
      <c r="F8" s="197">
        <v>6.7990802860000005E-2</v>
      </c>
      <c r="G8" s="198">
        <f t="shared" ref="G8:G71" si="2">((1+F8)^(1/365)-1)</f>
        <v>1.8023303165604077E-4</v>
      </c>
      <c r="H8" s="199">
        <f t="shared" si="0"/>
        <v>28</v>
      </c>
      <c r="I8" s="200">
        <f t="shared" ref="I8:I71" si="3">IF(AND(OR(A8&gt;=$E$4,B8&lt;=$E$3), AND(A8&gt;=$E$1,B8&lt;=$E$2)),(E8*G8*H8),0)</f>
        <v>0</v>
      </c>
    </row>
    <row r="9" spans="1:11" x14ac:dyDescent="0.35">
      <c r="A9" s="152">
        <f t="shared" ref="A9:A72" si="4">IF(
    AND(
        YEAR(B8)=YEAR(DATE(YEAR($E$1), MONTH($E$1)-1, 1)),
        MONTH(B8)=MONTH(DATE(YEAR($E$1), MONTH($E$1)-1, 1))
    ),
    $E$1,
    IF(
        $E$4="",
        DATE(YEAR(B8), MONTH(B8)+1, 1),
        IF(
            AND(
                YEAR(B8)=YEAR(DATE(YEAR($E$4), MONTH($E$4)-1, 1)),
                MONTH(B8)=MONTH(DATE(YEAR($E$4), MONTH($E$4)-1, 1))
            ),
            $E$4,
            DATE(YEAR(B8), MONTH(B8)+1, 1)
        )
    )
)</f>
        <v>39142</v>
      </c>
      <c r="B9" s="152">
        <f t="shared" ref="B9:B72" si="5">IF(
AND(
YEAR(B8)=YEAR(DATE(YEAR($E$2),MONTH($E$2)-1,1)),
MONTH(B8)=MONTH(DATE(YEAR($E$2),MONTH($E$2)-1,1))
),
$E$2,
IF(
$E$3="",
EOMONTH(B8,1),
IF(
AND(
YEAR(B8)=YEAR(DATE(YEAR($E$3),MONTH($E$3)-1,1)),
MONTH(B8)=MONTH(DATE(YEAR($E$3),MONTH($E$3)-1,1))
),
$E$3,
EOMONTH(B8,1)
)))</f>
        <v>39172</v>
      </c>
      <c r="C9" s="438"/>
      <c r="D9" s="195" t="s">
        <v>127</v>
      </c>
      <c r="E9" s="196">
        <f t="shared" si="1"/>
        <v>0</v>
      </c>
      <c r="F9" s="197">
        <v>7.524708997E-2</v>
      </c>
      <c r="G9" s="198">
        <f t="shared" si="2"/>
        <v>1.9878821138252789E-4</v>
      </c>
      <c r="H9" s="199">
        <f t="shared" si="0"/>
        <v>31</v>
      </c>
      <c r="I9" s="200">
        <f t="shared" si="3"/>
        <v>0</v>
      </c>
    </row>
    <row r="10" spans="1:11" x14ac:dyDescent="0.35">
      <c r="A10" s="152">
        <f t="shared" si="4"/>
        <v>39173</v>
      </c>
      <c r="B10" s="152">
        <f t="shared" si="5"/>
        <v>39202</v>
      </c>
      <c r="C10" s="438"/>
      <c r="D10" s="195" t="s">
        <v>128</v>
      </c>
      <c r="E10" s="196">
        <f t="shared" si="1"/>
        <v>0</v>
      </c>
      <c r="F10" s="197">
        <v>7.4474033869999998E-2</v>
      </c>
      <c r="G10" s="198">
        <f t="shared" si="2"/>
        <v>1.9681736881649314E-4</v>
      </c>
      <c r="H10" s="199">
        <f t="shared" si="0"/>
        <v>30</v>
      </c>
      <c r="I10" s="200">
        <f t="shared" si="3"/>
        <v>0</v>
      </c>
    </row>
    <row r="11" spans="1:11" x14ac:dyDescent="0.35">
      <c r="A11" s="152">
        <f t="shared" si="4"/>
        <v>39203</v>
      </c>
      <c r="B11" s="152">
        <f t="shared" si="5"/>
        <v>39233</v>
      </c>
      <c r="C11" s="438"/>
      <c r="D11" s="195" t="s">
        <v>129</v>
      </c>
      <c r="E11" s="196">
        <f t="shared" si="1"/>
        <v>0</v>
      </c>
      <c r="F11" s="197">
        <v>7.6058611920000005E-2</v>
      </c>
      <c r="G11" s="198">
        <f t="shared" si="2"/>
        <v>2.0085559974614142E-4</v>
      </c>
      <c r="H11" s="199">
        <f t="shared" si="0"/>
        <v>31</v>
      </c>
      <c r="I11" s="200">
        <f t="shared" si="3"/>
        <v>0</v>
      </c>
    </row>
    <row r="12" spans="1:11" x14ac:dyDescent="0.35">
      <c r="A12" s="152">
        <f t="shared" si="4"/>
        <v>39234</v>
      </c>
      <c r="B12" s="152">
        <f t="shared" si="5"/>
        <v>39263</v>
      </c>
      <c r="C12" s="438"/>
      <c r="D12" s="195" t="s">
        <v>130</v>
      </c>
      <c r="E12" s="196">
        <f t="shared" si="1"/>
        <v>0</v>
      </c>
      <c r="F12" s="197">
        <v>8.0197490819999995E-2</v>
      </c>
      <c r="G12" s="198">
        <f t="shared" si="2"/>
        <v>2.1137544976412848E-4</v>
      </c>
      <c r="H12" s="199">
        <f t="shared" si="0"/>
        <v>30</v>
      </c>
      <c r="I12" s="200">
        <f t="shared" si="3"/>
        <v>0</v>
      </c>
    </row>
    <row r="13" spans="1:11" x14ac:dyDescent="0.35">
      <c r="A13" s="152">
        <f t="shared" si="4"/>
        <v>39264</v>
      </c>
      <c r="B13" s="152">
        <f t="shared" si="5"/>
        <v>39294</v>
      </c>
      <c r="C13" s="438"/>
      <c r="D13" s="195" t="s">
        <v>131</v>
      </c>
      <c r="E13" s="196">
        <f t="shared" si="1"/>
        <v>0</v>
      </c>
      <c r="F13" s="197">
        <v>8.2934631250000002E-2</v>
      </c>
      <c r="G13" s="198">
        <f t="shared" si="2"/>
        <v>2.1831042143216628E-4</v>
      </c>
      <c r="H13" s="199">
        <f t="shared" si="0"/>
        <v>31</v>
      </c>
      <c r="I13" s="200">
        <f t="shared" si="3"/>
        <v>0</v>
      </c>
    </row>
    <row r="14" spans="1:11" x14ac:dyDescent="0.35">
      <c r="A14" s="152">
        <f t="shared" si="4"/>
        <v>39295</v>
      </c>
      <c r="B14" s="152">
        <f t="shared" si="5"/>
        <v>39325</v>
      </c>
      <c r="C14" s="438"/>
      <c r="D14" s="195" t="s">
        <v>132</v>
      </c>
      <c r="E14" s="196">
        <f t="shared" si="1"/>
        <v>0</v>
      </c>
      <c r="F14" s="197">
        <v>8.5360570979999995E-2</v>
      </c>
      <c r="G14" s="198">
        <f t="shared" si="2"/>
        <v>2.24442321133278E-4</v>
      </c>
      <c r="H14" s="199">
        <f t="shared" si="0"/>
        <v>31</v>
      </c>
      <c r="I14" s="200">
        <f t="shared" si="3"/>
        <v>0</v>
      </c>
    </row>
    <row r="15" spans="1:11" x14ac:dyDescent="0.35">
      <c r="A15" s="152">
        <f t="shared" si="4"/>
        <v>39326</v>
      </c>
      <c r="B15" s="152">
        <f t="shared" si="5"/>
        <v>39355</v>
      </c>
      <c r="C15" s="438"/>
      <c r="D15" s="195" t="s">
        <v>133</v>
      </c>
      <c r="E15" s="196">
        <f t="shared" si="1"/>
        <v>0</v>
      </c>
      <c r="F15" s="197">
        <v>8.8893967229999996E-2</v>
      </c>
      <c r="G15" s="198">
        <f t="shared" si="2"/>
        <v>2.3334906306082814E-4</v>
      </c>
      <c r="H15" s="199">
        <f t="shared" si="0"/>
        <v>30</v>
      </c>
      <c r="I15" s="200">
        <f t="shared" si="3"/>
        <v>0</v>
      </c>
    </row>
    <row r="16" spans="1:11" x14ac:dyDescent="0.35">
      <c r="A16" s="152">
        <f t="shared" si="4"/>
        <v>39356</v>
      </c>
      <c r="B16" s="152">
        <f t="shared" si="5"/>
        <v>39386</v>
      </c>
      <c r="C16" s="438"/>
      <c r="D16" s="195" t="s">
        <v>134</v>
      </c>
      <c r="E16" s="196">
        <f t="shared" si="1"/>
        <v>0</v>
      </c>
      <c r="F16" s="197">
        <v>8.5905296490000005E-2</v>
      </c>
      <c r="G16" s="198">
        <f t="shared" si="2"/>
        <v>2.2581731135851157E-4</v>
      </c>
      <c r="H16" s="199">
        <f t="shared" si="0"/>
        <v>31</v>
      </c>
      <c r="I16" s="200">
        <f t="shared" si="3"/>
        <v>0</v>
      </c>
    </row>
    <row r="17" spans="1:9" x14ac:dyDescent="0.35">
      <c r="A17" s="152">
        <f t="shared" si="4"/>
        <v>39387</v>
      </c>
      <c r="B17" s="152">
        <f t="shared" si="5"/>
        <v>39416</v>
      </c>
      <c r="C17" s="438"/>
      <c r="D17" s="195" t="s">
        <v>135</v>
      </c>
      <c r="E17" s="196">
        <f t="shared" si="1"/>
        <v>0</v>
      </c>
      <c r="F17" s="197">
        <v>8.6749441920000003E-2</v>
      </c>
      <c r="G17" s="198">
        <f t="shared" si="2"/>
        <v>2.2794673578774294E-4</v>
      </c>
      <c r="H17" s="199">
        <f t="shared" si="0"/>
        <v>30</v>
      </c>
      <c r="I17" s="200">
        <f t="shared" si="3"/>
        <v>0</v>
      </c>
    </row>
    <row r="18" spans="1:9" x14ac:dyDescent="0.35">
      <c r="A18" s="152">
        <f t="shared" si="4"/>
        <v>39417</v>
      </c>
      <c r="B18" s="152">
        <f t="shared" si="5"/>
        <v>39447</v>
      </c>
      <c r="C18" s="439"/>
      <c r="D18" s="195" t="s">
        <v>136</v>
      </c>
      <c r="E18" s="196">
        <f t="shared" si="1"/>
        <v>0</v>
      </c>
      <c r="F18" s="197">
        <v>8.9757508809999997E-2</v>
      </c>
      <c r="G18" s="198">
        <f t="shared" si="2"/>
        <v>2.3552143632499245E-4</v>
      </c>
      <c r="H18" s="199">
        <f t="shared" si="0"/>
        <v>31</v>
      </c>
      <c r="I18" s="200">
        <f t="shared" si="3"/>
        <v>0</v>
      </c>
    </row>
    <row r="19" spans="1:9" x14ac:dyDescent="0.35">
      <c r="A19" s="152">
        <f t="shared" si="4"/>
        <v>39448</v>
      </c>
      <c r="B19" s="152">
        <f t="shared" si="5"/>
        <v>39478</v>
      </c>
      <c r="C19" s="437">
        <v>2008</v>
      </c>
      <c r="D19" s="195" t="s">
        <v>125</v>
      </c>
      <c r="E19" s="196">
        <f t="shared" si="1"/>
        <v>0</v>
      </c>
      <c r="F19" s="197">
        <v>9.1165912710000005E-2</v>
      </c>
      <c r="G19" s="198">
        <f t="shared" si="2"/>
        <v>2.3906081504998511E-4</v>
      </c>
      <c r="H19" s="199">
        <f t="shared" si="0"/>
        <v>31</v>
      </c>
      <c r="I19" s="200">
        <f t="shared" si="3"/>
        <v>0</v>
      </c>
    </row>
    <row r="20" spans="1:9" x14ac:dyDescent="0.35">
      <c r="A20" s="152">
        <f t="shared" si="4"/>
        <v>39479</v>
      </c>
      <c r="B20" s="152">
        <f t="shared" si="5"/>
        <v>39507</v>
      </c>
      <c r="C20" s="438"/>
      <c r="D20" s="195" t="s">
        <v>126</v>
      </c>
      <c r="E20" s="196">
        <f t="shared" si="1"/>
        <v>0</v>
      </c>
      <c r="F20" s="197">
        <v>9.2983036029999994E-2</v>
      </c>
      <c r="G20" s="198">
        <f t="shared" si="2"/>
        <v>2.4362059811977588E-4</v>
      </c>
      <c r="H20" s="199">
        <f t="shared" si="0"/>
        <v>29</v>
      </c>
      <c r="I20" s="200">
        <f t="shared" si="3"/>
        <v>0</v>
      </c>
    </row>
    <row r="21" spans="1:9" x14ac:dyDescent="0.35">
      <c r="A21" s="152">
        <f t="shared" si="4"/>
        <v>39508</v>
      </c>
      <c r="B21" s="152">
        <f t="shared" si="5"/>
        <v>39538</v>
      </c>
      <c r="C21" s="438"/>
      <c r="D21" s="195" t="s">
        <v>127</v>
      </c>
      <c r="E21" s="196">
        <f t="shared" si="1"/>
        <v>0</v>
      </c>
      <c r="F21" s="197">
        <v>9.5919494699999996E-2</v>
      </c>
      <c r="G21" s="198">
        <f t="shared" si="2"/>
        <v>2.5097322025557922E-4</v>
      </c>
      <c r="H21" s="199">
        <f t="shared" si="0"/>
        <v>31</v>
      </c>
      <c r="I21" s="200">
        <f t="shared" si="3"/>
        <v>0</v>
      </c>
    </row>
    <row r="22" spans="1:9" x14ac:dyDescent="0.35">
      <c r="A22" s="152">
        <f t="shared" si="4"/>
        <v>39539</v>
      </c>
      <c r="B22" s="152">
        <f t="shared" si="5"/>
        <v>39568</v>
      </c>
      <c r="C22" s="438"/>
      <c r="D22" s="195" t="s">
        <v>128</v>
      </c>
      <c r="E22" s="196">
        <f t="shared" si="1"/>
        <v>0</v>
      </c>
      <c r="F22" s="197">
        <v>9.7946644609999994E-2</v>
      </c>
      <c r="G22" s="198">
        <f t="shared" si="2"/>
        <v>2.5603756285930146E-4</v>
      </c>
      <c r="H22" s="199">
        <f t="shared" si="0"/>
        <v>30</v>
      </c>
      <c r="I22" s="200">
        <f t="shared" si="3"/>
        <v>0</v>
      </c>
    </row>
    <row r="23" spans="1:9" x14ac:dyDescent="0.35">
      <c r="A23" s="152">
        <f t="shared" si="4"/>
        <v>39569</v>
      </c>
      <c r="B23" s="152">
        <f t="shared" si="5"/>
        <v>39599</v>
      </c>
      <c r="C23" s="438"/>
      <c r="D23" s="195" t="s">
        <v>129</v>
      </c>
      <c r="E23" s="196">
        <f t="shared" si="1"/>
        <v>0</v>
      </c>
      <c r="F23" s="197">
        <v>9.5899999999999999E-2</v>
      </c>
      <c r="G23" s="198">
        <f t="shared" si="2"/>
        <v>2.5092447213537206E-4</v>
      </c>
      <c r="H23" s="199">
        <f t="shared" si="0"/>
        <v>31</v>
      </c>
      <c r="I23" s="200">
        <f t="shared" si="3"/>
        <v>0</v>
      </c>
    </row>
    <row r="24" spans="1:9" x14ac:dyDescent="0.35">
      <c r="A24" s="152">
        <f t="shared" si="4"/>
        <v>39600</v>
      </c>
      <c r="B24" s="152">
        <f t="shared" si="5"/>
        <v>39629</v>
      </c>
      <c r="C24" s="438"/>
      <c r="D24" s="195" t="s">
        <v>130</v>
      </c>
      <c r="E24" s="196">
        <f t="shared" si="1"/>
        <v>0</v>
      </c>
      <c r="F24" s="197">
        <v>9.7488434750000005E-2</v>
      </c>
      <c r="G24" s="198">
        <f t="shared" si="2"/>
        <v>2.5489365274045106E-4</v>
      </c>
      <c r="H24" s="199">
        <f t="shared" si="0"/>
        <v>30</v>
      </c>
      <c r="I24" s="200">
        <f t="shared" si="3"/>
        <v>0</v>
      </c>
    </row>
    <row r="25" spans="1:9" x14ac:dyDescent="0.35">
      <c r="A25" s="152">
        <f t="shared" si="4"/>
        <v>39630</v>
      </c>
      <c r="B25" s="152">
        <f t="shared" si="5"/>
        <v>39660</v>
      </c>
      <c r="C25" s="438"/>
      <c r="D25" s="195" t="s">
        <v>131</v>
      </c>
      <c r="E25" s="196">
        <f t="shared" si="1"/>
        <v>0</v>
      </c>
      <c r="F25" s="197">
        <v>9.606267516E-2</v>
      </c>
      <c r="G25" s="198">
        <f t="shared" si="2"/>
        <v>2.5133122841802802E-4</v>
      </c>
      <c r="H25" s="199">
        <f t="shared" si="0"/>
        <v>31</v>
      </c>
      <c r="I25" s="200">
        <f t="shared" si="3"/>
        <v>0</v>
      </c>
    </row>
    <row r="26" spans="1:9" x14ac:dyDescent="0.35">
      <c r="A26" s="152">
        <f t="shared" si="4"/>
        <v>39661</v>
      </c>
      <c r="B26" s="152">
        <f t="shared" si="5"/>
        <v>39691</v>
      </c>
      <c r="C26" s="438"/>
      <c r="D26" s="195" t="s">
        <v>132</v>
      </c>
      <c r="E26" s="196">
        <f t="shared" si="1"/>
        <v>0</v>
      </c>
      <c r="F26" s="197">
        <v>9.9613895590000001E-2</v>
      </c>
      <c r="G26" s="198">
        <f t="shared" si="2"/>
        <v>2.6019580171143808E-4</v>
      </c>
      <c r="H26" s="199">
        <f t="shared" si="0"/>
        <v>31</v>
      </c>
      <c r="I26" s="200">
        <f t="shared" si="3"/>
        <v>0</v>
      </c>
    </row>
    <row r="27" spans="1:9" x14ac:dyDescent="0.35">
      <c r="A27" s="152">
        <f t="shared" si="4"/>
        <v>39692</v>
      </c>
      <c r="B27" s="152">
        <f t="shared" si="5"/>
        <v>39721</v>
      </c>
      <c r="C27" s="438"/>
      <c r="D27" s="195" t="s">
        <v>133</v>
      </c>
      <c r="E27" s="196">
        <f t="shared" si="1"/>
        <v>0</v>
      </c>
      <c r="F27" s="197">
        <v>9.917873797E-2</v>
      </c>
      <c r="G27" s="198">
        <f t="shared" si="2"/>
        <v>2.5911109529830334E-4</v>
      </c>
      <c r="H27" s="199">
        <f t="shared" si="0"/>
        <v>30</v>
      </c>
      <c r="I27" s="200">
        <f t="shared" si="3"/>
        <v>0</v>
      </c>
    </row>
    <row r="28" spans="1:9" x14ac:dyDescent="0.35">
      <c r="A28" s="152">
        <f t="shared" si="4"/>
        <v>39722</v>
      </c>
      <c r="B28" s="152">
        <f t="shared" si="5"/>
        <v>39752</v>
      </c>
      <c r="C28" s="438"/>
      <c r="D28" s="195" t="s">
        <v>134</v>
      </c>
      <c r="E28" s="196">
        <f t="shared" si="1"/>
        <v>0</v>
      </c>
      <c r="F28" s="197">
        <v>0.1001595919</v>
      </c>
      <c r="G28" s="198">
        <f t="shared" si="2"/>
        <v>2.6155544028050315E-4</v>
      </c>
      <c r="H28" s="199">
        <f t="shared" si="0"/>
        <v>31</v>
      </c>
      <c r="I28" s="200">
        <f t="shared" si="3"/>
        <v>0</v>
      </c>
    </row>
    <row r="29" spans="1:9" x14ac:dyDescent="0.35">
      <c r="A29" s="152">
        <f t="shared" si="4"/>
        <v>39753</v>
      </c>
      <c r="B29" s="152">
        <f t="shared" si="5"/>
        <v>39782</v>
      </c>
      <c r="C29" s="438"/>
      <c r="D29" s="195" t="s">
        <v>135</v>
      </c>
      <c r="E29" s="196">
        <f t="shared" si="1"/>
        <v>0</v>
      </c>
      <c r="F29" s="197">
        <v>0.1012695334</v>
      </c>
      <c r="G29" s="198">
        <f t="shared" si="2"/>
        <v>2.6431885920152887E-4</v>
      </c>
      <c r="H29" s="199">
        <f t="shared" si="0"/>
        <v>30</v>
      </c>
      <c r="I29" s="200">
        <f t="shared" si="3"/>
        <v>0</v>
      </c>
    </row>
    <row r="30" spans="1:9" x14ac:dyDescent="0.35">
      <c r="A30" s="152">
        <f t="shared" si="4"/>
        <v>39783</v>
      </c>
      <c r="B30" s="152">
        <f t="shared" si="5"/>
        <v>39813</v>
      </c>
      <c r="C30" s="439"/>
      <c r="D30" s="195" t="s">
        <v>136</v>
      </c>
      <c r="E30" s="196">
        <f t="shared" si="1"/>
        <v>0</v>
      </c>
      <c r="F30" s="197">
        <v>0.1012300818</v>
      </c>
      <c r="G30" s="198">
        <f t="shared" si="2"/>
        <v>2.642206842564665E-4</v>
      </c>
      <c r="H30" s="199">
        <f t="shared" si="0"/>
        <v>31</v>
      </c>
      <c r="I30" s="200">
        <f t="shared" si="3"/>
        <v>0</v>
      </c>
    </row>
    <row r="31" spans="1:9" x14ac:dyDescent="0.35">
      <c r="A31" s="152">
        <f t="shared" si="4"/>
        <v>39814</v>
      </c>
      <c r="B31" s="152">
        <f t="shared" si="5"/>
        <v>39844</v>
      </c>
      <c r="C31" s="437">
        <v>2009</v>
      </c>
      <c r="D31" s="195" t="s">
        <v>125</v>
      </c>
      <c r="E31" s="196">
        <f t="shared" si="1"/>
        <v>0</v>
      </c>
      <c r="F31" s="197">
        <v>9.6922504610000002E-2</v>
      </c>
      <c r="G31" s="198">
        <f t="shared" si="2"/>
        <v>2.5348016390291939E-4</v>
      </c>
      <c r="H31" s="199">
        <f t="shared" si="0"/>
        <v>31</v>
      </c>
      <c r="I31" s="200">
        <f t="shared" si="3"/>
        <v>0</v>
      </c>
    </row>
    <row r="32" spans="1:9" x14ac:dyDescent="0.35">
      <c r="A32" s="152">
        <f t="shared" si="4"/>
        <v>39845</v>
      </c>
      <c r="B32" s="152">
        <f t="shared" si="5"/>
        <v>39872</v>
      </c>
      <c r="C32" s="438"/>
      <c r="D32" s="195" t="s">
        <v>126</v>
      </c>
      <c r="E32" s="196">
        <f t="shared" si="1"/>
        <v>0</v>
      </c>
      <c r="F32" s="197">
        <v>8.9788951140000003E-2</v>
      </c>
      <c r="G32" s="198">
        <f t="shared" si="2"/>
        <v>2.3560050200521765E-4</v>
      </c>
      <c r="H32" s="199">
        <f t="shared" si="0"/>
        <v>28</v>
      </c>
      <c r="I32" s="200">
        <f t="shared" si="3"/>
        <v>0</v>
      </c>
    </row>
    <row r="33" spans="1:9" x14ac:dyDescent="0.35">
      <c r="A33" s="152">
        <f t="shared" si="4"/>
        <v>39873</v>
      </c>
      <c r="B33" s="152">
        <f t="shared" si="5"/>
        <v>39903</v>
      </c>
      <c r="C33" s="438"/>
      <c r="D33" s="195" t="s">
        <v>127</v>
      </c>
      <c r="E33" s="196">
        <f t="shared" si="1"/>
        <v>0</v>
      </c>
      <c r="F33" s="197">
        <v>8.1703718049999999E-2</v>
      </c>
      <c r="G33" s="198">
        <f t="shared" si="2"/>
        <v>2.1519387657042977E-4</v>
      </c>
      <c r="H33" s="199">
        <f t="shared" si="0"/>
        <v>31</v>
      </c>
      <c r="I33" s="200">
        <f t="shared" si="3"/>
        <v>0</v>
      </c>
    </row>
    <row r="34" spans="1:9" x14ac:dyDescent="0.35">
      <c r="A34" s="152">
        <f t="shared" si="4"/>
        <v>39904</v>
      </c>
      <c r="B34" s="152">
        <f t="shared" si="5"/>
        <v>39933</v>
      </c>
      <c r="C34" s="438"/>
      <c r="D34" s="195" t="s">
        <v>128</v>
      </c>
      <c r="E34" s="196">
        <f t="shared" si="1"/>
        <v>0</v>
      </c>
      <c r="F34" s="197">
        <v>7.1242123429999998E-2</v>
      </c>
      <c r="G34" s="198">
        <f t="shared" si="2"/>
        <v>1.8856253790566768E-4</v>
      </c>
      <c r="H34" s="199">
        <f t="shared" si="0"/>
        <v>30</v>
      </c>
      <c r="I34" s="200">
        <f t="shared" si="3"/>
        <v>0</v>
      </c>
    </row>
    <row r="35" spans="1:9" x14ac:dyDescent="0.35">
      <c r="A35" s="152">
        <f t="shared" si="4"/>
        <v>39934</v>
      </c>
      <c r="B35" s="152">
        <f t="shared" si="5"/>
        <v>39964</v>
      </c>
      <c r="C35" s="438"/>
      <c r="D35" s="195" t="s">
        <v>129</v>
      </c>
      <c r="E35" s="196">
        <f t="shared" si="1"/>
        <v>0</v>
      </c>
      <c r="F35" s="197">
        <v>6.2031263599999997E-2</v>
      </c>
      <c r="G35" s="198">
        <f t="shared" si="2"/>
        <v>1.648995144427623E-4</v>
      </c>
      <c r="H35" s="199">
        <f t="shared" si="0"/>
        <v>31</v>
      </c>
      <c r="I35" s="200">
        <f t="shared" si="3"/>
        <v>0</v>
      </c>
    </row>
    <row r="36" spans="1:9" x14ac:dyDescent="0.35">
      <c r="A36" s="152">
        <f t="shared" si="4"/>
        <v>39965</v>
      </c>
      <c r="B36" s="152">
        <f t="shared" si="5"/>
        <v>39994</v>
      </c>
      <c r="C36" s="438"/>
      <c r="D36" s="195" t="s">
        <v>130</v>
      </c>
      <c r="E36" s="196">
        <f t="shared" si="1"/>
        <v>0</v>
      </c>
      <c r="F36" s="197">
        <v>5.5240039040000001E-2</v>
      </c>
      <c r="G36" s="198">
        <f t="shared" si="2"/>
        <v>1.4732116906635007E-4</v>
      </c>
      <c r="H36" s="199">
        <f t="shared" si="0"/>
        <v>30</v>
      </c>
      <c r="I36" s="200">
        <f t="shared" si="3"/>
        <v>0</v>
      </c>
    </row>
    <row r="37" spans="1:9" x14ac:dyDescent="0.35">
      <c r="A37" s="152">
        <f t="shared" si="4"/>
        <v>39995</v>
      </c>
      <c r="B37" s="152">
        <f t="shared" si="5"/>
        <v>40025</v>
      </c>
      <c r="C37" s="438"/>
      <c r="D37" s="195" t="s">
        <v>131</v>
      </c>
      <c r="E37" s="196">
        <f t="shared" si="1"/>
        <v>0</v>
      </c>
      <c r="F37" s="197">
        <v>5.1511164980000003E-2</v>
      </c>
      <c r="G37" s="198">
        <f t="shared" si="2"/>
        <v>1.3762134360528755E-4</v>
      </c>
      <c r="H37" s="199">
        <f t="shared" si="0"/>
        <v>31</v>
      </c>
      <c r="I37" s="200">
        <f t="shared" si="3"/>
        <v>0</v>
      </c>
    </row>
    <row r="38" spans="1:9" x14ac:dyDescent="0.35">
      <c r="A38" s="152">
        <f t="shared" si="4"/>
        <v>40026</v>
      </c>
      <c r="B38" s="152">
        <f t="shared" si="5"/>
        <v>40056</v>
      </c>
      <c r="C38" s="438"/>
      <c r="D38" s="195" t="s">
        <v>132</v>
      </c>
      <c r="E38" s="196">
        <f t="shared" si="1"/>
        <v>0</v>
      </c>
      <c r="F38" s="197">
        <v>5.0779249229999997E-2</v>
      </c>
      <c r="G38" s="198">
        <f t="shared" si="2"/>
        <v>1.3571340286633315E-4</v>
      </c>
      <c r="H38" s="199">
        <f t="shared" si="0"/>
        <v>31</v>
      </c>
      <c r="I38" s="200">
        <f t="shared" si="3"/>
        <v>0</v>
      </c>
    </row>
    <row r="39" spans="1:9" x14ac:dyDescent="0.35">
      <c r="A39" s="152">
        <f t="shared" si="4"/>
        <v>40057</v>
      </c>
      <c r="B39" s="152">
        <f t="shared" si="5"/>
        <v>40086</v>
      </c>
      <c r="C39" s="438"/>
      <c r="D39" s="195" t="s">
        <v>133</v>
      </c>
      <c r="E39" s="196">
        <f t="shared" si="1"/>
        <v>0</v>
      </c>
      <c r="F39" s="197">
        <v>4.8910099110000001E-2</v>
      </c>
      <c r="G39" s="198">
        <f t="shared" si="2"/>
        <v>1.3083492588439327E-4</v>
      </c>
      <c r="H39" s="199">
        <f t="shared" si="0"/>
        <v>30</v>
      </c>
      <c r="I39" s="200">
        <f t="shared" si="3"/>
        <v>0</v>
      </c>
    </row>
    <row r="40" spans="1:9" x14ac:dyDescent="0.35">
      <c r="A40" s="152">
        <f t="shared" si="4"/>
        <v>40087</v>
      </c>
      <c r="B40" s="152">
        <f t="shared" si="5"/>
        <v>40117</v>
      </c>
      <c r="C40" s="438"/>
      <c r="D40" s="195" t="s">
        <v>134</v>
      </c>
      <c r="E40" s="196">
        <f t="shared" si="1"/>
        <v>0</v>
      </c>
      <c r="F40" s="197">
        <v>4.4145648359999998E-2</v>
      </c>
      <c r="G40" s="198">
        <f t="shared" si="2"/>
        <v>1.1836040034962636E-4</v>
      </c>
      <c r="H40" s="199">
        <f t="shared" si="0"/>
        <v>31</v>
      </c>
      <c r="I40" s="200">
        <f t="shared" si="3"/>
        <v>0</v>
      </c>
    </row>
    <row r="41" spans="1:9" x14ac:dyDescent="0.35">
      <c r="A41" s="152">
        <f t="shared" si="4"/>
        <v>40118</v>
      </c>
      <c r="B41" s="152">
        <f t="shared" si="5"/>
        <v>40147</v>
      </c>
      <c r="C41" s="438"/>
      <c r="D41" s="195" t="s">
        <v>135</v>
      </c>
      <c r="E41" s="196">
        <f t="shared" si="1"/>
        <v>0</v>
      </c>
      <c r="F41" s="197">
        <v>4.4043867620000003E-2</v>
      </c>
      <c r="G41" s="198">
        <f t="shared" si="2"/>
        <v>1.1809329402789892E-4</v>
      </c>
      <c r="H41" s="199">
        <f t="shared" si="0"/>
        <v>30</v>
      </c>
      <c r="I41" s="200">
        <f t="shared" si="3"/>
        <v>0</v>
      </c>
    </row>
    <row r="42" spans="1:9" x14ac:dyDescent="0.35">
      <c r="A42" s="152">
        <f t="shared" si="4"/>
        <v>40148</v>
      </c>
      <c r="B42" s="152">
        <f t="shared" si="5"/>
        <v>40178</v>
      </c>
      <c r="C42" s="439"/>
      <c r="D42" s="195" t="s">
        <v>136</v>
      </c>
      <c r="E42" s="196">
        <f t="shared" si="1"/>
        <v>0</v>
      </c>
      <c r="F42" s="197">
        <v>4.1175381599999998E-2</v>
      </c>
      <c r="G42" s="198">
        <f t="shared" si="2"/>
        <v>1.105547397717288E-4</v>
      </c>
      <c r="H42" s="199">
        <f t="shared" si="0"/>
        <v>31</v>
      </c>
      <c r="I42" s="200">
        <f t="shared" si="3"/>
        <v>0</v>
      </c>
    </row>
    <row r="43" spans="1:9" x14ac:dyDescent="0.35">
      <c r="A43" s="152">
        <f t="shared" si="4"/>
        <v>40179</v>
      </c>
      <c r="B43" s="152">
        <f t="shared" si="5"/>
        <v>40209</v>
      </c>
      <c r="C43" s="468">
        <v>2010</v>
      </c>
      <c r="D43" s="195" t="s">
        <v>125</v>
      </c>
      <c r="E43" s="196">
        <f t="shared" si="1"/>
        <v>0</v>
      </c>
      <c r="F43" s="197">
        <v>4.0398731110000002E-2</v>
      </c>
      <c r="G43" s="198">
        <f t="shared" si="2"/>
        <v>1.0851009220291807E-4</v>
      </c>
      <c r="H43" s="199">
        <f t="shared" si="0"/>
        <v>31</v>
      </c>
      <c r="I43" s="200">
        <f t="shared" si="3"/>
        <v>0</v>
      </c>
    </row>
    <row r="44" spans="1:9" x14ac:dyDescent="0.35">
      <c r="A44" s="152">
        <f t="shared" si="4"/>
        <v>40210</v>
      </c>
      <c r="B44" s="152">
        <f t="shared" si="5"/>
        <v>40237</v>
      </c>
      <c r="C44" s="471"/>
      <c r="D44" s="195" t="s">
        <v>126</v>
      </c>
      <c r="E44" s="196">
        <f t="shared" si="1"/>
        <v>0</v>
      </c>
      <c r="F44" s="197">
        <v>4.0032041140000002E-2</v>
      </c>
      <c r="G44" s="198">
        <f t="shared" si="2"/>
        <v>1.0754419744118948E-4</v>
      </c>
      <c r="H44" s="199">
        <f t="shared" si="0"/>
        <v>28</v>
      </c>
      <c r="I44" s="200">
        <f t="shared" si="3"/>
        <v>0</v>
      </c>
    </row>
    <row r="45" spans="1:9" x14ac:dyDescent="0.35">
      <c r="A45" s="152">
        <f t="shared" si="4"/>
        <v>40238</v>
      </c>
      <c r="B45" s="152">
        <f t="shared" si="5"/>
        <v>40268</v>
      </c>
      <c r="C45" s="471"/>
      <c r="D45" s="195" t="s">
        <v>127</v>
      </c>
      <c r="E45" s="196">
        <f t="shared" si="1"/>
        <v>0</v>
      </c>
      <c r="F45" s="197">
        <v>3.9305437899999997E-2</v>
      </c>
      <c r="G45" s="198">
        <f t="shared" si="2"/>
        <v>1.0562925473389662E-4</v>
      </c>
      <c r="H45" s="199">
        <f t="shared" si="0"/>
        <v>31</v>
      </c>
      <c r="I45" s="200">
        <f t="shared" si="3"/>
        <v>0</v>
      </c>
    </row>
    <row r="46" spans="1:9" x14ac:dyDescent="0.35">
      <c r="A46" s="152">
        <f t="shared" si="4"/>
        <v>40269</v>
      </c>
      <c r="B46" s="152">
        <f t="shared" si="5"/>
        <v>40298</v>
      </c>
      <c r="C46" s="471"/>
      <c r="D46" s="195" t="s">
        <v>128</v>
      </c>
      <c r="E46" s="196">
        <f t="shared" si="1"/>
        <v>0</v>
      </c>
      <c r="F46" s="197">
        <v>3.9195058169999998E-2</v>
      </c>
      <c r="G46" s="198">
        <f t="shared" si="2"/>
        <v>1.0533823520364471E-4</v>
      </c>
      <c r="H46" s="199">
        <f t="shared" si="0"/>
        <v>30</v>
      </c>
      <c r="I46" s="200">
        <f t="shared" si="3"/>
        <v>0</v>
      </c>
    </row>
    <row r="47" spans="1:9" x14ac:dyDescent="0.35">
      <c r="A47" s="152">
        <f t="shared" si="4"/>
        <v>40299</v>
      </c>
      <c r="B47" s="152">
        <f t="shared" si="5"/>
        <v>40329</v>
      </c>
      <c r="C47" s="471"/>
      <c r="D47" s="195" t="s">
        <v>129</v>
      </c>
      <c r="E47" s="196">
        <f t="shared" si="1"/>
        <v>0</v>
      </c>
      <c r="F47" s="197">
        <v>3.6342321470000001E-2</v>
      </c>
      <c r="G47" s="198">
        <f t="shared" si="2"/>
        <v>9.7806194735872154E-5</v>
      </c>
      <c r="H47" s="199">
        <f t="shared" si="0"/>
        <v>31</v>
      </c>
      <c r="I47" s="200">
        <f t="shared" si="3"/>
        <v>0</v>
      </c>
    </row>
    <row r="48" spans="1:9" x14ac:dyDescent="0.35">
      <c r="A48" s="152">
        <f t="shared" si="4"/>
        <v>40330</v>
      </c>
      <c r="B48" s="152">
        <f t="shared" si="5"/>
        <v>40359</v>
      </c>
      <c r="C48" s="471"/>
      <c r="D48" s="195" t="s">
        <v>130</v>
      </c>
      <c r="E48" s="196">
        <f t="shared" si="1"/>
        <v>0</v>
      </c>
      <c r="F48" s="197">
        <v>3.5365145180000002E-2</v>
      </c>
      <c r="G48" s="198">
        <f t="shared" si="2"/>
        <v>9.5221414844859353E-5</v>
      </c>
      <c r="H48" s="199">
        <f t="shared" si="0"/>
        <v>30</v>
      </c>
      <c r="I48" s="200">
        <f t="shared" si="3"/>
        <v>0</v>
      </c>
    </row>
    <row r="49" spans="1:9" x14ac:dyDescent="0.35">
      <c r="A49" s="152">
        <f t="shared" si="4"/>
        <v>40360</v>
      </c>
      <c r="B49" s="152">
        <f t="shared" si="5"/>
        <v>40390</v>
      </c>
      <c r="C49" s="471"/>
      <c r="D49" s="195" t="s">
        <v>131</v>
      </c>
      <c r="E49" s="196">
        <f t="shared" si="1"/>
        <v>0</v>
      </c>
      <c r="F49" s="197">
        <v>3.5185380439999997E-2</v>
      </c>
      <c r="G49" s="198">
        <f t="shared" si="2"/>
        <v>9.4745644838578613E-5</v>
      </c>
      <c r="H49" s="199">
        <f t="shared" si="0"/>
        <v>31</v>
      </c>
      <c r="I49" s="200">
        <f t="shared" si="3"/>
        <v>0</v>
      </c>
    </row>
    <row r="50" spans="1:9" x14ac:dyDescent="0.35">
      <c r="A50" s="152">
        <f t="shared" si="4"/>
        <v>40391</v>
      </c>
      <c r="B50" s="152">
        <f t="shared" si="5"/>
        <v>40421</v>
      </c>
      <c r="C50" s="471"/>
      <c r="D50" s="195" t="s">
        <v>132</v>
      </c>
      <c r="E50" s="196">
        <f t="shared" si="1"/>
        <v>0</v>
      </c>
      <c r="F50" s="197">
        <v>3.4965900389999999E-2</v>
      </c>
      <c r="G50" s="198">
        <f t="shared" si="2"/>
        <v>9.4164651545325384E-5</v>
      </c>
      <c r="H50" s="199">
        <f t="shared" si="0"/>
        <v>31</v>
      </c>
      <c r="I50" s="200">
        <f t="shared" si="3"/>
        <v>0</v>
      </c>
    </row>
    <row r="51" spans="1:9" x14ac:dyDescent="0.35">
      <c r="A51" s="152">
        <f t="shared" si="4"/>
        <v>40422</v>
      </c>
      <c r="B51" s="152">
        <f t="shared" si="5"/>
        <v>40451</v>
      </c>
      <c r="C51" s="471"/>
      <c r="D51" s="195" t="s">
        <v>133</v>
      </c>
      <c r="E51" s="196">
        <f t="shared" si="1"/>
        <v>0</v>
      </c>
      <c r="F51" s="197">
        <v>3.4740004220000002E-2</v>
      </c>
      <c r="G51" s="198">
        <f t="shared" si="2"/>
        <v>9.3566545591894368E-5</v>
      </c>
      <c r="H51" s="199">
        <f t="shared" si="0"/>
        <v>30</v>
      </c>
      <c r="I51" s="200">
        <f t="shared" si="3"/>
        <v>0</v>
      </c>
    </row>
    <row r="52" spans="1:9" x14ac:dyDescent="0.35">
      <c r="A52" s="152">
        <f t="shared" si="4"/>
        <v>40452</v>
      </c>
      <c r="B52" s="152">
        <f t="shared" si="5"/>
        <v>40482</v>
      </c>
      <c r="C52" s="471"/>
      <c r="D52" s="195" t="s">
        <v>134</v>
      </c>
      <c r="E52" s="196">
        <f t="shared" si="1"/>
        <v>0</v>
      </c>
      <c r="F52" s="197">
        <v>3.4523691949999998E-2</v>
      </c>
      <c r="G52" s="198">
        <f t="shared" si="2"/>
        <v>9.2993692899723257E-5</v>
      </c>
      <c r="H52" s="199">
        <f t="shared" si="0"/>
        <v>31</v>
      </c>
      <c r="I52" s="200">
        <f t="shared" si="3"/>
        <v>0</v>
      </c>
    </row>
    <row r="53" spans="1:9" x14ac:dyDescent="0.35">
      <c r="A53" s="152">
        <f t="shared" si="4"/>
        <v>40483</v>
      </c>
      <c r="B53" s="152">
        <f t="shared" si="5"/>
        <v>40512</v>
      </c>
      <c r="C53" s="471"/>
      <c r="D53" s="195" t="s">
        <v>135</v>
      </c>
      <c r="E53" s="196">
        <f t="shared" si="1"/>
        <v>0</v>
      </c>
      <c r="F53" s="197">
        <v>3.4378323369999998E-2</v>
      </c>
      <c r="G53" s="198">
        <f t="shared" si="2"/>
        <v>9.2608650940517734E-5</v>
      </c>
      <c r="H53" s="199">
        <f t="shared" si="0"/>
        <v>30</v>
      </c>
      <c r="I53" s="200">
        <f t="shared" si="3"/>
        <v>0</v>
      </c>
    </row>
    <row r="54" spans="1:9" x14ac:dyDescent="0.35">
      <c r="A54" s="152">
        <f t="shared" si="4"/>
        <v>40513</v>
      </c>
      <c r="B54" s="152">
        <f t="shared" si="5"/>
        <v>40543</v>
      </c>
      <c r="C54" s="472"/>
      <c r="D54" s="195" t="s">
        <v>136</v>
      </c>
      <c r="E54" s="196">
        <f t="shared" si="1"/>
        <v>0</v>
      </c>
      <c r="F54" s="197">
        <v>3.4991729870000002E-2</v>
      </c>
      <c r="G54" s="198">
        <f t="shared" si="2"/>
        <v>9.4233032041257658E-5</v>
      </c>
      <c r="H54" s="199">
        <f t="shared" si="0"/>
        <v>31</v>
      </c>
      <c r="I54" s="200">
        <f t="shared" si="3"/>
        <v>0</v>
      </c>
    </row>
    <row r="55" spans="1:9" x14ac:dyDescent="0.35">
      <c r="A55" s="152">
        <f t="shared" si="4"/>
        <v>40544</v>
      </c>
      <c r="B55" s="152">
        <f t="shared" si="5"/>
        <v>40574</v>
      </c>
      <c r="C55" s="468">
        <v>2011</v>
      </c>
      <c r="D55" s="195" t="s">
        <v>125</v>
      </c>
      <c r="E55" s="196">
        <f t="shared" si="1"/>
        <v>0</v>
      </c>
      <c r="F55" s="197">
        <v>3.475336289E-2</v>
      </c>
      <c r="G55" s="198">
        <f t="shared" si="2"/>
        <v>9.3601919004093759E-5</v>
      </c>
      <c r="H55" s="199">
        <f t="shared" si="0"/>
        <v>31</v>
      </c>
      <c r="I55" s="200">
        <f t="shared" si="3"/>
        <v>0</v>
      </c>
    </row>
    <row r="56" spans="1:9" x14ac:dyDescent="0.35">
      <c r="A56" s="152">
        <f t="shared" si="4"/>
        <v>40575</v>
      </c>
      <c r="B56" s="152">
        <f t="shared" si="5"/>
        <v>40602</v>
      </c>
      <c r="C56" s="471"/>
      <c r="D56" s="195" t="s">
        <v>126</v>
      </c>
      <c r="E56" s="196">
        <f t="shared" si="1"/>
        <v>0</v>
      </c>
      <c r="F56" s="197">
        <v>3.4602043149999998E-2</v>
      </c>
      <c r="G56" s="198">
        <f t="shared" si="2"/>
        <v>9.3201201610160211E-5</v>
      </c>
      <c r="H56" s="199">
        <f t="shared" si="0"/>
        <v>28</v>
      </c>
      <c r="I56" s="200">
        <f t="shared" si="3"/>
        <v>0</v>
      </c>
    </row>
    <row r="57" spans="1:9" x14ac:dyDescent="0.35">
      <c r="A57" s="152">
        <f t="shared" si="4"/>
        <v>40603</v>
      </c>
      <c r="B57" s="152">
        <f t="shared" si="5"/>
        <v>40633</v>
      </c>
      <c r="C57" s="471"/>
      <c r="D57" s="195" t="s">
        <v>127</v>
      </c>
      <c r="E57" s="196">
        <f t="shared" si="1"/>
        <v>0</v>
      </c>
      <c r="F57" s="197">
        <v>3.5912002679999999E-2</v>
      </c>
      <c r="G57" s="198">
        <f t="shared" si="2"/>
        <v>9.6668235721075746E-5</v>
      </c>
      <c r="H57" s="199">
        <f t="shared" si="0"/>
        <v>31</v>
      </c>
      <c r="I57" s="200">
        <f t="shared" si="3"/>
        <v>0</v>
      </c>
    </row>
    <row r="58" spans="1:9" x14ac:dyDescent="0.35">
      <c r="A58" s="152">
        <f t="shared" si="4"/>
        <v>40634</v>
      </c>
      <c r="B58" s="152">
        <f t="shared" si="5"/>
        <v>40663</v>
      </c>
      <c r="C58" s="471"/>
      <c r="D58" s="195" t="s">
        <v>128</v>
      </c>
      <c r="E58" s="196">
        <f t="shared" si="1"/>
        <v>0</v>
      </c>
      <c r="F58" s="197">
        <v>3.7384651429999999E-2</v>
      </c>
      <c r="G58" s="198">
        <f t="shared" si="2"/>
        <v>1.005606383401858E-4</v>
      </c>
      <c r="H58" s="199">
        <f t="shared" si="0"/>
        <v>30</v>
      </c>
      <c r="I58" s="200">
        <f t="shared" si="3"/>
        <v>0</v>
      </c>
    </row>
    <row r="59" spans="1:9" x14ac:dyDescent="0.35">
      <c r="A59" s="152">
        <f t="shared" si="4"/>
        <v>40664</v>
      </c>
      <c r="B59" s="152">
        <f t="shared" si="5"/>
        <v>40694</v>
      </c>
      <c r="C59" s="471"/>
      <c r="D59" s="195" t="s">
        <v>129</v>
      </c>
      <c r="E59" s="196">
        <f t="shared" si="1"/>
        <v>0</v>
      </c>
      <c r="F59" s="197">
        <v>3.8757233209999999E-2</v>
      </c>
      <c r="G59" s="198">
        <f t="shared" si="2"/>
        <v>1.0418359260300214E-4</v>
      </c>
      <c r="H59" s="199">
        <f t="shared" si="0"/>
        <v>31</v>
      </c>
      <c r="I59" s="200">
        <f t="shared" si="3"/>
        <v>0</v>
      </c>
    </row>
    <row r="60" spans="1:9" x14ac:dyDescent="0.35">
      <c r="A60" s="152">
        <f t="shared" si="4"/>
        <v>40695</v>
      </c>
      <c r="B60" s="152">
        <f t="shared" si="5"/>
        <v>40724</v>
      </c>
      <c r="C60" s="471"/>
      <c r="D60" s="195" t="s">
        <v>130</v>
      </c>
      <c r="E60" s="196">
        <f t="shared" si="1"/>
        <v>0</v>
      </c>
      <c r="F60" s="197">
        <v>4.1012877750000003E-2</v>
      </c>
      <c r="G60" s="198">
        <f t="shared" si="2"/>
        <v>1.1012705015067681E-4</v>
      </c>
      <c r="H60" s="199">
        <f t="shared" si="0"/>
        <v>30</v>
      </c>
      <c r="I60" s="200">
        <f t="shared" si="3"/>
        <v>0</v>
      </c>
    </row>
    <row r="61" spans="1:9" x14ac:dyDescent="0.35">
      <c r="A61" s="152">
        <f t="shared" si="4"/>
        <v>40725</v>
      </c>
      <c r="B61" s="152">
        <f t="shared" si="5"/>
        <v>40755</v>
      </c>
      <c r="C61" s="471"/>
      <c r="D61" s="195" t="s">
        <v>131</v>
      </c>
      <c r="E61" s="196">
        <f t="shared" si="1"/>
        <v>0</v>
      </c>
      <c r="F61" s="197">
        <v>4.2072567429999999E-2</v>
      </c>
      <c r="G61" s="198">
        <f t="shared" si="2"/>
        <v>1.1291482194231151E-4</v>
      </c>
      <c r="H61" s="199">
        <f t="shared" si="0"/>
        <v>31</v>
      </c>
      <c r="I61" s="200">
        <f t="shared" si="3"/>
        <v>0</v>
      </c>
    </row>
    <row r="62" spans="1:9" x14ac:dyDescent="0.35">
      <c r="A62" s="152">
        <f t="shared" si="4"/>
        <v>40756</v>
      </c>
      <c r="B62" s="152">
        <f t="shared" si="5"/>
        <v>40786</v>
      </c>
      <c r="C62" s="471"/>
      <c r="D62" s="195" t="s">
        <v>132</v>
      </c>
      <c r="E62" s="196">
        <f t="shared" si="1"/>
        <v>0</v>
      </c>
      <c r="F62" s="197">
        <v>4.4920919169999997E-2</v>
      </c>
      <c r="G62" s="198">
        <f t="shared" si="2"/>
        <v>1.2039411560582636E-4</v>
      </c>
      <c r="H62" s="199">
        <f t="shared" si="0"/>
        <v>31</v>
      </c>
      <c r="I62" s="200">
        <f t="shared" si="3"/>
        <v>0</v>
      </c>
    </row>
    <row r="63" spans="1:9" x14ac:dyDescent="0.35">
      <c r="A63" s="152">
        <f t="shared" si="4"/>
        <v>40787</v>
      </c>
      <c r="B63" s="152">
        <f t="shared" si="5"/>
        <v>40816</v>
      </c>
      <c r="C63" s="471"/>
      <c r="D63" s="195" t="s">
        <v>133</v>
      </c>
      <c r="E63" s="196">
        <f t="shared" si="1"/>
        <v>0</v>
      </c>
      <c r="F63" s="197">
        <v>4.6068825590000001E-2</v>
      </c>
      <c r="G63" s="198">
        <f t="shared" si="2"/>
        <v>1.234025787357762E-4</v>
      </c>
      <c r="H63" s="199">
        <f t="shared" si="0"/>
        <v>30</v>
      </c>
      <c r="I63" s="200">
        <f t="shared" si="3"/>
        <v>0</v>
      </c>
    </row>
    <row r="64" spans="1:9" x14ac:dyDescent="0.35">
      <c r="A64" s="152">
        <f t="shared" si="4"/>
        <v>40817</v>
      </c>
      <c r="B64" s="152">
        <f t="shared" si="5"/>
        <v>40847</v>
      </c>
      <c r="C64" s="471"/>
      <c r="D64" s="195" t="s">
        <v>134</v>
      </c>
      <c r="E64" s="196">
        <f t="shared" si="1"/>
        <v>0</v>
      </c>
      <c r="F64" s="197">
        <v>4.7237177249999998E-2</v>
      </c>
      <c r="G64" s="198">
        <f t="shared" si="2"/>
        <v>1.2646124639603684E-4</v>
      </c>
      <c r="H64" s="199">
        <f t="shared" si="0"/>
        <v>31</v>
      </c>
      <c r="I64" s="200">
        <f t="shared" si="3"/>
        <v>0</v>
      </c>
    </row>
    <row r="65" spans="1:9" x14ac:dyDescent="0.35">
      <c r="A65" s="152">
        <f t="shared" si="4"/>
        <v>40848</v>
      </c>
      <c r="B65" s="152">
        <f t="shared" si="5"/>
        <v>40877</v>
      </c>
      <c r="C65" s="471"/>
      <c r="D65" s="195" t="s">
        <v>135</v>
      </c>
      <c r="E65" s="196">
        <f t="shared" si="1"/>
        <v>0</v>
      </c>
      <c r="F65" s="197">
        <v>5.0825849499999999E-2</v>
      </c>
      <c r="G65" s="198">
        <f t="shared" si="2"/>
        <v>1.3583491885160726E-4</v>
      </c>
      <c r="H65" s="199">
        <f t="shared" si="0"/>
        <v>30</v>
      </c>
      <c r="I65" s="200">
        <f t="shared" si="3"/>
        <v>0</v>
      </c>
    </row>
    <row r="66" spans="1:9" x14ac:dyDescent="0.35">
      <c r="A66" s="152">
        <f t="shared" si="4"/>
        <v>40878</v>
      </c>
      <c r="B66" s="152">
        <f t="shared" si="5"/>
        <v>40908</v>
      </c>
      <c r="C66" s="472"/>
      <c r="D66" s="195" t="s">
        <v>136</v>
      </c>
      <c r="E66" s="196">
        <f t="shared" si="1"/>
        <v>0</v>
      </c>
      <c r="F66" s="197">
        <v>5.1165419320000002E-2</v>
      </c>
      <c r="G66" s="198">
        <f t="shared" si="2"/>
        <v>1.3672022706257003E-4</v>
      </c>
      <c r="H66" s="199">
        <f t="shared" si="0"/>
        <v>31</v>
      </c>
      <c r="I66" s="200">
        <f t="shared" si="3"/>
        <v>0</v>
      </c>
    </row>
    <row r="67" spans="1:9" x14ac:dyDescent="0.35">
      <c r="A67" s="152">
        <f t="shared" si="4"/>
        <v>40909</v>
      </c>
      <c r="B67" s="152">
        <f t="shared" si="5"/>
        <v>40939</v>
      </c>
      <c r="C67" s="468">
        <v>2012</v>
      </c>
      <c r="D67" s="195" t="s">
        <v>125</v>
      </c>
      <c r="E67" s="196">
        <f t="shared" si="1"/>
        <v>0</v>
      </c>
      <c r="F67" s="197">
        <v>5.1295329430000002E-2</v>
      </c>
      <c r="G67" s="198">
        <f t="shared" si="2"/>
        <v>1.370588463036615E-4</v>
      </c>
      <c r="H67" s="199">
        <f t="shared" si="0"/>
        <v>31</v>
      </c>
      <c r="I67" s="200">
        <f t="shared" si="3"/>
        <v>0</v>
      </c>
    </row>
    <row r="68" spans="1:9" x14ac:dyDescent="0.35">
      <c r="A68" s="152">
        <f t="shared" si="4"/>
        <v>40940</v>
      </c>
      <c r="B68" s="152">
        <f t="shared" si="5"/>
        <v>40968</v>
      </c>
      <c r="C68" s="471"/>
      <c r="D68" s="195" t="s">
        <v>126</v>
      </c>
      <c r="E68" s="196">
        <f t="shared" si="1"/>
        <v>0</v>
      </c>
      <c r="F68" s="197">
        <v>5.2700988579999997E-2</v>
      </c>
      <c r="G68" s="198">
        <f t="shared" si="2"/>
        <v>1.4072012306454162E-4</v>
      </c>
      <c r="H68" s="199">
        <f t="shared" si="0"/>
        <v>29</v>
      </c>
      <c r="I68" s="200">
        <f t="shared" si="3"/>
        <v>0</v>
      </c>
    </row>
    <row r="69" spans="1:9" x14ac:dyDescent="0.35">
      <c r="A69" s="152">
        <f t="shared" si="4"/>
        <v>40969</v>
      </c>
      <c r="B69" s="152">
        <f t="shared" si="5"/>
        <v>40999</v>
      </c>
      <c r="C69" s="471"/>
      <c r="D69" s="195" t="s">
        <v>127</v>
      </c>
      <c r="E69" s="196">
        <f t="shared" si="1"/>
        <v>0</v>
      </c>
      <c r="F69" s="197">
        <v>5.360848176E-2</v>
      </c>
      <c r="G69" s="198">
        <f t="shared" si="2"/>
        <v>1.4308125344841827E-4</v>
      </c>
      <c r="H69" s="199">
        <f t="shared" si="0"/>
        <v>31</v>
      </c>
      <c r="I69" s="200">
        <f t="shared" si="3"/>
        <v>0</v>
      </c>
    </row>
    <row r="70" spans="1:9" x14ac:dyDescent="0.35">
      <c r="A70" s="152">
        <f t="shared" si="4"/>
        <v>41000</v>
      </c>
      <c r="B70" s="152">
        <f t="shared" si="5"/>
        <v>41029</v>
      </c>
      <c r="C70" s="471"/>
      <c r="D70" s="195" t="s">
        <v>128</v>
      </c>
      <c r="E70" s="196">
        <f t="shared" si="1"/>
        <v>0</v>
      </c>
      <c r="F70" s="197">
        <v>5.4728978150000003E-2</v>
      </c>
      <c r="G70" s="198">
        <f t="shared" si="2"/>
        <v>1.4599378256652251E-4</v>
      </c>
      <c r="H70" s="199">
        <f t="shared" si="0"/>
        <v>30</v>
      </c>
      <c r="I70" s="200">
        <f t="shared" si="3"/>
        <v>0</v>
      </c>
    </row>
    <row r="71" spans="1:9" x14ac:dyDescent="0.35">
      <c r="A71" s="152">
        <f t="shared" si="4"/>
        <v>41030</v>
      </c>
      <c r="B71" s="152">
        <f t="shared" si="5"/>
        <v>41060</v>
      </c>
      <c r="C71" s="471"/>
      <c r="D71" s="195" t="s">
        <v>129</v>
      </c>
      <c r="E71" s="196">
        <f t="shared" si="1"/>
        <v>0</v>
      </c>
      <c r="F71" s="197">
        <v>5.4496844699999998E-2</v>
      </c>
      <c r="G71" s="198">
        <f t="shared" si="2"/>
        <v>1.4539064684893077E-4</v>
      </c>
      <c r="H71" s="199">
        <f t="shared" ref="H71:H134" si="6">_xlfn.DAYS(B71,A71)+1</f>
        <v>31</v>
      </c>
      <c r="I71" s="200">
        <f t="shared" si="3"/>
        <v>0</v>
      </c>
    </row>
    <row r="72" spans="1:9" x14ac:dyDescent="0.35">
      <c r="A72" s="152">
        <f t="shared" si="4"/>
        <v>41061</v>
      </c>
      <c r="B72" s="152">
        <f t="shared" si="5"/>
        <v>41090</v>
      </c>
      <c r="C72" s="471"/>
      <c r="D72" s="195" t="s">
        <v>130</v>
      </c>
      <c r="E72" s="196">
        <f t="shared" ref="E72:E135" si="7">IF(AND(A72&gt;=$E$1,B72&lt;=$E$2),+$E$5,0)</f>
        <v>0</v>
      </c>
      <c r="F72" s="197">
        <v>5.450731407E-2</v>
      </c>
      <c r="G72" s="198">
        <f t="shared" ref="G72:G135" si="8">((1+F72)^(1/365)-1)</f>
        <v>1.4541785151434006E-4</v>
      </c>
      <c r="H72" s="199">
        <f t="shared" si="6"/>
        <v>30</v>
      </c>
      <c r="I72" s="200">
        <f t="shared" ref="I72:I135" si="9">IF(AND(OR(A72&gt;=$E$4,B72&lt;=$E$3), AND(A72&gt;=$E$1,B72&lt;=$E$2)),(E72*G72*H72),0)</f>
        <v>0</v>
      </c>
    </row>
    <row r="73" spans="1:9" x14ac:dyDescent="0.35">
      <c r="A73" s="152">
        <f t="shared" ref="A73:A136" si="10">IF(
    AND(
        YEAR(B72)=YEAR(DATE(YEAR($E$1), MONTH($E$1)-1, 1)),
        MONTH(B72)=MONTH(DATE(YEAR($E$1), MONTH($E$1)-1, 1))
    ),
    $E$1,
    IF(
        $E$4="",
        DATE(YEAR(B72), MONTH(B72)+1, 1),
        IF(
            AND(
                YEAR(B72)=YEAR(DATE(YEAR($E$4), MONTH($E$4)-1, 1)),
                MONTH(B72)=MONTH(DATE(YEAR($E$4), MONTH($E$4)-1, 1))
            ),
            $E$4,
            DATE(YEAR(B72), MONTH(B72)+1, 1)
        )
    )
)</f>
        <v>41091</v>
      </c>
      <c r="B73" s="152">
        <f t="shared" ref="B73:B136" si="11">IF(
AND(
YEAR(B72)=YEAR(DATE(YEAR($E$2),MONTH($E$2)-1,1)),
MONTH(B72)=MONTH(DATE(YEAR($E$2),MONTH($E$2)-1,1))
),
$E$2,
IF(
$E$3="",
EOMONTH(B72,1),
IF(
AND(
YEAR(B72)=YEAR(DATE(YEAR($E$3),MONTH($E$3)-1,1)),
MONTH(B72)=MONTH(DATE(YEAR($E$3),MONTH($E$3)-1,1))
),
$E$3,
EOMONTH(B72,1)
)))</f>
        <v>41121</v>
      </c>
      <c r="C73" s="471"/>
      <c r="D73" s="195" t="s">
        <v>131</v>
      </c>
      <c r="E73" s="196">
        <f t="shared" si="7"/>
        <v>0</v>
      </c>
      <c r="F73" s="197">
        <v>5.440033298E-2</v>
      </c>
      <c r="G73" s="198">
        <f t="shared" si="8"/>
        <v>1.451398483893751E-4</v>
      </c>
      <c r="H73" s="199">
        <f t="shared" si="6"/>
        <v>31</v>
      </c>
      <c r="I73" s="200">
        <f t="shared" si="9"/>
        <v>0</v>
      </c>
    </row>
    <row r="74" spans="1:9" x14ac:dyDescent="0.35">
      <c r="A74" s="152">
        <f t="shared" si="10"/>
        <v>41122</v>
      </c>
      <c r="B74" s="152">
        <f t="shared" si="11"/>
        <v>41152</v>
      </c>
      <c r="C74" s="471"/>
      <c r="D74" s="195" t="s">
        <v>132</v>
      </c>
      <c r="E74" s="196">
        <f t="shared" si="7"/>
        <v>0</v>
      </c>
      <c r="F74" s="197">
        <v>5.4146318089999999E-2</v>
      </c>
      <c r="G74" s="198">
        <f t="shared" si="8"/>
        <v>1.4447964769037647E-4</v>
      </c>
      <c r="H74" s="199">
        <f t="shared" si="6"/>
        <v>31</v>
      </c>
      <c r="I74" s="200">
        <f t="shared" si="9"/>
        <v>0</v>
      </c>
    </row>
    <row r="75" spans="1:9" x14ac:dyDescent="0.35">
      <c r="A75" s="152">
        <f t="shared" si="10"/>
        <v>41153</v>
      </c>
      <c r="B75" s="152">
        <f t="shared" si="11"/>
        <v>41182</v>
      </c>
      <c r="C75" s="471"/>
      <c r="D75" s="195" t="s">
        <v>133</v>
      </c>
      <c r="E75" s="196">
        <f t="shared" si="7"/>
        <v>0</v>
      </c>
      <c r="F75" s="197">
        <v>5.3221066880000001E-2</v>
      </c>
      <c r="G75" s="198">
        <f t="shared" si="8"/>
        <v>1.4207351936201817E-4</v>
      </c>
      <c r="H75" s="199">
        <f t="shared" si="6"/>
        <v>30</v>
      </c>
      <c r="I75" s="200">
        <f t="shared" si="9"/>
        <v>0</v>
      </c>
    </row>
    <row r="76" spans="1:9" x14ac:dyDescent="0.35">
      <c r="A76" s="152">
        <f t="shared" si="10"/>
        <v>41183</v>
      </c>
      <c r="B76" s="152">
        <f t="shared" si="11"/>
        <v>41213</v>
      </c>
      <c r="C76" s="471"/>
      <c r="D76" s="195" t="s">
        <v>134</v>
      </c>
      <c r="E76" s="196">
        <f t="shared" si="7"/>
        <v>0</v>
      </c>
      <c r="F76" s="197">
        <v>5.4222042149999997E-2</v>
      </c>
      <c r="G76" s="198">
        <f t="shared" si="8"/>
        <v>1.4467647588856103E-4</v>
      </c>
      <c r="H76" s="199">
        <f t="shared" si="6"/>
        <v>31</v>
      </c>
      <c r="I76" s="200">
        <f t="shared" si="9"/>
        <v>0</v>
      </c>
    </row>
    <row r="77" spans="1:9" x14ac:dyDescent="0.35">
      <c r="A77" s="152">
        <f t="shared" si="10"/>
        <v>41214</v>
      </c>
      <c r="B77" s="152">
        <f t="shared" si="11"/>
        <v>41243</v>
      </c>
      <c r="C77" s="471"/>
      <c r="D77" s="195" t="s">
        <v>135</v>
      </c>
      <c r="E77" s="196">
        <f t="shared" si="7"/>
        <v>0</v>
      </c>
      <c r="F77" s="197">
        <v>5.3135200690000002E-2</v>
      </c>
      <c r="G77" s="198">
        <f t="shared" si="8"/>
        <v>1.4185011628820021E-4</v>
      </c>
      <c r="H77" s="199">
        <f t="shared" si="6"/>
        <v>30</v>
      </c>
      <c r="I77" s="200">
        <f t="shared" si="9"/>
        <v>0</v>
      </c>
    </row>
    <row r="78" spans="1:9" x14ac:dyDescent="0.35">
      <c r="A78" s="152">
        <f t="shared" si="10"/>
        <v>41244</v>
      </c>
      <c r="B78" s="152">
        <f t="shared" si="11"/>
        <v>41274</v>
      </c>
      <c r="C78" s="472"/>
      <c r="D78" s="195" t="s">
        <v>136</v>
      </c>
      <c r="E78" s="196">
        <f t="shared" si="7"/>
        <v>0</v>
      </c>
      <c r="F78" s="197">
        <v>5.2237163179999997E-2</v>
      </c>
      <c r="G78" s="198">
        <f t="shared" si="8"/>
        <v>1.3951255067734536E-4</v>
      </c>
      <c r="H78" s="199">
        <f t="shared" si="6"/>
        <v>31</v>
      </c>
      <c r="I78" s="200">
        <f t="shared" si="9"/>
        <v>0</v>
      </c>
    </row>
    <row r="79" spans="1:9" x14ac:dyDescent="0.35">
      <c r="A79" s="152">
        <f t="shared" si="10"/>
        <v>41275</v>
      </c>
      <c r="B79" s="152">
        <f t="shared" si="11"/>
        <v>41305</v>
      </c>
      <c r="C79" s="468">
        <v>2013</v>
      </c>
      <c r="D79" s="195" t="s">
        <v>125</v>
      </c>
      <c r="E79" s="196">
        <f t="shared" si="7"/>
        <v>0</v>
      </c>
      <c r="F79" s="197">
        <v>5.1196027569999997E-2</v>
      </c>
      <c r="G79" s="198">
        <f t="shared" si="8"/>
        <v>1.3680001323623792E-4</v>
      </c>
      <c r="H79" s="199">
        <f t="shared" si="6"/>
        <v>31</v>
      </c>
      <c r="I79" s="200">
        <f t="shared" si="9"/>
        <v>0</v>
      </c>
    </row>
    <row r="80" spans="1:9" x14ac:dyDescent="0.35">
      <c r="A80" s="152">
        <f t="shared" si="10"/>
        <v>41306</v>
      </c>
      <c r="B80" s="152">
        <f t="shared" si="11"/>
        <v>41333</v>
      </c>
      <c r="C80" s="471"/>
      <c r="D80" s="195" t="s">
        <v>126</v>
      </c>
      <c r="E80" s="196">
        <f t="shared" si="7"/>
        <v>0</v>
      </c>
      <c r="F80" s="197">
        <v>4.8175477199999997E-2</v>
      </c>
      <c r="G80" s="198">
        <f t="shared" si="8"/>
        <v>1.2891519092761428E-4</v>
      </c>
      <c r="H80" s="199">
        <f t="shared" si="6"/>
        <v>28</v>
      </c>
      <c r="I80" s="200">
        <f t="shared" si="9"/>
        <v>0</v>
      </c>
    </row>
    <row r="81" spans="1:9" x14ac:dyDescent="0.35">
      <c r="A81" s="152">
        <f t="shared" si="10"/>
        <v>41334</v>
      </c>
      <c r="B81" s="152">
        <f t="shared" si="11"/>
        <v>41364</v>
      </c>
      <c r="C81" s="471"/>
      <c r="D81" s="195" t="s">
        <v>127</v>
      </c>
      <c r="E81" s="196">
        <f t="shared" si="7"/>
        <v>0</v>
      </c>
      <c r="F81" s="197">
        <v>4.5671698580000003E-2</v>
      </c>
      <c r="G81" s="198">
        <f t="shared" si="8"/>
        <v>1.2236215053307298E-4</v>
      </c>
      <c r="H81" s="199">
        <f t="shared" si="6"/>
        <v>31</v>
      </c>
      <c r="I81" s="200">
        <f t="shared" si="9"/>
        <v>0</v>
      </c>
    </row>
    <row r="82" spans="1:9" x14ac:dyDescent="0.35">
      <c r="A82" s="152">
        <f t="shared" si="10"/>
        <v>41365</v>
      </c>
      <c r="B82" s="152">
        <f t="shared" si="11"/>
        <v>41394</v>
      </c>
      <c r="C82" s="471"/>
      <c r="D82" s="195" t="s">
        <v>128</v>
      </c>
      <c r="E82" s="196">
        <f t="shared" si="7"/>
        <v>0</v>
      </c>
      <c r="F82" s="197">
        <v>4.206505789E-2</v>
      </c>
      <c r="G82" s="198">
        <f t="shared" si="8"/>
        <v>1.1289507621659034E-4</v>
      </c>
      <c r="H82" s="199">
        <f t="shared" si="6"/>
        <v>30</v>
      </c>
      <c r="I82" s="200">
        <f t="shared" si="9"/>
        <v>0</v>
      </c>
    </row>
    <row r="83" spans="1:9" x14ac:dyDescent="0.35">
      <c r="A83" s="152">
        <f t="shared" si="10"/>
        <v>41395</v>
      </c>
      <c r="B83" s="152">
        <f t="shared" si="11"/>
        <v>41425</v>
      </c>
      <c r="C83" s="471"/>
      <c r="D83" s="195" t="s">
        <v>129</v>
      </c>
      <c r="E83" s="196">
        <f t="shared" si="7"/>
        <v>0</v>
      </c>
      <c r="F83" s="197">
        <v>3.9835979620000003E-2</v>
      </c>
      <c r="G83" s="198">
        <f t="shared" si="8"/>
        <v>1.0702761420144924E-4</v>
      </c>
      <c r="H83" s="199">
        <f t="shared" si="6"/>
        <v>31</v>
      </c>
      <c r="I83" s="200">
        <f t="shared" si="9"/>
        <v>0</v>
      </c>
    </row>
    <row r="84" spans="1:9" x14ac:dyDescent="0.35">
      <c r="A84" s="152">
        <f t="shared" si="10"/>
        <v>41426</v>
      </c>
      <c r="B84" s="152">
        <f t="shared" si="11"/>
        <v>41455</v>
      </c>
      <c r="C84" s="471"/>
      <c r="D84" s="195" t="s">
        <v>130</v>
      </c>
      <c r="E84" s="196">
        <f t="shared" si="7"/>
        <v>0</v>
      </c>
      <c r="F84" s="197">
        <v>3.9362660010000002E-2</v>
      </c>
      <c r="G84" s="198">
        <f t="shared" si="8"/>
        <v>1.0578011044382052E-4</v>
      </c>
      <c r="H84" s="199">
        <f t="shared" si="6"/>
        <v>30</v>
      </c>
      <c r="I84" s="200">
        <f t="shared" si="9"/>
        <v>0</v>
      </c>
    </row>
    <row r="85" spans="1:9" x14ac:dyDescent="0.35">
      <c r="A85" s="152">
        <f t="shared" si="10"/>
        <v>41456</v>
      </c>
      <c r="B85" s="152">
        <f t="shared" si="11"/>
        <v>41486</v>
      </c>
      <c r="C85" s="471"/>
      <c r="D85" s="195" t="s">
        <v>131</v>
      </c>
      <c r="E85" s="196">
        <f t="shared" si="7"/>
        <v>0</v>
      </c>
      <c r="F85" s="197">
        <v>3.981000321E-2</v>
      </c>
      <c r="G85" s="198">
        <f t="shared" si="8"/>
        <v>1.0695916422331919E-4</v>
      </c>
      <c r="H85" s="199">
        <f t="shared" si="6"/>
        <v>31</v>
      </c>
      <c r="I85" s="200">
        <f t="shared" si="9"/>
        <v>0</v>
      </c>
    </row>
    <row r="86" spans="1:9" x14ac:dyDescent="0.35">
      <c r="A86" s="152">
        <f t="shared" si="10"/>
        <v>41487</v>
      </c>
      <c r="B86" s="152">
        <f t="shared" si="11"/>
        <v>41517</v>
      </c>
      <c r="C86" s="471"/>
      <c r="D86" s="195" t="s">
        <v>132</v>
      </c>
      <c r="E86" s="196">
        <f t="shared" si="7"/>
        <v>0</v>
      </c>
      <c r="F86" s="197">
        <v>4.073915904E-2</v>
      </c>
      <c r="G86" s="198">
        <f t="shared" si="8"/>
        <v>1.0940650651170003E-4</v>
      </c>
      <c r="H86" s="199">
        <f t="shared" si="6"/>
        <v>31</v>
      </c>
      <c r="I86" s="200">
        <f t="shared" si="9"/>
        <v>0</v>
      </c>
    </row>
    <row r="87" spans="1:9" x14ac:dyDescent="0.35">
      <c r="A87" s="152">
        <f t="shared" si="10"/>
        <v>41518</v>
      </c>
      <c r="B87" s="152">
        <f t="shared" si="11"/>
        <v>41547</v>
      </c>
      <c r="C87" s="471"/>
      <c r="D87" s="195" t="s">
        <v>133</v>
      </c>
      <c r="E87" s="196">
        <f t="shared" si="7"/>
        <v>0</v>
      </c>
      <c r="F87" s="197">
        <v>4.0721680400000002E-2</v>
      </c>
      <c r="G87" s="198">
        <f t="shared" si="8"/>
        <v>1.0936048890530792E-4</v>
      </c>
      <c r="H87" s="199">
        <f t="shared" si="6"/>
        <v>30</v>
      </c>
      <c r="I87" s="200">
        <f t="shared" si="9"/>
        <v>0</v>
      </c>
    </row>
    <row r="88" spans="1:9" x14ac:dyDescent="0.35">
      <c r="A88" s="152">
        <f t="shared" si="10"/>
        <v>41548</v>
      </c>
      <c r="B88" s="152">
        <f t="shared" si="11"/>
        <v>41578</v>
      </c>
      <c r="C88" s="471"/>
      <c r="D88" s="195" t="s">
        <v>134</v>
      </c>
      <c r="E88" s="196">
        <f t="shared" si="7"/>
        <v>0</v>
      </c>
      <c r="F88" s="197">
        <v>4.0176146029999998E-2</v>
      </c>
      <c r="G88" s="198">
        <f t="shared" si="8"/>
        <v>1.0792382334123829E-4</v>
      </c>
      <c r="H88" s="199">
        <f t="shared" si="6"/>
        <v>31</v>
      </c>
      <c r="I88" s="200">
        <f t="shared" si="9"/>
        <v>0</v>
      </c>
    </row>
    <row r="89" spans="1:9" x14ac:dyDescent="0.35">
      <c r="A89" s="152">
        <f t="shared" si="10"/>
        <v>41579</v>
      </c>
      <c r="B89" s="152">
        <f t="shared" si="11"/>
        <v>41608</v>
      </c>
      <c r="C89" s="471"/>
      <c r="D89" s="195" t="s">
        <v>135</v>
      </c>
      <c r="E89" s="196">
        <f t="shared" si="7"/>
        <v>0</v>
      </c>
      <c r="F89" s="197">
        <v>4.0312695369999998E-2</v>
      </c>
      <c r="G89" s="198">
        <f t="shared" si="8"/>
        <v>1.0828349671831994E-4</v>
      </c>
      <c r="H89" s="199">
        <f t="shared" si="6"/>
        <v>30</v>
      </c>
      <c r="I89" s="200">
        <f t="shared" si="9"/>
        <v>0</v>
      </c>
    </row>
    <row r="90" spans="1:9" x14ac:dyDescent="0.35">
      <c r="A90" s="152">
        <f t="shared" si="10"/>
        <v>41609</v>
      </c>
      <c r="B90" s="152">
        <f t="shared" si="11"/>
        <v>41639</v>
      </c>
      <c r="C90" s="472"/>
      <c r="D90" s="195" t="s">
        <v>136</v>
      </c>
      <c r="E90" s="196">
        <f t="shared" si="7"/>
        <v>0</v>
      </c>
      <c r="F90" s="197">
        <v>4.0568621890000003E-2</v>
      </c>
      <c r="G90" s="198">
        <f t="shared" si="8"/>
        <v>1.0895748490491464E-4</v>
      </c>
      <c r="H90" s="199">
        <f t="shared" si="6"/>
        <v>31</v>
      </c>
      <c r="I90" s="200">
        <f t="shared" si="9"/>
        <v>0</v>
      </c>
    </row>
    <row r="91" spans="1:9" x14ac:dyDescent="0.35">
      <c r="A91" s="152">
        <f t="shared" si="10"/>
        <v>41640</v>
      </c>
      <c r="B91" s="152">
        <f t="shared" si="11"/>
        <v>41670</v>
      </c>
      <c r="C91" s="468">
        <v>2014</v>
      </c>
      <c r="D91" s="195" t="s">
        <v>125</v>
      </c>
      <c r="E91" s="196">
        <f t="shared" si="7"/>
        <v>0</v>
      </c>
      <c r="F91" s="197">
        <v>4.0299359979999998E-2</v>
      </c>
      <c r="G91" s="198">
        <f t="shared" si="8"/>
        <v>1.0824837313960778E-4</v>
      </c>
      <c r="H91" s="199">
        <f t="shared" si="6"/>
        <v>31</v>
      </c>
      <c r="I91" s="200">
        <f t="shared" si="9"/>
        <v>0</v>
      </c>
    </row>
    <row r="92" spans="1:9" x14ac:dyDescent="0.35">
      <c r="A92" s="152">
        <f t="shared" si="10"/>
        <v>41671</v>
      </c>
      <c r="B92" s="152">
        <f t="shared" si="11"/>
        <v>41698</v>
      </c>
      <c r="C92" s="471"/>
      <c r="D92" s="195" t="s">
        <v>126</v>
      </c>
      <c r="E92" s="196">
        <f t="shared" si="7"/>
        <v>0</v>
      </c>
      <c r="F92" s="197">
        <v>3.9674480659999997E-2</v>
      </c>
      <c r="G92" s="198">
        <f t="shared" si="8"/>
        <v>1.0660202349166426E-4</v>
      </c>
      <c r="H92" s="199">
        <f t="shared" si="6"/>
        <v>28</v>
      </c>
      <c r="I92" s="200">
        <f t="shared" si="9"/>
        <v>0</v>
      </c>
    </row>
    <row r="93" spans="1:9" x14ac:dyDescent="0.35">
      <c r="A93" s="152">
        <f t="shared" si="10"/>
        <v>41699</v>
      </c>
      <c r="B93" s="152">
        <f t="shared" si="11"/>
        <v>41729</v>
      </c>
      <c r="C93" s="471"/>
      <c r="D93" s="195" t="s">
        <v>127</v>
      </c>
      <c r="E93" s="196">
        <f t="shared" si="7"/>
        <v>0</v>
      </c>
      <c r="F93" s="197">
        <v>3.8909091520000001E-2</v>
      </c>
      <c r="G93" s="198">
        <f t="shared" si="8"/>
        <v>1.0458413198621841E-4</v>
      </c>
      <c r="H93" s="199">
        <f t="shared" si="6"/>
        <v>31</v>
      </c>
      <c r="I93" s="200">
        <f t="shared" si="9"/>
        <v>0</v>
      </c>
    </row>
    <row r="94" spans="1:9" x14ac:dyDescent="0.35">
      <c r="A94" s="152">
        <f t="shared" si="10"/>
        <v>41730</v>
      </c>
      <c r="B94" s="152">
        <f t="shared" si="11"/>
        <v>41759</v>
      </c>
      <c r="C94" s="471"/>
      <c r="D94" s="195" t="s">
        <v>128</v>
      </c>
      <c r="E94" s="196">
        <f t="shared" si="7"/>
        <v>0</v>
      </c>
      <c r="F94" s="197">
        <v>3.8134571899999997E-2</v>
      </c>
      <c r="G94" s="198">
        <f t="shared" si="8"/>
        <v>1.0254065889614417E-4</v>
      </c>
      <c r="H94" s="199">
        <f t="shared" si="6"/>
        <v>30</v>
      </c>
      <c r="I94" s="200">
        <f t="shared" si="9"/>
        <v>0</v>
      </c>
    </row>
    <row r="95" spans="1:9" x14ac:dyDescent="0.35">
      <c r="A95" s="152">
        <f t="shared" si="10"/>
        <v>41760</v>
      </c>
      <c r="B95" s="152">
        <f t="shared" si="11"/>
        <v>41790</v>
      </c>
      <c r="C95" s="471"/>
      <c r="D95" s="195" t="s">
        <v>129</v>
      </c>
      <c r="E95" s="196">
        <f t="shared" si="7"/>
        <v>0</v>
      </c>
      <c r="F95" s="197">
        <v>3.7900000000000003E-2</v>
      </c>
      <c r="G95" s="198">
        <f t="shared" si="8"/>
        <v>1.01921470322619E-4</v>
      </c>
      <c r="H95" s="199">
        <f t="shared" si="6"/>
        <v>31</v>
      </c>
      <c r="I95" s="200">
        <f t="shared" si="9"/>
        <v>0</v>
      </c>
    </row>
    <row r="96" spans="1:9" x14ac:dyDescent="0.35">
      <c r="A96" s="152">
        <f t="shared" si="10"/>
        <v>41791</v>
      </c>
      <c r="B96" s="152">
        <f t="shared" si="11"/>
        <v>41820</v>
      </c>
      <c r="C96" s="471"/>
      <c r="D96" s="195" t="s">
        <v>130</v>
      </c>
      <c r="E96" s="196">
        <f t="shared" si="7"/>
        <v>0</v>
      </c>
      <c r="F96" s="197">
        <v>3.9360243840000003E-2</v>
      </c>
      <c r="G96" s="198">
        <f t="shared" si="8"/>
        <v>1.0577374081743862E-4</v>
      </c>
      <c r="H96" s="199">
        <f t="shared" si="6"/>
        <v>30</v>
      </c>
      <c r="I96" s="200">
        <f t="shared" si="9"/>
        <v>0</v>
      </c>
    </row>
    <row r="97" spans="1:9" x14ac:dyDescent="0.35">
      <c r="A97" s="152">
        <f t="shared" si="10"/>
        <v>41821</v>
      </c>
      <c r="B97" s="152">
        <f t="shared" si="11"/>
        <v>41851</v>
      </c>
      <c r="C97" s="471"/>
      <c r="D97" s="195" t="s">
        <v>131</v>
      </c>
      <c r="E97" s="196">
        <f t="shared" si="7"/>
        <v>0</v>
      </c>
      <c r="F97" s="197">
        <v>4.063389865E-2</v>
      </c>
      <c r="G97" s="198">
        <f t="shared" si="8"/>
        <v>1.0912936624563052E-4</v>
      </c>
      <c r="H97" s="199">
        <f t="shared" si="6"/>
        <v>31</v>
      </c>
      <c r="I97" s="200">
        <f t="shared" si="9"/>
        <v>0</v>
      </c>
    </row>
    <row r="98" spans="1:9" x14ac:dyDescent="0.35">
      <c r="A98" s="152">
        <f t="shared" si="10"/>
        <v>41852</v>
      </c>
      <c r="B98" s="152">
        <f t="shared" si="11"/>
        <v>41882</v>
      </c>
      <c r="C98" s="471"/>
      <c r="D98" s="195" t="s">
        <v>132</v>
      </c>
      <c r="E98" s="196">
        <f t="shared" si="7"/>
        <v>0</v>
      </c>
      <c r="F98" s="197">
        <v>4.0413451840000003E-2</v>
      </c>
      <c r="G98" s="198">
        <f t="shared" si="8"/>
        <v>1.0854886085720494E-4</v>
      </c>
      <c r="H98" s="199">
        <f t="shared" si="6"/>
        <v>31</v>
      </c>
      <c r="I98" s="200">
        <f t="shared" si="9"/>
        <v>0</v>
      </c>
    </row>
    <row r="99" spans="1:9" x14ac:dyDescent="0.35">
      <c r="A99" s="152">
        <f t="shared" si="10"/>
        <v>41883</v>
      </c>
      <c r="B99" s="152">
        <f t="shared" si="11"/>
        <v>41912</v>
      </c>
      <c r="C99" s="471"/>
      <c r="D99" s="195" t="s">
        <v>133</v>
      </c>
      <c r="E99" s="196">
        <f t="shared" si="7"/>
        <v>0</v>
      </c>
      <c r="F99" s="197">
        <v>4.2620836789999998E-2</v>
      </c>
      <c r="G99" s="198">
        <f t="shared" si="8"/>
        <v>1.1435606846799118E-4</v>
      </c>
      <c r="H99" s="199">
        <f t="shared" si="6"/>
        <v>30</v>
      </c>
      <c r="I99" s="200">
        <f t="shared" si="9"/>
        <v>0</v>
      </c>
    </row>
    <row r="100" spans="1:9" x14ac:dyDescent="0.35">
      <c r="A100" s="152">
        <f t="shared" si="10"/>
        <v>41913</v>
      </c>
      <c r="B100" s="152">
        <f t="shared" si="11"/>
        <v>41943</v>
      </c>
      <c r="C100" s="471"/>
      <c r="D100" s="195" t="s">
        <v>134</v>
      </c>
      <c r="E100" s="196">
        <f t="shared" si="7"/>
        <v>0</v>
      </c>
      <c r="F100" s="197">
        <v>4.3313051130000002E-2</v>
      </c>
      <c r="G100" s="198">
        <f t="shared" si="8"/>
        <v>1.1617462688229274E-4</v>
      </c>
      <c r="H100" s="199">
        <f t="shared" si="6"/>
        <v>31</v>
      </c>
      <c r="I100" s="200">
        <f t="shared" si="9"/>
        <v>0</v>
      </c>
    </row>
    <row r="101" spans="1:9" x14ac:dyDescent="0.35">
      <c r="A101" s="152">
        <f t="shared" si="10"/>
        <v>41944</v>
      </c>
      <c r="B101" s="152">
        <f t="shared" si="11"/>
        <v>41973</v>
      </c>
      <c r="C101" s="471"/>
      <c r="D101" s="195" t="s">
        <v>135</v>
      </c>
      <c r="E101" s="196">
        <f t="shared" si="7"/>
        <v>0</v>
      </c>
      <c r="F101" s="197">
        <v>4.3617762050000002E-2</v>
      </c>
      <c r="G101" s="198">
        <f t="shared" si="8"/>
        <v>1.1697477009575685E-4</v>
      </c>
      <c r="H101" s="199">
        <f t="shared" si="6"/>
        <v>30</v>
      </c>
      <c r="I101" s="200">
        <f t="shared" si="9"/>
        <v>0</v>
      </c>
    </row>
    <row r="102" spans="1:9" x14ac:dyDescent="0.35">
      <c r="A102" s="152">
        <f t="shared" si="10"/>
        <v>41974</v>
      </c>
      <c r="B102" s="152">
        <f t="shared" si="11"/>
        <v>42004</v>
      </c>
      <c r="C102" s="472"/>
      <c r="D102" s="195" t="s">
        <v>136</v>
      </c>
      <c r="E102" s="196">
        <f t="shared" si="7"/>
        <v>0</v>
      </c>
      <c r="F102" s="197">
        <v>4.3419838519999997E-2</v>
      </c>
      <c r="G102" s="198">
        <f t="shared" si="8"/>
        <v>1.1645506739621503E-4</v>
      </c>
      <c r="H102" s="199">
        <f t="shared" si="6"/>
        <v>31</v>
      </c>
      <c r="I102" s="200">
        <f t="shared" si="9"/>
        <v>0</v>
      </c>
    </row>
    <row r="103" spans="1:9" x14ac:dyDescent="0.35">
      <c r="A103" s="152">
        <f t="shared" si="10"/>
        <v>42005</v>
      </c>
      <c r="B103" s="152">
        <f t="shared" si="11"/>
        <v>42035</v>
      </c>
      <c r="C103" s="468">
        <v>2015</v>
      </c>
      <c r="D103" s="195" t="s">
        <v>125</v>
      </c>
      <c r="E103" s="196">
        <f t="shared" si="7"/>
        <v>0</v>
      </c>
      <c r="F103" s="197">
        <v>4.4680575069999999E-2</v>
      </c>
      <c r="G103" s="198">
        <f t="shared" si="8"/>
        <v>1.1976379823641636E-4</v>
      </c>
      <c r="H103" s="199">
        <f t="shared" si="6"/>
        <v>31</v>
      </c>
      <c r="I103" s="200">
        <f t="shared" si="9"/>
        <v>0</v>
      </c>
    </row>
    <row r="104" spans="1:9" x14ac:dyDescent="0.35">
      <c r="A104" s="152">
        <f t="shared" si="10"/>
        <v>42036</v>
      </c>
      <c r="B104" s="152">
        <f t="shared" si="11"/>
        <v>42063</v>
      </c>
      <c r="C104" s="471"/>
      <c r="D104" s="195" t="s">
        <v>126</v>
      </c>
      <c r="E104" s="196">
        <f t="shared" si="7"/>
        <v>0</v>
      </c>
      <c r="F104" s="197">
        <v>4.4537488940000002E-2</v>
      </c>
      <c r="G104" s="198">
        <f t="shared" si="8"/>
        <v>1.1938847727055446E-4</v>
      </c>
      <c r="H104" s="199">
        <f t="shared" si="6"/>
        <v>28</v>
      </c>
      <c r="I104" s="200">
        <f t="shared" si="9"/>
        <v>0</v>
      </c>
    </row>
    <row r="105" spans="1:9" x14ac:dyDescent="0.35">
      <c r="A105" s="152">
        <f t="shared" si="10"/>
        <v>42064</v>
      </c>
      <c r="B105" s="152">
        <f t="shared" si="11"/>
        <v>42094</v>
      </c>
      <c r="C105" s="471"/>
      <c r="D105" s="195" t="s">
        <v>127</v>
      </c>
      <c r="E105" s="196">
        <f t="shared" si="7"/>
        <v>0</v>
      </c>
      <c r="F105" s="197">
        <v>4.4128196340000002E-2</v>
      </c>
      <c r="G105" s="198">
        <f t="shared" si="8"/>
        <v>1.1831460232203383E-4</v>
      </c>
      <c r="H105" s="199">
        <f t="shared" si="6"/>
        <v>31</v>
      </c>
      <c r="I105" s="200">
        <f t="shared" si="9"/>
        <v>0</v>
      </c>
    </row>
    <row r="106" spans="1:9" x14ac:dyDescent="0.35">
      <c r="A106" s="152">
        <f t="shared" si="10"/>
        <v>42095</v>
      </c>
      <c r="B106" s="152">
        <f t="shared" si="11"/>
        <v>42124</v>
      </c>
      <c r="C106" s="471"/>
      <c r="D106" s="195" t="s">
        <v>128</v>
      </c>
      <c r="E106" s="196">
        <f t="shared" si="7"/>
        <v>0</v>
      </c>
      <c r="F106" s="197">
        <v>4.5092136130000002E-2</v>
      </c>
      <c r="G106" s="198">
        <f t="shared" si="8"/>
        <v>1.208430545656114E-4</v>
      </c>
      <c r="H106" s="199">
        <f t="shared" si="6"/>
        <v>30</v>
      </c>
      <c r="I106" s="200">
        <f t="shared" si="9"/>
        <v>0</v>
      </c>
    </row>
    <row r="107" spans="1:9" x14ac:dyDescent="0.35">
      <c r="A107" s="152">
        <f t="shared" si="10"/>
        <v>42125</v>
      </c>
      <c r="B107" s="152">
        <f t="shared" si="11"/>
        <v>42155</v>
      </c>
      <c r="C107" s="471"/>
      <c r="D107" s="195" t="s">
        <v>129</v>
      </c>
      <c r="E107" s="196">
        <f t="shared" si="7"/>
        <v>0</v>
      </c>
      <c r="F107" s="197">
        <v>4.4157137550000003E-2</v>
      </c>
      <c r="G107" s="198">
        <f t="shared" si="8"/>
        <v>1.1839055015294697E-4</v>
      </c>
      <c r="H107" s="199">
        <f t="shared" si="6"/>
        <v>31</v>
      </c>
      <c r="I107" s="200">
        <f t="shared" si="9"/>
        <v>0</v>
      </c>
    </row>
    <row r="108" spans="1:9" x14ac:dyDescent="0.35">
      <c r="A108" s="152">
        <f t="shared" si="10"/>
        <v>42156</v>
      </c>
      <c r="B108" s="152">
        <f t="shared" si="11"/>
        <v>42185</v>
      </c>
      <c r="C108" s="471"/>
      <c r="D108" s="195" t="s">
        <v>130</v>
      </c>
      <c r="E108" s="196">
        <f t="shared" si="7"/>
        <v>0</v>
      </c>
      <c r="F108" s="197">
        <v>4.4006516539999999E-2</v>
      </c>
      <c r="G108" s="198">
        <f t="shared" si="8"/>
        <v>1.1799526592803922E-4</v>
      </c>
      <c r="H108" s="199">
        <f t="shared" si="6"/>
        <v>30</v>
      </c>
      <c r="I108" s="200">
        <f t="shared" si="9"/>
        <v>0</v>
      </c>
    </row>
    <row r="109" spans="1:9" x14ac:dyDescent="0.35">
      <c r="A109" s="152">
        <f t="shared" si="10"/>
        <v>42186</v>
      </c>
      <c r="B109" s="152">
        <f t="shared" si="11"/>
        <v>42216</v>
      </c>
      <c r="C109" s="471"/>
      <c r="D109" s="195" t="s">
        <v>131</v>
      </c>
      <c r="E109" s="196">
        <f t="shared" si="7"/>
        <v>0</v>
      </c>
      <c r="F109" s="197">
        <v>4.5199128909999997E-2</v>
      </c>
      <c r="G109" s="198">
        <f t="shared" si="8"/>
        <v>1.2112355745363956E-4</v>
      </c>
      <c r="H109" s="199">
        <f t="shared" si="6"/>
        <v>31</v>
      </c>
      <c r="I109" s="200">
        <f t="shared" si="9"/>
        <v>0</v>
      </c>
    </row>
    <row r="110" spans="1:9" x14ac:dyDescent="0.35">
      <c r="A110" s="152">
        <f t="shared" si="10"/>
        <v>42217</v>
      </c>
      <c r="B110" s="152">
        <f t="shared" si="11"/>
        <v>42247</v>
      </c>
      <c r="C110" s="471"/>
      <c r="D110" s="195" t="s">
        <v>132</v>
      </c>
      <c r="E110" s="196">
        <f t="shared" si="7"/>
        <v>0</v>
      </c>
      <c r="F110" s="197">
        <v>4.4740179499999998E-2</v>
      </c>
      <c r="G110" s="198">
        <f t="shared" si="8"/>
        <v>1.1992012804995511E-4</v>
      </c>
      <c r="H110" s="199">
        <f t="shared" si="6"/>
        <v>31</v>
      </c>
      <c r="I110" s="200">
        <f t="shared" si="9"/>
        <v>0</v>
      </c>
    </row>
    <row r="111" spans="1:9" x14ac:dyDescent="0.35">
      <c r="A111" s="152">
        <f t="shared" si="10"/>
        <v>42248</v>
      </c>
      <c r="B111" s="152">
        <f t="shared" si="11"/>
        <v>42277</v>
      </c>
      <c r="C111" s="471"/>
      <c r="D111" s="195" t="s">
        <v>133</v>
      </c>
      <c r="E111" s="196">
        <f t="shared" si="7"/>
        <v>0</v>
      </c>
      <c r="F111" s="197">
        <v>4.4119033119999998E-2</v>
      </c>
      <c r="G111" s="198">
        <f t="shared" si="8"/>
        <v>1.182905556651459E-4</v>
      </c>
      <c r="H111" s="199">
        <f t="shared" si="6"/>
        <v>30</v>
      </c>
      <c r="I111" s="200">
        <f t="shared" si="9"/>
        <v>0</v>
      </c>
    </row>
    <row r="112" spans="1:9" x14ac:dyDescent="0.35">
      <c r="A112" s="152">
        <f t="shared" si="10"/>
        <v>42278</v>
      </c>
      <c r="B112" s="152">
        <f t="shared" si="11"/>
        <v>42308</v>
      </c>
      <c r="C112" s="471"/>
      <c r="D112" s="195" t="s">
        <v>134</v>
      </c>
      <c r="E112" s="196">
        <f t="shared" si="7"/>
        <v>0</v>
      </c>
      <c r="F112" s="197">
        <v>4.7204755789999997E-2</v>
      </c>
      <c r="G112" s="198">
        <f t="shared" si="8"/>
        <v>1.2637641506629826E-4</v>
      </c>
      <c r="H112" s="199">
        <f t="shared" si="6"/>
        <v>31</v>
      </c>
      <c r="I112" s="200">
        <f t="shared" si="9"/>
        <v>0</v>
      </c>
    </row>
    <row r="113" spans="1:9" x14ac:dyDescent="0.35">
      <c r="A113" s="152">
        <f t="shared" si="10"/>
        <v>42309</v>
      </c>
      <c r="B113" s="152">
        <f t="shared" si="11"/>
        <v>42338</v>
      </c>
      <c r="C113" s="471"/>
      <c r="D113" s="195" t="s">
        <v>135</v>
      </c>
      <c r="E113" s="196">
        <f t="shared" si="7"/>
        <v>0</v>
      </c>
      <c r="F113" s="197">
        <v>4.9200735629999999E-2</v>
      </c>
      <c r="G113" s="198">
        <f t="shared" si="8"/>
        <v>1.3159405539453495E-4</v>
      </c>
      <c r="H113" s="199">
        <f t="shared" si="6"/>
        <v>30</v>
      </c>
      <c r="I113" s="200">
        <f t="shared" si="9"/>
        <v>0</v>
      </c>
    </row>
    <row r="114" spans="1:9" x14ac:dyDescent="0.35">
      <c r="A114" s="152">
        <f t="shared" si="10"/>
        <v>42339</v>
      </c>
      <c r="B114" s="152">
        <f t="shared" si="11"/>
        <v>42369</v>
      </c>
      <c r="C114" s="472"/>
      <c r="D114" s="195" t="s">
        <v>136</v>
      </c>
      <c r="E114" s="196">
        <f t="shared" si="7"/>
        <v>0</v>
      </c>
      <c r="F114" s="197">
        <v>5.2442818340000003E-2</v>
      </c>
      <c r="G114" s="198">
        <f t="shared" si="8"/>
        <v>1.4004804068901144E-4</v>
      </c>
      <c r="H114" s="199">
        <f t="shared" si="6"/>
        <v>31</v>
      </c>
      <c r="I114" s="200">
        <f t="shared" si="9"/>
        <v>0</v>
      </c>
    </row>
    <row r="115" spans="1:9" x14ac:dyDescent="0.35">
      <c r="A115" s="152">
        <f t="shared" si="10"/>
        <v>42370</v>
      </c>
      <c r="B115" s="152">
        <f t="shared" si="11"/>
        <v>42400</v>
      </c>
      <c r="C115" s="468">
        <v>2016</v>
      </c>
      <c r="D115" s="195" t="s">
        <v>125</v>
      </c>
      <c r="E115" s="196">
        <f t="shared" si="7"/>
        <v>0</v>
      </c>
      <c r="F115" s="197">
        <v>5.7353668449999999E-2</v>
      </c>
      <c r="G115" s="198">
        <f t="shared" si="8"/>
        <v>1.5280413192497733E-4</v>
      </c>
      <c r="H115" s="199">
        <f t="shared" si="6"/>
        <v>31</v>
      </c>
      <c r="I115" s="200">
        <f t="shared" si="9"/>
        <v>0</v>
      </c>
    </row>
    <row r="116" spans="1:9" x14ac:dyDescent="0.35">
      <c r="A116" s="152">
        <f t="shared" si="10"/>
        <v>42401</v>
      </c>
      <c r="B116" s="152">
        <f t="shared" si="11"/>
        <v>42429</v>
      </c>
      <c r="C116" s="471"/>
      <c r="D116" s="195" t="s">
        <v>126</v>
      </c>
      <c r="E116" s="196">
        <f t="shared" si="7"/>
        <v>0</v>
      </c>
      <c r="F116" s="197">
        <v>6.2535001569999998E-2</v>
      </c>
      <c r="G116" s="198">
        <f t="shared" si="8"/>
        <v>1.6619891616165283E-4</v>
      </c>
      <c r="H116" s="199">
        <f t="shared" si="6"/>
        <v>29</v>
      </c>
      <c r="I116" s="200">
        <f t="shared" si="9"/>
        <v>0</v>
      </c>
    </row>
    <row r="117" spans="1:9" x14ac:dyDescent="0.35">
      <c r="A117" s="152">
        <f t="shared" si="10"/>
        <v>42430</v>
      </c>
      <c r="B117" s="152">
        <f t="shared" si="11"/>
        <v>42460</v>
      </c>
      <c r="C117" s="471"/>
      <c r="D117" s="195" t="s">
        <v>127</v>
      </c>
      <c r="E117" s="196">
        <f t="shared" si="7"/>
        <v>0</v>
      </c>
      <c r="F117" s="197">
        <v>6.3542251440000003E-2</v>
      </c>
      <c r="G117" s="198">
        <f t="shared" si="8"/>
        <v>1.6879529511326652E-4</v>
      </c>
      <c r="H117" s="199">
        <f t="shared" si="6"/>
        <v>31</v>
      </c>
      <c r="I117" s="200">
        <f t="shared" si="9"/>
        <v>0</v>
      </c>
    </row>
    <row r="118" spans="1:9" x14ac:dyDescent="0.35">
      <c r="A118" s="152">
        <f t="shared" si="10"/>
        <v>42461</v>
      </c>
      <c r="B118" s="152">
        <f t="shared" si="11"/>
        <v>42490</v>
      </c>
      <c r="C118" s="471"/>
      <c r="D118" s="195" t="s">
        <v>128</v>
      </c>
      <c r="E118" s="196">
        <f t="shared" si="7"/>
        <v>0</v>
      </c>
      <c r="F118" s="197">
        <v>6.6520727370000005E-2</v>
      </c>
      <c r="G118" s="198">
        <f t="shared" si="8"/>
        <v>1.7645856338233123E-4</v>
      </c>
      <c r="H118" s="199">
        <f t="shared" si="6"/>
        <v>30</v>
      </c>
      <c r="I118" s="200">
        <f t="shared" si="9"/>
        <v>0</v>
      </c>
    </row>
    <row r="119" spans="1:9" x14ac:dyDescent="0.35">
      <c r="A119" s="152">
        <f t="shared" si="10"/>
        <v>42491</v>
      </c>
      <c r="B119" s="152">
        <f t="shared" si="11"/>
        <v>42521</v>
      </c>
      <c r="C119" s="471"/>
      <c r="D119" s="195" t="s">
        <v>129</v>
      </c>
      <c r="E119" s="196">
        <f t="shared" si="7"/>
        <v>0</v>
      </c>
      <c r="F119" s="197">
        <v>6.8307761029999997E-2</v>
      </c>
      <c r="G119" s="198">
        <f t="shared" si="8"/>
        <v>1.8104615341041352E-4</v>
      </c>
      <c r="H119" s="199">
        <f t="shared" si="6"/>
        <v>31</v>
      </c>
      <c r="I119" s="200">
        <f t="shared" si="9"/>
        <v>0</v>
      </c>
    </row>
    <row r="120" spans="1:9" x14ac:dyDescent="0.35">
      <c r="A120" s="152">
        <f t="shared" si="10"/>
        <v>42522</v>
      </c>
      <c r="B120" s="152">
        <f t="shared" si="11"/>
        <v>42551</v>
      </c>
      <c r="C120" s="471"/>
      <c r="D120" s="195" t="s">
        <v>130</v>
      </c>
      <c r="E120" s="196">
        <f t="shared" si="7"/>
        <v>0</v>
      </c>
      <c r="F120" s="197">
        <v>6.9110471620000002E-2</v>
      </c>
      <c r="G120" s="198">
        <f t="shared" si="8"/>
        <v>1.8310434453727709E-4</v>
      </c>
      <c r="H120" s="199">
        <f t="shared" si="6"/>
        <v>30</v>
      </c>
      <c r="I120" s="200">
        <f t="shared" si="9"/>
        <v>0</v>
      </c>
    </row>
    <row r="121" spans="1:9" x14ac:dyDescent="0.35">
      <c r="A121" s="152">
        <f t="shared" si="10"/>
        <v>42552</v>
      </c>
      <c r="B121" s="152">
        <f t="shared" si="11"/>
        <v>42582</v>
      </c>
      <c r="C121" s="471"/>
      <c r="D121" s="195" t="s">
        <v>131</v>
      </c>
      <c r="E121" s="196">
        <f t="shared" si="7"/>
        <v>0</v>
      </c>
      <c r="F121" s="197">
        <v>7.2616147719999996E-2</v>
      </c>
      <c r="G121" s="198">
        <f t="shared" si="8"/>
        <v>1.9207505281526593E-4</v>
      </c>
      <c r="H121" s="199">
        <f t="shared" si="6"/>
        <v>31</v>
      </c>
      <c r="I121" s="200">
        <f t="shared" si="9"/>
        <v>0</v>
      </c>
    </row>
    <row r="122" spans="1:9" x14ac:dyDescent="0.35">
      <c r="A122" s="152">
        <f t="shared" si="10"/>
        <v>42583</v>
      </c>
      <c r="B122" s="152">
        <f t="shared" si="11"/>
        <v>42613</v>
      </c>
      <c r="C122" s="471"/>
      <c r="D122" s="195" t="s">
        <v>132</v>
      </c>
      <c r="E122" s="196">
        <f t="shared" si="7"/>
        <v>0</v>
      </c>
      <c r="F122" s="197">
        <v>7.1946251889999993E-2</v>
      </c>
      <c r="G122" s="198">
        <f t="shared" si="8"/>
        <v>1.9036311190689936E-4</v>
      </c>
      <c r="H122" s="199">
        <f t="shared" si="6"/>
        <v>31</v>
      </c>
      <c r="I122" s="200">
        <f t="shared" si="9"/>
        <v>0</v>
      </c>
    </row>
    <row r="123" spans="1:9" x14ac:dyDescent="0.35">
      <c r="A123" s="152">
        <f t="shared" si="10"/>
        <v>42614</v>
      </c>
      <c r="B123" s="152">
        <f t="shared" si="11"/>
        <v>42643</v>
      </c>
      <c r="C123" s="471"/>
      <c r="D123" s="195" t="s">
        <v>133</v>
      </c>
      <c r="E123" s="196">
        <f t="shared" si="7"/>
        <v>0</v>
      </c>
      <c r="F123" s="197">
        <v>7.1806471509999997E-2</v>
      </c>
      <c r="G123" s="198">
        <f t="shared" si="8"/>
        <v>1.9000576399585967E-4</v>
      </c>
      <c r="H123" s="199">
        <f t="shared" si="6"/>
        <v>30</v>
      </c>
      <c r="I123" s="200">
        <f t="shared" si="9"/>
        <v>0</v>
      </c>
    </row>
    <row r="124" spans="1:9" x14ac:dyDescent="0.35">
      <c r="A124" s="152">
        <f t="shared" si="10"/>
        <v>42644</v>
      </c>
      <c r="B124" s="152">
        <f t="shared" si="11"/>
        <v>42674</v>
      </c>
      <c r="C124" s="471"/>
      <c r="D124" s="195" t="s">
        <v>134</v>
      </c>
      <c r="E124" s="196">
        <f t="shared" si="7"/>
        <v>0</v>
      </c>
      <c r="F124" s="197">
        <v>7.09230785E-2</v>
      </c>
      <c r="G124" s="198">
        <f t="shared" si="8"/>
        <v>1.8774629817830402E-4</v>
      </c>
      <c r="H124" s="199">
        <f t="shared" si="6"/>
        <v>31</v>
      </c>
      <c r="I124" s="200">
        <f t="shared" si="9"/>
        <v>0</v>
      </c>
    </row>
    <row r="125" spans="1:9" x14ac:dyDescent="0.35">
      <c r="A125" s="152">
        <f t="shared" si="10"/>
        <v>42675</v>
      </c>
      <c r="B125" s="152">
        <f t="shared" si="11"/>
        <v>42704</v>
      </c>
      <c r="C125" s="471"/>
      <c r="D125" s="195" t="s">
        <v>135</v>
      </c>
      <c r="E125" s="196">
        <f t="shared" si="7"/>
        <v>0</v>
      </c>
      <c r="F125" s="197">
        <v>7.0143158940000006E-2</v>
      </c>
      <c r="G125" s="198">
        <f t="shared" si="8"/>
        <v>1.8574994233278019E-4</v>
      </c>
      <c r="H125" s="199">
        <f t="shared" si="6"/>
        <v>30</v>
      </c>
      <c r="I125" s="200">
        <f t="shared" si="9"/>
        <v>0</v>
      </c>
    </row>
    <row r="126" spans="1:9" x14ac:dyDescent="0.35">
      <c r="A126" s="152">
        <f t="shared" si="10"/>
        <v>42705</v>
      </c>
      <c r="B126" s="152">
        <f t="shared" si="11"/>
        <v>42735</v>
      </c>
      <c r="C126" s="472"/>
      <c r="D126" s="195" t="s">
        <v>136</v>
      </c>
      <c r="E126" s="196">
        <f t="shared" si="7"/>
        <v>0</v>
      </c>
      <c r="F126" s="197">
        <v>6.920692111E-2</v>
      </c>
      <c r="G126" s="198">
        <f t="shared" si="8"/>
        <v>1.8335154226023498E-4</v>
      </c>
      <c r="H126" s="199">
        <f t="shared" si="6"/>
        <v>31</v>
      </c>
      <c r="I126" s="200">
        <f t="shared" si="9"/>
        <v>0</v>
      </c>
    </row>
    <row r="127" spans="1:9" x14ac:dyDescent="0.35">
      <c r="A127" s="152">
        <f t="shared" si="10"/>
        <v>42736</v>
      </c>
      <c r="B127" s="152">
        <f t="shared" si="11"/>
        <v>42766</v>
      </c>
      <c r="C127" s="473">
        <v>2017</v>
      </c>
      <c r="D127" s="195" t="s">
        <v>125</v>
      </c>
      <c r="E127" s="196">
        <f t="shared" si="7"/>
        <v>0</v>
      </c>
      <c r="F127" s="197">
        <v>6.9400000000000003E-2</v>
      </c>
      <c r="G127" s="198">
        <f t="shared" si="8"/>
        <v>1.8384633200141387E-4</v>
      </c>
      <c r="H127" s="199">
        <f t="shared" si="6"/>
        <v>31</v>
      </c>
      <c r="I127" s="200">
        <f t="shared" si="9"/>
        <v>0</v>
      </c>
    </row>
    <row r="128" spans="1:9" x14ac:dyDescent="0.35">
      <c r="A128" s="152">
        <f t="shared" si="10"/>
        <v>42767</v>
      </c>
      <c r="B128" s="152">
        <f t="shared" si="11"/>
        <v>42794</v>
      </c>
      <c r="C128" s="473"/>
      <c r="D128" s="195" t="s">
        <v>126</v>
      </c>
      <c r="E128" s="196">
        <f t="shared" si="7"/>
        <v>0</v>
      </c>
      <c r="F128" s="197">
        <v>6.7799999999999999E-2</v>
      </c>
      <c r="G128" s="198">
        <f t="shared" si="8"/>
        <v>1.7974343159732342E-4</v>
      </c>
      <c r="H128" s="199">
        <f t="shared" si="6"/>
        <v>28</v>
      </c>
      <c r="I128" s="200">
        <f t="shared" si="9"/>
        <v>0</v>
      </c>
    </row>
    <row r="129" spans="1:9" x14ac:dyDescent="0.35">
      <c r="A129" s="152">
        <f t="shared" si="10"/>
        <v>42795</v>
      </c>
      <c r="B129" s="152">
        <f t="shared" si="11"/>
        <v>42825</v>
      </c>
      <c r="C129" s="473"/>
      <c r="D129" s="195" t="s">
        <v>127</v>
      </c>
      <c r="E129" s="196">
        <f t="shared" si="7"/>
        <v>0</v>
      </c>
      <c r="F129" s="197">
        <v>6.6500000000000004E-2</v>
      </c>
      <c r="G129" s="198">
        <f t="shared" si="8"/>
        <v>1.7640530807794264E-4</v>
      </c>
      <c r="H129" s="199">
        <f t="shared" si="6"/>
        <v>31</v>
      </c>
      <c r="I129" s="200">
        <f t="shared" si="9"/>
        <v>0</v>
      </c>
    </row>
    <row r="130" spans="1:9" x14ac:dyDescent="0.35">
      <c r="A130" s="152">
        <f t="shared" si="10"/>
        <v>42826</v>
      </c>
      <c r="B130" s="152">
        <f t="shared" si="11"/>
        <v>42855</v>
      </c>
      <c r="C130" s="473"/>
      <c r="D130" s="195" t="s">
        <v>128</v>
      </c>
      <c r="E130" s="196">
        <f t="shared" si="7"/>
        <v>0</v>
      </c>
      <c r="F130" s="197">
        <v>6.5299999999999997E-2</v>
      </c>
      <c r="G130" s="198">
        <f t="shared" si="8"/>
        <v>1.7332035970407667E-4</v>
      </c>
      <c r="H130" s="199">
        <f t="shared" si="6"/>
        <v>30</v>
      </c>
      <c r="I130" s="200">
        <f t="shared" si="9"/>
        <v>0</v>
      </c>
    </row>
    <row r="131" spans="1:9" x14ac:dyDescent="0.35">
      <c r="A131" s="152">
        <f t="shared" si="10"/>
        <v>42856</v>
      </c>
      <c r="B131" s="152">
        <f t="shared" si="11"/>
        <v>42886</v>
      </c>
      <c r="C131" s="473"/>
      <c r="D131" s="195" t="s">
        <v>129</v>
      </c>
      <c r="E131" s="196">
        <f t="shared" si="7"/>
        <v>0</v>
      </c>
      <c r="F131" s="197">
        <v>6.1699999999999998E-2</v>
      </c>
      <c r="G131" s="198">
        <f t="shared" si="8"/>
        <v>1.6404467861685923E-4</v>
      </c>
      <c r="H131" s="199">
        <f t="shared" si="6"/>
        <v>31</v>
      </c>
      <c r="I131" s="200">
        <f t="shared" si="9"/>
        <v>0</v>
      </c>
    </row>
    <row r="132" spans="1:9" x14ac:dyDescent="0.35">
      <c r="A132" s="152">
        <f t="shared" si="10"/>
        <v>42887</v>
      </c>
      <c r="B132" s="152">
        <f t="shared" si="11"/>
        <v>42916</v>
      </c>
      <c r="C132" s="473"/>
      <c r="D132" s="195" t="s">
        <v>130</v>
      </c>
      <c r="E132" s="196">
        <f t="shared" si="7"/>
        <v>0</v>
      </c>
      <c r="F132" s="197">
        <v>5.96E-2</v>
      </c>
      <c r="G132" s="198">
        <f t="shared" si="8"/>
        <v>1.5861936890226858E-4</v>
      </c>
      <c r="H132" s="199">
        <f t="shared" si="6"/>
        <v>30</v>
      </c>
      <c r="I132" s="200">
        <f t="shared" si="9"/>
        <v>0</v>
      </c>
    </row>
    <row r="133" spans="1:9" x14ac:dyDescent="0.35">
      <c r="A133" s="152">
        <f t="shared" si="10"/>
        <v>42917</v>
      </c>
      <c r="B133" s="152">
        <f t="shared" si="11"/>
        <v>42947</v>
      </c>
      <c r="C133" s="473"/>
      <c r="D133" s="195" t="s">
        <v>131</v>
      </c>
      <c r="E133" s="196">
        <f t="shared" si="7"/>
        <v>0</v>
      </c>
      <c r="F133" s="197">
        <v>5.6500000000000002E-2</v>
      </c>
      <c r="G133" s="198">
        <f t="shared" si="8"/>
        <v>1.505909488401791E-4</v>
      </c>
      <c r="H133" s="199">
        <f t="shared" si="6"/>
        <v>31</v>
      </c>
      <c r="I133" s="200">
        <f t="shared" si="9"/>
        <v>0</v>
      </c>
    </row>
    <row r="134" spans="1:9" x14ac:dyDescent="0.35">
      <c r="A134" s="152">
        <f t="shared" si="10"/>
        <v>42948</v>
      </c>
      <c r="B134" s="152">
        <f t="shared" si="11"/>
        <v>42978</v>
      </c>
      <c r="C134" s="473"/>
      <c r="D134" s="195" t="s">
        <v>132</v>
      </c>
      <c r="E134" s="196">
        <f t="shared" si="7"/>
        <v>0</v>
      </c>
      <c r="F134" s="197">
        <v>5.5800000000000002E-2</v>
      </c>
      <c r="G134" s="198">
        <f t="shared" si="8"/>
        <v>1.4877482863728808E-4</v>
      </c>
      <c r="H134" s="199">
        <f t="shared" si="6"/>
        <v>31</v>
      </c>
      <c r="I134" s="200">
        <f t="shared" si="9"/>
        <v>0</v>
      </c>
    </row>
    <row r="135" spans="1:9" x14ac:dyDescent="0.35">
      <c r="A135" s="152">
        <f t="shared" si="10"/>
        <v>42979</v>
      </c>
      <c r="B135" s="152">
        <f t="shared" si="11"/>
        <v>43008</v>
      </c>
      <c r="C135" s="473"/>
      <c r="D135" s="195" t="s">
        <v>133</v>
      </c>
      <c r="E135" s="196">
        <f t="shared" si="7"/>
        <v>0</v>
      </c>
      <c r="F135" s="197">
        <v>5.5199999999999999E-2</v>
      </c>
      <c r="G135" s="198">
        <f t="shared" si="8"/>
        <v>1.4721719818555634E-4</v>
      </c>
      <c r="H135" s="199">
        <f>_xlfn.DAYS(B135,A135)+1</f>
        <v>30</v>
      </c>
      <c r="I135" s="200">
        <f t="shared" si="9"/>
        <v>0</v>
      </c>
    </row>
    <row r="136" spans="1:9" x14ac:dyDescent="0.35">
      <c r="A136" s="152">
        <f t="shared" si="10"/>
        <v>43009</v>
      </c>
      <c r="B136" s="152">
        <f t="shared" si="11"/>
        <v>43039</v>
      </c>
      <c r="C136" s="473"/>
      <c r="D136" s="195" t="s">
        <v>134</v>
      </c>
      <c r="E136" s="196">
        <f t="shared" ref="E136:E199" si="12">IF(AND(A136&gt;=$E$1,B136&lt;=$E$2),+$E$5,0)</f>
        <v>0</v>
      </c>
      <c r="F136" s="197">
        <v>5.4600000000000003E-2</v>
      </c>
      <c r="G136" s="198">
        <f>((1+F136)^(1/365)-1)</f>
        <v>1.4565868422145023E-4</v>
      </c>
      <c r="H136" s="199">
        <f>_xlfn.DAYS(B136,A136)+1</f>
        <v>31</v>
      </c>
      <c r="I136" s="200">
        <f t="shared" ref="I136:I199" si="13">IF(AND(OR(A136&gt;=$E$4,B136&lt;=$E$3), AND(A136&gt;=$E$1,B136&lt;=$E$2)),(E136*G136*H136),0)</f>
        <v>0</v>
      </c>
    </row>
    <row r="137" spans="1:9" x14ac:dyDescent="0.35">
      <c r="A137" s="152">
        <f t="shared" ref="A137:A200" si="14">IF(
    AND(
        YEAR(B136)=YEAR(DATE(YEAR($E$1), MONTH($E$1)-1, 1)),
        MONTH(B136)=MONTH(DATE(YEAR($E$1), MONTH($E$1)-1, 1))
    ),
    $E$1,
    IF(
        $E$4="",
        DATE(YEAR(B136), MONTH(B136)+1, 1),
        IF(
            AND(
                YEAR(B136)=YEAR(DATE(YEAR($E$4), MONTH($E$4)-1, 1)),
                MONTH(B136)=MONTH(DATE(YEAR($E$4), MONTH($E$4)-1, 1))
            ),
            $E$4,
            DATE(YEAR(B136), MONTH(B136)+1, 1)
        )
    )
)</f>
        <v>43040</v>
      </c>
      <c r="B137" s="152">
        <f t="shared" ref="B137:B200" si="15">IF(
AND(
YEAR(B136)=YEAR(DATE(YEAR($E$2),MONTH($E$2)-1,1)),
MONTH(B136)=MONTH(DATE(YEAR($E$2),MONTH($E$2)-1,1))
),
$E$2,
IF(
$E$3="",
EOMONTH(B136,1),
IF(
AND(
YEAR(B136)=YEAR(DATE(YEAR($E$3),MONTH($E$3)-1,1)),
MONTH(B136)=MONTH(DATE(YEAR($E$3),MONTH($E$3)-1,1))
),
$E$3,
EOMONTH(B136,1)
)))</f>
        <v>43069</v>
      </c>
      <c r="C137" s="473"/>
      <c r="D137" s="195" t="s">
        <v>135</v>
      </c>
      <c r="E137" s="196">
        <f t="shared" si="12"/>
        <v>0</v>
      </c>
      <c r="F137" s="197">
        <v>5.3499999999999999E-2</v>
      </c>
      <c r="G137" s="198">
        <f>((1+F137)^(1/365)-1)</f>
        <v>1.4279911060910422E-4</v>
      </c>
      <c r="H137" s="199">
        <f>_xlfn.DAYS(B137,A137)+1</f>
        <v>30</v>
      </c>
      <c r="I137" s="200">
        <f t="shared" si="13"/>
        <v>0</v>
      </c>
    </row>
    <row r="138" spans="1:9" x14ac:dyDescent="0.35">
      <c r="A138" s="152">
        <f t="shared" si="14"/>
        <v>43070</v>
      </c>
      <c r="B138" s="152">
        <f t="shared" si="15"/>
        <v>43100</v>
      </c>
      <c r="C138" s="473"/>
      <c r="D138" s="195" t="s">
        <v>136</v>
      </c>
      <c r="E138" s="196">
        <f t="shared" si="12"/>
        <v>0</v>
      </c>
      <c r="F138" s="197">
        <v>5.28E-2</v>
      </c>
      <c r="G138" s="198">
        <f>((1+F138)^(1/365)-1)</f>
        <v>1.4097783120470275E-4</v>
      </c>
      <c r="H138" s="199">
        <f>_xlfn.DAYS(B138,A138)+1</f>
        <v>31</v>
      </c>
      <c r="I138" s="200">
        <f t="shared" si="13"/>
        <v>0</v>
      </c>
    </row>
    <row r="139" spans="1:9" x14ac:dyDescent="0.35">
      <c r="A139" s="152">
        <f t="shared" si="14"/>
        <v>43101</v>
      </c>
      <c r="B139" s="152">
        <f t="shared" si="15"/>
        <v>43131</v>
      </c>
      <c r="C139" s="473">
        <v>2018</v>
      </c>
      <c r="D139" s="195" t="s">
        <v>125</v>
      </c>
      <c r="E139" s="196">
        <f t="shared" si="12"/>
        <v>0</v>
      </c>
      <c r="F139" s="197">
        <v>5.21E-2</v>
      </c>
      <c r="G139" s="198">
        <f t="shared" ref="G139:G199" si="16">((1+F139)^(1/365)-1)</f>
        <v>1.3915534376041094E-4</v>
      </c>
      <c r="H139" s="199">
        <f t="shared" ref="H139:H198" si="17">_xlfn.DAYS(B139,A139)+1</f>
        <v>31</v>
      </c>
      <c r="I139" s="200">
        <f t="shared" si="13"/>
        <v>0</v>
      </c>
    </row>
    <row r="140" spans="1:9" x14ac:dyDescent="0.35">
      <c r="A140" s="152">
        <f t="shared" si="14"/>
        <v>43132</v>
      </c>
      <c r="B140" s="152">
        <f t="shared" si="15"/>
        <v>43159</v>
      </c>
      <c r="C140" s="473"/>
      <c r="D140" s="195" t="s">
        <v>126</v>
      </c>
      <c r="E140" s="196">
        <f t="shared" si="12"/>
        <v>0</v>
      </c>
      <c r="F140" s="197">
        <v>5.0700000000000002E-2</v>
      </c>
      <c r="G140" s="198">
        <f t="shared" si="16"/>
        <v>1.3550673832551929E-4</v>
      </c>
      <c r="H140" s="199">
        <f t="shared" si="17"/>
        <v>28</v>
      </c>
      <c r="I140" s="200">
        <f t="shared" si="13"/>
        <v>0</v>
      </c>
    </row>
    <row r="141" spans="1:9" x14ac:dyDescent="0.35">
      <c r="A141" s="152">
        <f t="shared" si="14"/>
        <v>43160</v>
      </c>
      <c r="B141" s="152">
        <f t="shared" si="15"/>
        <v>43190</v>
      </c>
      <c r="C141" s="473"/>
      <c r="D141" s="195" t="s">
        <v>127</v>
      </c>
      <c r="E141" s="196">
        <f t="shared" si="12"/>
        <v>0</v>
      </c>
      <c r="F141" s="197">
        <v>5.0099999999999999E-2</v>
      </c>
      <c r="G141" s="198">
        <f t="shared" si="16"/>
        <v>1.3394156589074946E-4</v>
      </c>
      <c r="H141" s="199">
        <f t="shared" si="17"/>
        <v>31</v>
      </c>
      <c r="I141" s="200">
        <f t="shared" si="13"/>
        <v>0</v>
      </c>
    </row>
    <row r="142" spans="1:9" x14ac:dyDescent="0.35">
      <c r="A142" s="152">
        <f t="shared" si="14"/>
        <v>43191</v>
      </c>
      <c r="B142" s="152">
        <f t="shared" si="15"/>
        <v>43220</v>
      </c>
      <c r="C142" s="473"/>
      <c r="D142" s="195" t="s">
        <v>128</v>
      </c>
      <c r="E142" s="196">
        <f t="shared" si="12"/>
        <v>0</v>
      </c>
      <c r="F142" s="197">
        <v>4.9000000000000002E-2</v>
      </c>
      <c r="G142" s="198">
        <f t="shared" si="16"/>
        <v>1.3106976536825243E-4</v>
      </c>
      <c r="H142" s="199">
        <f t="shared" si="17"/>
        <v>30</v>
      </c>
      <c r="I142" s="200">
        <f t="shared" si="13"/>
        <v>0</v>
      </c>
    </row>
    <row r="143" spans="1:9" x14ac:dyDescent="0.35">
      <c r="A143" s="152">
        <f t="shared" si="14"/>
        <v>43221</v>
      </c>
      <c r="B143" s="152">
        <f t="shared" si="15"/>
        <v>43251</v>
      </c>
      <c r="C143" s="473"/>
      <c r="D143" s="195" t="s">
        <v>129</v>
      </c>
      <c r="E143" s="196">
        <f t="shared" si="12"/>
        <v>0</v>
      </c>
      <c r="F143" s="197">
        <v>4.7E-2</v>
      </c>
      <c r="G143" s="198">
        <f t="shared" si="16"/>
        <v>1.2584060737030889E-4</v>
      </c>
      <c r="H143" s="199">
        <f t="shared" si="17"/>
        <v>31</v>
      </c>
      <c r="I143" s="200">
        <f t="shared" si="13"/>
        <v>0</v>
      </c>
    </row>
    <row r="144" spans="1:9" x14ac:dyDescent="0.35">
      <c r="A144" s="152">
        <f t="shared" si="14"/>
        <v>43252</v>
      </c>
      <c r="B144" s="152">
        <f t="shared" si="15"/>
        <v>43281</v>
      </c>
      <c r="C144" s="473"/>
      <c r="D144" s="195" t="s">
        <v>130</v>
      </c>
      <c r="E144" s="196">
        <f t="shared" si="12"/>
        <v>0</v>
      </c>
      <c r="F144" s="197">
        <v>4.5999999999999999E-2</v>
      </c>
      <c r="G144" s="198">
        <f t="shared" si="16"/>
        <v>1.2322229163408416E-4</v>
      </c>
      <c r="H144" s="199">
        <f t="shared" si="17"/>
        <v>30</v>
      </c>
      <c r="I144" s="200">
        <f t="shared" si="13"/>
        <v>0</v>
      </c>
    </row>
    <row r="145" spans="1:9" x14ac:dyDescent="0.35">
      <c r="A145" s="152">
        <f t="shared" si="14"/>
        <v>43282</v>
      </c>
      <c r="B145" s="152">
        <f t="shared" si="15"/>
        <v>43312</v>
      </c>
      <c r="C145" s="473"/>
      <c r="D145" s="195" t="s">
        <v>131</v>
      </c>
      <c r="E145" s="196">
        <f t="shared" si="12"/>
        <v>0</v>
      </c>
      <c r="F145" s="197">
        <v>4.5699999999999998E-2</v>
      </c>
      <c r="G145" s="198">
        <f t="shared" si="16"/>
        <v>1.2243631011710221E-4</v>
      </c>
      <c r="H145" s="199">
        <f t="shared" si="17"/>
        <v>31</v>
      </c>
      <c r="I145" s="200">
        <f t="shared" si="13"/>
        <v>0</v>
      </c>
    </row>
    <row r="146" spans="1:9" x14ac:dyDescent="0.35">
      <c r="A146" s="152">
        <f t="shared" si="14"/>
        <v>43313</v>
      </c>
      <c r="B146" s="152">
        <f t="shared" si="15"/>
        <v>43343</v>
      </c>
      <c r="C146" s="473"/>
      <c r="D146" s="195" t="s">
        <v>132</v>
      </c>
      <c r="E146" s="196">
        <f t="shared" si="12"/>
        <v>0</v>
      </c>
      <c r="F146" s="197">
        <v>4.53E-2</v>
      </c>
      <c r="G146" s="198">
        <f t="shared" si="16"/>
        <v>1.2138798488825486E-4</v>
      </c>
      <c r="H146" s="199">
        <f t="shared" si="17"/>
        <v>31</v>
      </c>
      <c r="I146" s="200">
        <f t="shared" si="13"/>
        <v>0</v>
      </c>
    </row>
    <row r="147" spans="1:9" x14ac:dyDescent="0.35">
      <c r="A147" s="152">
        <f t="shared" si="14"/>
        <v>43344</v>
      </c>
      <c r="B147" s="152">
        <f t="shared" si="15"/>
        <v>43373</v>
      </c>
      <c r="C147" s="473"/>
      <c r="D147" s="195" t="s">
        <v>133</v>
      </c>
      <c r="E147" s="196">
        <f t="shared" si="12"/>
        <v>0</v>
      </c>
      <c r="F147" s="197">
        <v>4.53E-2</v>
      </c>
      <c r="G147" s="198">
        <f t="shared" si="16"/>
        <v>1.2138798488825486E-4</v>
      </c>
      <c r="H147" s="199">
        <f t="shared" si="17"/>
        <v>30</v>
      </c>
      <c r="I147" s="200">
        <f t="shared" si="13"/>
        <v>0</v>
      </c>
    </row>
    <row r="148" spans="1:9" x14ac:dyDescent="0.35">
      <c r="A148" s="152">
        <f t="shared" si="14"/>
        <v>43374</v>
      </c>
      <c r="B148" s="152">
        <f t="shared" si="15"/>
        <v>43404</v>
      </c>
      <c r="C148" s="473"/>
      <c r="D148" s="195" t="s">
        <v>134</v>
      </c>
      <c r="E148" s="196">
        <f t="shared" si="12"/>
        <v>0</v>
      </c>
      <c r="F148" s="197">
        <v>4.4299999999999999E-2</v>
      </c>
      <c r="G148" s="198">
        <f t="shared" si="16"/>
        <v>1.187654205565547E-4</v>
      </c>
      <c r="H148" s="199">
        <f t="shared" si="17"/>
        <v>31</v>
      </c>
      <c r="I148" s="200">
        <f t="shared" si="13"/>
        <v>0</v>
      </c>
    </row>
    <row r="149" spans="1:9" x14ac:dyDescent="0.35">
      <c r="A149" s="152">
        <f t="shared" si="14"/>
        <v>43405</v>
      </c>
      <c r="B149" s="152">
        <f t="shared" si="15"/>
        <v>43434</v>
      </c>
      <c r="C149" s="473"/>
      <c r="D149" s="195" t="s">
        <v>135</v>
      </c>
      <c r="E149" s="196">
        <f t="shared" si="12"/>
        <v>0</v>
      </c>
      <c r="F149" s="197">
        <v>4.4200000000000003E-2</v>
      </c>
      <c r="G149" s="198">
        <f t="shared" si="16"/>
        <v>1.185030263928244E-4</v>
      </c>
      <c r="H149" s="199">
        <f t="shared" si="17"/>
        <v>30</v>
      </c>
      <c r="I149" s="200">
        <f t="shared" si="13"/>
        <v>0</v>
      </c>
    </row>
    <row r="150" spans="1:9" x14ac:dyDescent="0.35">
      <c r="A150" s="152">
        <f t="shared" si="14"/>
        <v>43435</v>
      </c>
      <c r="B150" s="152">
        <f t="shared" si="15"/>
        <v>43465</v>
      </c>
      <c r="C150" s="473"/>
      <c r="D150" s="195" t="s">
        <v>136</v>
      </c>
      <c r="E150" s="196">
        <f t="shared" si="12"/>
        <v>0</v>
      </c>
      <c r="F150" s="197">
        <v>4.5400000000000003E-2</v>
      </c>
      <c r="G150" s="198">
        <f t="shared" si="16"/>
        <v>1.2165010369624696E-4</v>
      </c>
      <c r="H150" s="199">
        <f t="shared" si="17"/>
        <v>31</v>
      </c>
      <c r="I150" s="200">
        <f t="shared" si="13"/>
        <v>0</v>
      </c>
    </row>
    <row r="151" spans="1:9" x14ac:dyDescent="0.35">
      <c r="A151" s="152">
        <f t="shared" si="14"/>
        <v>43466</v>
      </c>
      <c r="B151" s="152">
        <f t="shared" si="15"/>
        <v>43496</v>
      </c>
      <c r="C151" s="468">
        <v>2019</v>
      </c>
      <c r="D151" s="195" t="s">
        <v>125</v>
      </c>
      <c r="E151" s="196">
        <f t="shared" si="12"/>
        <v>0</v>
      </c>
      <c r="F151" s="197">
        <v>4.5600000000000002E-2</v>
      </c>
      <c r="G151" s="198">
        <f t="shared" si="16"/>
        <v>1.2217426630578565E-4</v>
      </c>
      <c r="H151" s="199">
        <f t="shared" si="17"/>
        <v>31</v>
      </c>
      <c r="I151" s="200">
        <f t="shared" si="13"/>
        <v>0</v>
      </c>
    </row>
    <row r="152" spans="1:9" x14ac:dyDescent="0.35">
      <c r="A152" s="152">
        <f t="shared" si="14"/>
        <v>43497</v>
      </c>
      <c r="B152" s="152">
        <f t="shared" si="15"/>
        <v>43524</v>
      </c>
      <c r="C152" s="469"/>
      <c r="D152" s="195" t="s">
        <v>126</v>
      </c>
      <c r="E152" s="196">
        <f t="shared" si="12"/>
        <v>0</v>
      </c>
      <c r="F152" s="197">
        <v>4.5699999999999998E-2</v>
      </c>
      <c r="G152" s="198">
        <f t="shared" si="16"/>
        <v>1.2243631011710221E-4</v>
      </c>
      <c r="H152" s="199">
        <f t="shared" si="17"/>
        <v>28</v>
      </c>
      <c r="I152" s="200">
        <f t="shared" si="13"/>
        <v>0</v>
      </c>
    </row>
    <row r="153" spans="1:9" x14ac:dyDescent="0.35">
      <c r="A153" s="152">
        <f t="shared" si="14"/>
        <v>43525</v>
      </c>
      <c r="B153" s="152">
        <f t="shared" si="15"/>
        <v>43555</v>
      </c>
      <c r="C153" s="469"/>
      <c r="D153" s="195" t="s">
        <v>127</v>
      </c>
      <c r="E153" s="196">
        <f t="shared" si="12"/>
        <v>0</v>
      </c>
      <c r="F153" s="197">
        <v>4.5499999999999999E-2</v>
      </c>
      <c r="G153" s="198">
        <f t="shared" si="16"/>
        <v>1.2191219750046223E-4</v>
      </c>
      <c r="H153" s="199">
        <f t="shared" si="17"/>
        <v>31</v>
      </c>
      <c r="I153" s="200">
        <f t="shared" si="13"/>
        <v>0</v>
      </c>
    </row>
    <row r="154" spans="1:9" x14ac:dyDescent="0.35">
      <c r="A154" s="152">
        <f t="shared" si="14"/>
        <v>43556</v>
      </c>
      <c r="B154" s="152">
        <f t="shared" si="15"/>
        <v>43585</v>
      </c>
      <c r="C154" s="469"/>
      <c r="D154" s="195" t="s">
        <v>128</v>
      </c>
      <c r="E154" s="196">
        <f t="shared" si="12"/>
        <v>0</v>
      </c>
      <c r="F154" s="197">
        <v>4.5400000000000003E-2</v>
      </c>
      <c r="G154" s="198">
        <f t="shared" si="16"/>
        <v>1.2165010369624696E-4</v>
      </c>
      <c r="H154" s="199">
        <f t="shared" si="17"/>
        <v>30</v>
      </c>
      <c r="I154" s="200">
        <f t="shared" si="13"/>
        <v>0</v>
      </c>
    </row>
    <row r="155" spans="1:9" x14ac:dyDescent="0.35">
      <c r="A155" s="152">
        <f t="shared" si="14"/>
        <v>43586</v>
      </c>
      <c r="B155" s="152">
        <f t="shared" si="15"/>
        <v>43616</v>
      </c>
      <c r="C155" s="469"/>
      <c r="D155" s="195" t="s">
        <v>129</v>
      </c>
      <c r="E155" s="196">
        <f t="shared" si="12"/>
        <v>0</v>
      </c>
      <c r="F155" s="197">
        <v>4.4999999999999998E-2</v>
      </c>
      <c r="G155" s="198">
        <f t="shared" si="16"/>
        <v>1.2060147839498825E-4</v>
      </c>
      <c r="H155" s="199">
        <f t="shared" si="17"/>
        <v>31</v>
      </c>
      <c r="I155" s="200">
        <f t="shared" si="13"/>
        <v>0</v>
      </c>
    </row>
    <row r="156" spans="1:9" x14ac:dyDescent="0.35">
      <c r="A156" s="152">
        <f t="shared" si="14"/>
        <v>43617</v>
      </c>
      <c r="B156" s="152">
        <f t="shared" si="15"/>
        <v>43646</v>
      </c>
      <c r="C156" s="469"/>
      <c r="D156" s="195" t="s">
        <v>130</v>
      </c>
      <c r="E156" s="196">
        <f t="shared" si="12"/>
        <v>0</v>
      </c>
      <c r="F156" s="197">
        <v>4.5199999999999997E-2</v>
      </c>
      <c r="G156" s="198">
        <f t="shared" si="16"/>
        <v>1.2112584107204505E-4</v>
      </c>
      <c r="H156" s="199">
        <f t="shared" si="17"/>
        <v>30</v>
      </c>
      <c r="I156" s="200">
        <f t="shared" si="13"/>
        <v>0</v>
      </c>
    </row>
    <row r="157" spans="1:9" x14ac:dyDescent="0.35">
      <c r="A157" s="152">
        <f t="shared" si="14"/>
        <v>43647</v>
      </c>
      <c r="B157" s="152">
        <f t="shared" si="15"/>
        <v>43677</v>
      </c>
      <c r="C157" s="469"/>
      <c r="D157" s="195" t="s">
        <v>131</v>
      </c>
      <c r="E157" s="196">
        <f t="shared" si="12"/>
        <v>0</v>
      </c>
      <c r="F157" s="197">
        <v>4.4699999999999997E-2</v>
      </c>
      <c r="G157" s="198">
        <f t="shared" si="16"/>
        <v>1.198147466965338E-4</v>
      </c>
      <c r="H157" s="199">
        <f t="shared" si="17"/>
        <v>31</v>
      </c>
      <c r="I157" s="200">
        <f t="shared" si="13"/>
        <v>0</v>
      </c>
    </row>
    <row r="158" spans="1:9" x14ac:dyDescent="0.35">
      <c r="A158" s="152">
        <f t="shared" si="14"/>
        <v>43678</v>
      </c>
      <c r="B158" s="152">
        <f t="shared" si="15"/>
        <v>43708</v>
      </c>
      <c r="C158" s="469"/>
      <c r="D158" s="195" t="s">
        <v>132</v>
      </c>
      <c r="E158" s="196">
        <f t="shared" si="12"/>
        <v>0</v>
      </c>
      <c r="F158" s="197">
        <v>4.4299999999999999E-2</v>
      </c>
      <c r="G158" s="198">
        <f t="shared" si="16"/>
        <v>1.187654205565547E-4</v>
      </c>
      <c r="H158" s="199">
        <f t="shared" si="17"/>
        <v>31</v>
      </c>
      <c r="I158" s="200">
        <f t="shared" si="13"/>
        <v>0</v>
      </c>
    </row>
    <row r="159" spans="1:9" x14ac:dyDescent="0.35">
      <c r="A159" s="152">
        <f t="shared" si="14"/>
        <v>43709</v>
      </c>
      <c r="B159" s="152">
        <f t="shared" si="15"/>
        <v>43738</v>
      </c>
      <c r="C159" s="469"/>
      <c r="D159" s="195" t="s">
        <v>133</v>
      </c>
      <c r="E159" s="196">
        <f t="shared" si="12"/>
        <v>0</v>
      </c>
      <c r="F159" s="197">
        <v>4.48E-2</v>
      </c>
      <c r="G159" s="198">
        <f t="shared" si="16"/>
        <v>1.2007701562666284E-4</v>
      </c>
      <c r="H159" s="199">
        <f t="shared" si="17"/>
        <v>30</v>
      </c>
      <c r="I159" s="200">
        <f t="shared" si="13"/>
        <v>0</v>
      </c>
    </row>
    <row r="160" spans="1:9" x14ac:dyDescent="0.35">
      <c r="A160" s="152">
        <f t="shared" si="14"/>
        <v>43739</v>
      </c>
      <c r="B160" s="152">
        <f t="shared" si="15"/>
        <v>43769</v>
      </c>
      <c r="C160" s="469"/>
      <c r="D160" s="195" t="s">
        <v>134</v>
      </c>
      <c r="E160" s="196">
        <f t="shared" si="12"/>
        <v>0</v>
      </c>
      <c r="F160" s="197">
        <v>4.41E-2</v>
      </c>
      <c r="G160" s="198">
        <f t="shared" si="16"/>
        <v>1.1824060716802975E-4</v>
      </c>
      <c r="H160" s="199">
        <f t="shared" si="17"/>
        <v>31</v>
      </c>
      <c r="I160" s="200">
        <f t="shared" si="13"/>
        <v>0</v>
      </c>
    </row>
    <row r="161" spans="1:9" x14ac:dyDescent="0.35">
      <c r="A161" s="152">
        <f t="shared" si="14"/>
        <v>43770</v>
      </c>
      <c r="B161" s="152">
        <f t="shared" si="15"/>
        <v>43799</v>
      </c>
      <c r="C161" s="469"/>
      <c r="D161" s="195" t="s">
        <v>135</v>
      </c>
      <c r="E161" s="196">
        <f t="shared" si="12"/>
        <v>0</v>
      </c>
      <c r="F161" s="197">
        <v>4.4299999999999999E-2</v>
      </c>
      <c r="G161" s="198">
        <f t="shared" si="16"/>
        <v>1.187654205565547E-4</v>
      </c>
      <c r="H161" s="199">
        <f t="shared" si="17"/>
        <v>30</v>
      </c>
      <c r="I161" s="200">
        <f t="shared" si="13"/>
        <v>0</v>
      </c>
    </row>
    <row r="162" spans="1:9" x14ac:dyDescent="0.35">
      <c r="A162" s="152">
        <f t="shared" si="14"/>
        <v>43800</v>
      </c>
      <c r="B162" s="152">
        <f t="shared" si="15"/>
        <v>43830</v>
      </c>
      <c r="C162" s="470"/>
      <c r="D162" s="195" t="s">
        <v>136</v>
      </c>
      <c r="E162" s="196">
        <f t="shared" si="12"/>
        <v>0</v>
      </c>
      <c r="F162" s="197">
        <v>4.5199999999999997E-2</v>
      </c>
      <c r="G162" s="198">
        <f t="shared" si="16"/>
        <v>1.2112584107204505E-4</v>
      </c>
      <c r="H162" s="199">
        <f t="shared" si="17"/>
        <v>31</v>
      </c>
      <c r="I162" s="200">
        <f t="shared" si="13"/>
        <v>0</v>
      </c>
    </row>
    <row r="163" spans="1:9" x14ac:dyDescent="0.35">
      <c r="A163" s="152">
        <f t="shared" si="14"/>
        <v>43831</v>
      </c>
      <c r="B163" s="152">
        <f t="shared" si="15"/>
        <v>43861</v>
      </c>
      <c r="C163" s="468">
        <v>2020</v>
      </c>
      <c r="D163" s="195" t="s">
        <v>125</v>
      </c>
      <c r="E163" s="196">
        <f t="shared" si="12"/>
        <v>0</v>
      </c>
      <c r="F163" s="197">
        <v>4.5400000000000003E-2</v>
      </c>
      <c r="G163" s="198">
        <f t="shared" si="16"/>
        <v>1.2165010369624696E-4</v>
      </c>
      <c r="H163" s="199">
        <f t="shared" si="17"/>
        <v>31</v>
      </c>
      <c r="I163" s="200">
        <f t="shared" si="13"/>
        <v>0</v>
      </c>
    </row>
    <row r="164" spans="1:9" x14ac:dyDescent="0.35">
      <c r="A164" s="152">
        <f t="shared" si="14"/>
        <v>43862</v>
      </c>
      <c r="B164" s="152">
        <f t="shared" si="15"/>
        <v>43890</v>
      </c>
      <c r="C164" s="469"/>
      <c r="D164" s="195" t="s">
        <v>126</v>
      </c>
      <c r="E164" s="196">
        <f t="shared" si="12"/>
        <v>0</v>
      </c>
      <c r="F164" s="197">
        <v>4.4600000000000001E-2</v>
      </c>
      <c r="G164" s="198">
        <f t="shared" si="16"/>
        <v>1.1955245272932125E-4</v>
      </c>
      <c r="H164" s="199">
        <f t="shared" si="17"/>
        <v>29</v>
      </c>
      <c r="I164" s="200">
        <f t="shared" si="13"/>
        <v>0</v>
      </c>
    </row>
    <row r="165" spans="1:9" x14ac:dyDescent="0.35">
      <c r="A165" s="152">
        <f t="shared" si="14"/>
        <v>43891</v>
      </c>
      <c r="B165" s="152">
        <f t="shared" si="15"/>
        <v>43921</v>
      </c>
      <c r="C165" s="469"/>
      <c r="D165" s="195" t="s">
        <v>127</v>
      </c>
      <c r="E165" s="196">
        <f t="shared" si="12"/>
        <v>0</v>
      </c>
      <c r="F165" s="197">
        <v>4.4999999999999998E-2</v>
      </c>
      <c r="G165" s="198">
        <f t="shared" si="16"/>
        <v>1.2060147839498825E-4</v>
      </c>
      <c r="H165" s="199">
        <f t="shared" si="17"/>
        <v>31</v>
      </c>
      <c r="I165" s="200">
        <f t="shared" si="13"/>
        <v>0</v>
      </c>
    </row>
    <row r="166" spans="1:9" x14ac:dyDescent="0.35">
      <c r="A166" s="152">
        <f t="shared" si="14"/>
        <v>43922</v>
      </c>
      <c r="B166" s="152">
        <f t="shared" si="15"/>
        <v>43951</v>
      </c>
      <c r="C166" s="469"/>
      <c r="D166" s="195" t="s">
        <v>128</v>
      </c>
      <c r="E166" s="196">
        <f t="shared" si="12"/>
        <v>0</v>
      </c>
      <c r="F166" s="197">
        <v>4.5499999999999999E-2</v>
      </c>
      <c r="G166" s="198">
        <f t="shared" si="16"/>
        <v>1.2191219750046223E-4</v>
      </c>
      <c r="H166" s="199">
        <f t="shared" si="17"/>
        <v>30</v>
      </c>
      <c r="I166" s="200">
        <f t="shared" si="13"/>
        <v>0</v>
      </c>
    </row>
    <row r="167" spans="1:9" x14ac:dyDescent="0.35">
      <c r="A167" s="152">
        <f t="shared" si="14"/>
        <v>43952</v>
      </c>
      <c r="B167" s="152">
        <f t="shared" si="15"/>
        <v>43982</v>
      </c>
      <c r="C167" s="469"/>
      <c r="D167" s="195" t="s">
        <v>129</v>
      </c>
      <c r="E167" s="196">
        <f t="shared" si="12"/>
        <v>0</v>
      </c>
      <c r="F167" s="197">
        <v>4.2900000000000001E-2</v>
      </c>
      <c r="G167" s="198">
        <f t="shared" si="16"/>
        <v>1.1508961995976286E-4</v>
      </c>
      <c r="H167" s="199">
        <f t="shared" si="17"/>
        <v>31</v>
      </c>
      <c r="I167" s="200">
        <f t="shared" si="13"/>
        <v>0</v>
      </c>
    </row>
    <row r="168" spans="1:9" x14ac:dyDescent="0.35">
      <c r="A168" s="152">
        <f t="shared" si="14"/>
        <v>43983</v>
      </c>
      <c r="B168" s="152">
        <f t="shared" si="15"/>
        <v>44012</v>
      </c>
      <c r="C168" s="469"/>
      <c r="D168" s="195" t="s">
        <v>130</v>
      </c>
      <c r="E168" s="196">
        <f t="shared" si="12"/>
        <v>0</v>
      </c>
      <c r="F168" s="197">
        <v>3.7600000000000001E-2</v>
      </c>
      <c r="G168" s="198">
        <f t="shared" si="16"/>
        <v>1.0112937081929729E-4</v>
      </c>
      <c r="H168" s="199">
        <f t="shared" si="17"/>
        <v>30</v>
      </c>
      <c r="I168" s="200">
        <f t="shared" si="13"/>
        <v>0</v>
      </c>
    </row>
    <row r="169" spans="1:9" x14ac:dyDescent="0.35">
      <c r="A169" s="152">
        <f t="shared" si="14"/>
        <v>44013</v>
      </c>
      <c r="B169" s="152">
        <f t="shared" si="15"/>
        <v>44043</v>
      </c>
      <c r="C169" s="469"/>
      <c r="D169" s="195" t="s">
        <v>131</v>
      </c>
      <c r="E169" s="196">
        <f t="shared" si="12"/>
        <v>0</v>
      </c>
      <c r="F169" s="197">
        <v>3.3399999999999999E-2</v>
      </c>
      <c r="G169" s="198">
        <f t="shared" si="16"/>
        <v>9.0015933029263806E-5</v>
      </c>
      <c r="H169" s="199">
        <f t="shared" si="17"/>
        <v>31</v>
      </c>
      <c r="I169" s="200">
        <f t="shared" si="13"/>
        <v>0</v>
      </c>
    </row>
    <row r="170" spans="1:9" x14ac:dyDescent="0.35">
      <c r="A170" s="152">
        <f t="shared" si="14"/>
        <v>44044</v>
      </c>
      <c r="B170" s="152">
        <f t="shared" si="15"/>
        <v>44074</v>
      </c>
      <c r="C170" s="469"/>
      <c r="D170" s="195" t="s">
        <v>132</v>
      </c>
      <c r="E170" s="196">
        <f t="shared" si="12"/>
        <v>0</v>
      </c>
      <c r="F170" s="197">
        <v>2.7900000000000001E-2</v>
      </c>
      <c r="G170" s="198">
        <f t="shared" si="16"/>
        <v>7.5394310601994974E-5</v>
      </c>
      <c r="H170" s="199">
        <f t="shared" si="17"/>
        <v>31</v>
      </c>
      <c r="I170" s="200">
        <f t="shared" si="13"/>
        <v>0</v>
      </c>
    </row>
    <row r="171" spans="1:9" x14ac:dyDescent="0.35">
      <c r="A171" s="152">
        <f t="shared" si="14"/>
        <v>44075</v>
      </c>
      <c r="B171" s="152">
        <f t="shared" si="15"/>
        <v>44104</v>
      </c>
      <c r="C171" s="469"/>
      <c r="D171" s="195" t="s">
        <v>133</v>
      </c>
      <c r="E171" s="196">
        <f t="shared" si="12"/>
        <v>0</v>
      </c>
      <c r="F171" s="197">
        <v>2.3900000000000001E-2</v>
      </c>
      <c r="G171" s="198">
        <f t="shared" si="16"/>
        <v>6.4711314504917183E-5</v>
      </c>
      <c r="H171" s="199">
        <f t="shared" si="17"/>
        <v>30</v>
      </c>
      <c r="I171" s="200">
        <f t="shared" si="13"/>
        <v>0</v>
      </c>
    </row>
    <row r="172" spans="1:9" x14ac:dyDescent="0.35">
      <c r="A172" s="152">
        <f t="shared" si="14"/>
        <v>44120</v>
      </c>
      <c r="B172" s="152">
        <f t="shared" si="15"/>
        <v>44135</v>
      </c>
      <c r="C172" s="469"/>
      <c r="D172" s="195" t="s">
        <v>134</v>
      </c>
      <c r="E172" s="196">
        <f t="shared" si="12"/>
        <v>577226873.31355345</v>
      </c>
      <c r="F172" s="197">
        <v>2.0299999999999999E-2</v>
      </c>
      <c r="G172" s="198">
        <f t="shared" si="16"/>
        <v>5.5060972509624051E-5</v>
      </c>
      <c r="H172" s="199">
        <f t="shared" si="17"/>
        <v>16</v>
      </c>
      <c r="I172" s="200">
        <f t="shared" si="13"/>
        <v>508522.76805334096</v>
      </c>
    </row>
    <row r="173" spans="1:9" x14ac:dyDescent="0.35">
      <c r="A173" s="152">
        <f t="shared" si="14"/>
        <v>44136</v>
      </c>
      <c r="B173" s="152">
        <f t="shared" si="15"/>
        <v>44165</v>
      </c>
      <c r="C173" s="469"/>
      <c r="D173" s="195" t="s">
        <v>135</v>
      </c>
      <c r="E173" s="196">
        <f t="shared" si="12"/>
        <v>577226873.31355345</v>
      </c>
      <c r="F173" s="197">
        <v>1.9599999999999999E-2</v>
      </c>
      <c r="G173" s="198">
        <f t="shared" si="16"/>
        <v>5.3180574364875E-5</v>
      </c>
      <c r="H173" s="199">
        <f t="shared" si="17"/>
        <v>30</v>
      </c>
      <c r="I173" s="200">
        <f t="shared" si="13"/>
        <v>920917.69984967122</v>
      </c>
    </row>
    <row r="174" spans="1:9" x14ac:dyDescent="0.35">
      <c r="A174" s="152">
        <f t="shared" si="14"/>
        <v>44166</v>
      </c>
      <c r="B174" s="152">
        <f t="shared" si="15"/>
        <v>44196</v>
      </c>
      <c r="C174" s="470"/>
      <c r="D174" s="195" t="s">
        <v>136</v>
      </c>
      <c r="E174" s="196">
        <f t="shared" si="12"/>
        <v>577226873.31355345</v>
      </c>
      <c r="F174" s="197">
        <v>1.9300000000000001E-2</v>
      </c>
      <c r="G174" s="198">
        <f t="shared" si="16"/>
        <v>5.2374295299806306E-5</v>
      </c>
      <c r="H174" s="199">
        <f t="shared" si="17"/>
        <v>31</v>
      </c>
      <c r="I174" s="200">
        <f t="shared" si="13"/>
        <v>937187.37225514592</v>
      </c>
    </row>
    <row r="175" spans="1:9" x14ac:dyDescent="0.35">
      <c r="A175" s="152">
        <f t="shared" si="14"/>
        <v>44197</v>
      </c>
      <c r="B175" s="152">
        <f t="shared" si="15"/>
        <v>44227</v>
      </c>
      <c r="C175" s="468">
        <v>2021</v>
      </c>
      <c r="D175" s="195" t="s">
        <v>125</v>
      </c>
      <c r="E175" s="196">
        <f t="shared" si="12"/>
        <v>577226873.31355345</v>
      </c>
      <c r="F175" s="197">
        <v>1.9099999999999999E-2</v>
      </c>
      <c r="G175" s="198">
        <f t="shared" si="16"/>
        <v>5.1836644438196799E-5</v>
      </c>
      <c r="H175" s="199">
        <f t="shared" si="17"/>
        <v>31</v>
      </c>
      <c r="I175" s="200">
        <f t="shared" si="13"/>
        <v>927566.62995592901</v>
      </c>
    </row>
    <row r="176" spans="1:9" x14ac:dyDescent="0.35">
      <c r="A176" s="152">
        <f t="shared" si="14"/>
        <v>44228</v>
      </c>
      <c r="B176" s="152">
        <f t="shared" si="15"/>
        <v>44255</v>
      </c>
      <c r="C176" s="469"/>
      <c r="D176" s="195" t="s">
        <v>126</v>
      </c>
      <c r="E176" s="196">
        <f t="shared" si="12"/>
        <v>577226873.31355345</v>
      </c>
      <c r="F176" s="197">
        <v>1.8100000000000002E-2</v>
      </c>
      <c r="G176" s="198">
        <f t="shared" si="16"/>
        <v>4.9146810763511795E-5</v>
      </c>
      <c r="H176" s="199">
        <f t="shared" si="17"/>
        <v>28</v>
      </c>
      <c r="I176" s="200">
        <f t="shared" si="13"/>
        <v>794328.07748993463</v>
      </c>
    </row>
    <row r="177" spans="1:9" x14ac:dyDescent="0.35">
      <c r="A177" s="152">
        <f t="shared" si="14"/>
        <v>44256</v>
      </c>
      <c r="B177" s="152">
        <f t="shared" si="15"/>
        <v>44286</v>
      </c>
      <c r="C177" s="469"/>
      <c r="D177" s="195" t="s">
        <v>127</v>
      </c>
      <c r="E177" s="196">
        <f t="shared" si="12"/>
        <v>577226873.31355345</v>
      </c>
      <c r="F177" s="197">
        <v>1.77E-2</v>
      </c>
      <c r="G177" s="198">
        <f t="shared" si="16"/>
        <v>4.8070139484934771E-5</v>
      </c>
      <c r="H177" s="199">
        <f t="shared" si="17"/>
        <v>31</v>
      </c>
      <c r="I177" s="200">
        <f t="shared" si="13"/>
        <v>860168.6657536939</v>
      </c>
    </row>
    <row r="178" spans="1:9" x14ac:dyDescent="0.35">
      <c r="A178" s="152">
        <f t="shared" si="14"/>
        <v>44287</v>
      </c>
      <c r="B178" s="152">
        <f t="shared" si="15"/>
        <v>44301</v>
      </c>
      <c r="C178" s="469"/>
      <c r="D178" s="195" t="s">
        <v>128</v>
      </c>
      <c r="E178" s="196">
        <f t="shared" si="12"/>
        <v>577226873.31355345</v>
      </c>
      <c r="F178" s="197">
        <v>1.7600000000000001E-2</v>
      </c>
      <c r="G178" s="198">
        <f t="shared" si="16"/>
        <v>4.7800905724759701E-5</v>
      </c>
      <c r="H178" s="199">
        <f t="shared" si="17"/>
        <v>15</v>
      </c>
      <c r="I178" s="200">
        <f t="shared" si="13"/>
        <v>413879.51029588468</v>
      </c>
    </row>
    <row r="179" spans="1:9" x14ac:dyDescent="0.35">
      <c r="A179" s="152">
        <f t="shared" si="14"/>
        <v>44317</v>
      </c>
      <c r="B179" s="152">
        <f t="shared" si="15"/>
        <v>44347</v>
      </c>
      <c r="C179" s="469"/>
      <c r="D179" s="195" t="s">
        <v>129</v>
      </c>
      <c r="E179" s="196">
        <f t="shared" si="12"/>
        <v>577226873.31355345</v>
      </c>
      <c r="F179" s="197">
        <v>1.8200000000000001E-2</v>
      </c>
      <c r="G179" s="198">
        <f t="shared" si="16"/>
        <v>4.9415912668715478E-5</v>
      </c>
      <c r="H179" s="199">
        <f t="shared" si="17"/>
        <v>31</v>
      </c>
      <c r="I179" s="200">
        <f t="shared" si="13"/>
        <v>0</v>
      </c>
    </row>
    <row r="180" spans="1:9" x14ac:dyDescent="0.35">
      <c r="A180" s="152">
        <f t="shared" si="14"/>
        <v>44348</v>
      </c>
      <c r="B180" s="152">
        <f t="shared" si="15"/>
        <v>44377</v>
      </c>
      <c r="C180" s="469"/>
      <c r="D180" s="195" t="s">
        <v>130</v>
      </c>
      <c r="E180" s="196">
        <f t="shared" si="12"/>
        <v>577226873.31355345</v>
      </c>
      <c r="F180" s="197">
        <v>1.9099999999999999E-2</v>
      </c>
      <c r="G180" s="198">
        <f t="shared" si="16"/>
        <v>5.1836644438196799E-5</v>
      </c>
      <c r="H180" s="199">
        <f t="shared" si="17"/>
        <v>30</v>
      </c>
      <c r="I180" s="200">
        <f t="shared" si="13"/>
        <v>0</v>
      </c>
    </row>
    <row r="181" spans="1:9" x14ac:dyDescent="0.35">
      <c r="A181" s="152">
        <f t="shared" si="14"/>
        <v>44392</v>
      </c>
      <c r="B181" s="152">
        <f t="shared" si="15"/>
        <v>44408</v>
      </c>
      <c r="C181" s="469"/>
      <c r="D181" s="195" t="s">
        <v>131</v>
      </c>
      <c r="E181" s="196">
        <f t="shared" si="12"/>
        <v>577226873.31355345</v>
      </c>
      <c r="F181" s="197">
        <v>1.9E-2</v>
      </c>
      <c r="G181" s="198">
        <f t="shared" si="16"/>
        <v>5.1567779546513037E-5</v>
      </c>
      <c r="H181" s="199">
        <f t="shared" si="17"/>
        <v>17</v>
      </c>
      <c r="I181" s="200">
        <f t="shared" si="13"/>
        <v>506027.23857305769</v>
      </c>
    </row>
    <row r="182" spans="1:9" x14ac:dyDescent="0.35">
      <c r="A182" s="152">
        <f t="shared" si="14"/>
        <v>44409</v>
      </c>
      <c r="B182" s="152">
        <f t="shared" si="15"/>
        <v>44423</v>
      </c>
      <c r="C182" s="469"/>
      <c r="D182" s="195" t="s">
        <v>132</v>
      </c>
      <c r="E182" s="196">
        <f t="shared" si="12"/>
        <v>577226873.31355345</v>
      </c>
      <c r="F182" s="197">
        <v>1.9900000000000001E-2</v>
      </c>
      <c r="G182" s="198">
        <f t="shared" si="16"/>
        <v>5.3986616880719041E-5</v>
      </c>
      <c r="H182" s="199">
        <f t="shared" si="17"/>
        <v>15</v>
      </c>
      <c r="I182" s="200">
        <f t="shared" si="13"/>
        <v>467437.89094251237</v>
      </c>
    </row>
    <row r="183" spans="1:9" x14ac:dyDescent="0.35">
      <c r="A183" s="152">
        <f t="shared" si="14"/>
        <v>44440</v>
      </c>
      <c r="B183" s="152">
        <f t="shared" si="15"/>
        <v>44469</v>
      </c>
      <c r="C183" s="469"/>
      <c r="D183" s="195" t="s">
        <v>133</v>
      </c>
      <c r="E183" s="196">
        <f t="shared" si="12"/>
        <v>0</v>
      </c>
      <c r="F183" s="197">
        <v>2.0500000000000001E-2</v>
      </c>
      <c r="G183" s="198">
        <f t="shared" si="16"/>
        <v>5.5597992820066722E-5</v>
      </c>
      <c r="H183" s="199">
        <f t="shared" si="17"/>
        <v>30</v>
      </c>
      <c r="I183" s="200">
        <f t="shared" si="13"/>
        <v>0</v>
      </c>
    </row>
    <row r="184" spans="1:9" x14ac:dyDescent="0.35">
      <c r="A184" s="152">
        <f t="shared" si="14"/>
        <v>44470</v>
      </c>
      <c r="B184" s="152">
        <f t="shared" si="15"/>
        <v>44500</v>
      </c>
      <c r="C184" s="469"/>
      <c r="D184" s="195" t="s">
        <v>134</v>
      </c>
      <c r="E184" s="196">
        <f t="shared" si="12"/>
        <v>0</v>
      </c>
      <c r="F184" s="197">
        <v>2.2200000000000001E-2</v>
      </c>
      <c r="G184" s="198">
        <f t="shared" si="16"/>
        <v>6.0158432328316636E-5</v>
      </c>
      <c r="H184" s="199">
        <f t="shared" si="17"/>
        <v>31</v>
      </c>
      <c r="I184" s="200">
        <f t="shared" si="13"/>
        <v>0</v>
      </c>
    </row>
    <row r="185" spans="1:9" x14ac:dyDescent="0.35">
      <c r="A185" s="152">
        <f t="shared" si="14"/>
        <v>44501</v>
      </c>
      <c r="B185" s="152">
        <f t="shared" si="15"/>
        <v>44530</v>
      </c>
      <c r="C185" s="469"/>
      <c r="D185" s="195" t="s">
        <v>135</v>
      </c>
      <c r="E185" s="196">
        <f t="shared" si="12"/>
        <v>0</v>
      </c>
      <c r="F185" s="197">
        <v>2.6499999999999999E-2</v>
      </c>
      <c r="G185" s="198">
        <f t="shared" si="16"/>
        <v>7.1659985198868625E-5</v>
      </c>
      <c r="H185" s="199">
        <f t="shared" si="17"/>
        <v>30</v>
      </c>
      <c r="I185" s="200">
        <f t="shared" si="13"/>
        <v>0</v>
      </c>
    </row>
    <row r="186" spans="1:9" x14ac:dyDescent="0.35">
      <c r="A186" s="152">
        <f t="shared" si="14"/>
        <v>44531</v>
      </c>
      <c r="B186" s="152">
        <f t="shared" si="15"/>
        <v>44561</v>
      </c>
      <c r="C186" s="470"/>
      <c r="D186" s="195" t="s">
        <v>136</v>
      </c>
      <c r="E186" s="196">
        <f t="shared" si="12"/>
        <v>0</v>
      </c>
      <c r="F186" s="197">
        <v>3.0800000000000001E-2</v>
      </c>
      <c r="G186" s="198">
        <f t="shared" si="16"/>
        <v>8.3113590170658114E-5</v>
      </c>
      <c r="H186" s="199">
        <f t="shared" si="17"/>
        <v>31</v>
      </c>
      <c r="I186" s="200">
        <f t="shared" si="13"/>
        <v>0</v>
      </c>
    </row>
    <row r="187" spans="1:9" x14ac:dyDescent="0.35">
      <c r="A187" s="152">
        <f t="shared" si="14"/>
        <v>44562</v>
      </c>
      <c r="B187" s="152">
        <f t="shared" si="15"/>
        <v>44592</v>
      </c>
      <c r="C187" s="468">
        <v>2022</v>
      </c>
      <c r="D187" s="195" t="s">
        <v>125</v>
      </c>
      <c r="E187" s="196">
        <f t="shared" si="12"/>
        <v>0</v>
      </c>
      <c r="F187" s="197">
        <v>3.4700000000000002E-2</v>
      </c>
      <c r="G187" s="198">
        <f t="shared" si="16"/>
        <v>9.3460612729190373E-5</v>
      </c>
      <c r="H187" s="199">
        <f t="shared" si="17"/>
        <v>31</v>
      </c>
      <c r="I187" s="200">
        <f t="shared" si="13"/>
        <v>0</v>
      </c>
    </row>
    <row r="188" spans="1:9" x14ac:dyDescent="0.35">
      <c r="A188" s="152">
        <f t="shared" si="14"/>
        <v>44593</v>
      </c>
      <c r="B188" s="152">
        <f t="shared" si="15"/>
        <v>44620</v>
      </c>
      <c r="C188" s="469"/>
      <c r="D188" s="195" t="s">
        <v>126</v>
      </c>
      <c r="E188" s="196">
        <f t="shared" si="12"/>
        <v>0</v>
      </c>
      <c r="F188" s="197">
        <v>4.3099999999999999E-2</v>
      </c>
      <c r="G188" s="198">
        <f t="shared" si="16"/>
        <v>1.1561503550527874E-4</v>
      </c>
      <c r="H188" s="199">
        <f t="shared" si="17"/>
        <v>28</v>
      </c>
      <c r="I188" s="200">
        <f t="shared" si="13"/>
        <v>0</v>
      </c>
    </row>
    <row r="189" spans="1:9" x14ac:dyDescent="0.35">
      <c r="A189" s="152">
        <f t="shared" si="14"/>
        <v>44621</v>
      </c>
      <c r="B189" s="152">
        <f t="shared" si="15"/>
        <v>44651</v>
      </c>
      <c r="C189" s="469"/>
      <c r="D189" s="195" t="s">
        <v>127</v>
      </c>
      <c r="E189" s="196">
        <f t="shared" si="12"/>
        <v>0</v>
      </c>
      <c r="F189" s="197">
        <v>4.9700000000000001E-2</v>
      </c>
      <c r="G189" s="198">
        <f t="shared" si="16"/>
        <v>1.3289762205070943E-4</v>
      </c>
      <c r="H189" s="199">
        <f t="shared" si="17"/>
        <v>31</v>
      </c>
      <c r="I189" s="200">
        <f t="shared" si="13"/>
        <v>0</v>
      </c>
    </row>
    <row r="190" spans="1:9" x14ac:dyDescent="0.35">
      <c r="A190" s="152">
        <f t="shared" si="14"/>
        <v>44652</v>
      </c>
      <c r="B190" s="152">
        <f t="shared" si="15"/>
        <v>44681</v>
      </c>
      <c r="C190" s="469"/>
      <c r="D190" s="195" t="s">
        <v>128</v>
      </c>
      <c r="E190" s="196">
        <f t="shared" si="12"/>
        <v>0</v>
      </c>
      <c r="F190" s="197">
        <v>5.9700000000000003E-2</v>
      </c>
      <c r="G190" s="198">
        <f t="shared" si="16"/>
        <v>1.5887796003677401E-4</v>
      </c>
      <c r="H190" s="199">
        <f t="shared" si="17"/>
        <v>30</v>
      </c>
      <c r="I190" s="200">
        <f t="shared" si="13"/>
        <v>0</v>
      </c>
    </row>
    <row r="191" spans="1:9" x14ac:dyDescent="0.35">
      <c r="A191" s="152">
        <f t="shared" si="14"/>
        <v>44682</v>
      </c>
      <c r="B191" s="152">
        <f t="shared" si="15"/>
        <v>44712</v>
      </c>
      <c r="C191" s="469"/>
      <c r="D191" s="195" t="s">
        <v>129</v>
      </c>
      <c r="E191" s="196">
        <f t="shared" si="12"/>
        <v>0</v>
      </c>
      <c r="F191" s="197">
        <v>7.0400000000000004E-2</v>
      </c>
      <c r="G191" s="198">
        <f t="shared" si="16"/>
        <v>1.8640753718313086E-4</v>
      </c>
      <c r="H191" s="199">
        <f t="shared" si="17"/>
        <v>31</v>
      </c>
      <c r="I191" s="200">
        <f t="shared" si="13"/>
        <v>0</v>
      </c>
    </row>
    <row r="192" spans="1:9" x14ac:dyDescent="0.35">
      <c r="A192" s="152">
        <f t="shared" si="14"/>
        <v>44713</v>
      </c>
      <c r="B192" s="152">
        <f t="shared" si="15"/>
        <v>44742</v>
      </c>
      <c r="C192" s="469"/>
      <c r="D192" s="195" t="s">
        <v>130</v>
      </c>
      <c r="E192" s="196">
        <f t="shared" si="12"/>
        <v>0</v>
      </c>
      <c r="F192" s="197">
        <v>7.7200000000000005E-2</v>
      </c>
      <c r="G192" s="198">
        <f t="shared" si="16"/>
        <v>2.0376070695582449E-4</v>
      </c>
      <c r="H192" s="199">
        <f t="shared" si="17"/>
        <v>30</v>
      </c>
      <c r="I192" s="200">
        <f t="shared" si="13"/>
        <v>0</v>
      </c>
    </row>
    <row r="193" spans="1:9" x14ac:dyDescent="0.35">
      <c r="A193" s="152">
        <f t="shared" si="14"/>
        <v>44743</v>
      </c>
      <c r="B193" s="152">
        <f t="shared" si="15"/>
        <v>44773</v>
      </c>
      <c r="C193" s="469"/>
      <c r="D193" s="195" t="s">
        <v>131</v>
      </c>
      <c r="E193" s="196">
        <f t="shared" si="12"/>
        <v>0</v>
      </c>
      <c r="F193" s="197">
        <v>9.2999999999999999E-2</v>
      </c>
      <c r="G193" s="198">
        <f t="shared" si="16"/>
        <v>2.4366313088708402E-4</v>
      </c>
      <c r="H193" s="199">
        <f t="shared" si="17"/>
        <v>31</v>
      </c>
      <c r="I193" s="200">
        <f t="shared" si="13"/>
        <v>0</v>
      </c>
    </row>
    <row r="194" spans="1:9" x14ac:dyDescent="0.35">
      <c r="A194" s="152">
        <f t="shared" si="14"/>
        <v>44774</v>
      </c>
      <c r="B194" s="152">
        <f t="shared" si="15"/>
        <v>44804</v>
      </c>
      <c r="C194" s="469"/>
      <c r="D194" s="195" t="s">
        <v>132</v>
      </c>
      <c r="E194" s="196">
        <f t="shared" si="12"/>
        <v>0</v>
      </c>
      <c r="F194" s="197">
        <v>0.1057</v>
      </c>
      <c r="G194" s="198">
        <f t="shared" si="16"/>
        <v>2.7532178056910439E-4</v>
      </c>
      <c r="H194" s="199">
        <f t="shared" si="17"/>
        <v>31</v>
      </c>
      <c r="I194" s="200">
        <f t="shared" si="13"/>
        <v>0</v>
      </c>
    </row>
    <row r="195" spans="1:9" x14ac:dyDescent="0.35">
      <c r="A195" s="152">
        <f t="shared" si="14"/>
        <v>44805</v>
      </c>
      <c r="B195" s="152">
        <f t="shared" si="15"/>
        <v>44834</v>
      </c>
      <c r="C195" s="469"/>
      <c r="D195" s="195" t="s">
        <v>133</v>
      </c>
      <c r="E195" s="196">
        <f t="shared" si="12"/>
        <v>0</v>
      </c>
      <c r="F195" s="197">
        <v>0.1099</v>
      </c>
      <c r="G195" s="198">
        <f t="shared" si="16"/>
        <v>2.857118247707735E-4</v>
      </c>
      <c r="H195" s="199">
        <f t="shared" si="17"/>
        <v>30</v>
      </c>
      <c r="I195" s="200">
        <f t="shared" si="13"/>
        <v>0</v>
      </c>
    </row>
    <row r="196" spans="1:9" x14ac:dyDescent="0.35">
      <c r="A196" s="152">
        <f t="shared" si="14"/>
        <v>44835</v>
      </c>
      <c r="B196" s="152">
        <f t="shared" si="15"/>
        <v>44865</v>
      </c>
      <c r="C196" s="469"/>
      <c r="D196" s="195" t="s">
        <v>134</v>
      </c>
      <c r="E196" s="196">
        <f t="shared" si="12"/>
        <v>0</v>
      </c>
      <c r="F196" s="197">
        <v>0.11600000000000001</v>
      </c>
      <c r="G196" s="198">
        <f t="shared" si="16"/>
        <v>3.0073250947526553E-4</v>
      </c>
      <c r="H196" s="199">
        <f t="shared" si="17"/>
        <v>31</v>
      </c>
      <c r="I196" s="200">
        <f t="shared" si="13"/>
        <v>0</v>
      </c>
    </row>
    <row r="197" spans="1:9" x14ac:dyDescent="0.35">
      <c r="A197" s="152">
        <f t="shared" si="14"/>
        <v>44866</v>
      </c>
      <c r="B197" s="152">
        <f t="shared" si="15"/>
        <v>44895</v>
      </c>
      <c r="C197" s="469"/>
      <c r="D197" s="195" t="s">
        <v>135</v>
      </c>
      <c r="E197" s="196">
        <f t="shared" si="12"/>
        <v>0</v>
      </c>
      <c r="F197" s="197">
        <v>0.1263</v>
      </c>
      <c r="G197" s="198">
        <f t="shared" si="16"/>
        <v>3.2591042348917298E-4</v>
      </c>
      <c r="H197" s="199">
        <f t="shared" si="17"/>
        <v>30</v>
      </c>
      <c r="I197" s="200">
        <f t="shared" si="13"/>
        <v>0</v>
      </c>
    </row>
    <row r="198" spans="1:9" x14ac:dyDescent="0.35">
      <c r="A198" s="152">
        <f t="shared" si="14"/>
        <v>44896</v>
      </c>
      <c r="B198" s="152">
        <f t="shared" si="15"/>
        <v>44926</v>
      </c>
      <c r="C198" s="470"/>
      <c r="D198" s="195" t="s">
        <v>136</v>
      </c>
      <c r="E198" s="196">
        <f t="shared" si="12"/>
        <v>0</v>
      </c>
      <c r="F198" s="197">
        <v>0.13420000000000001</v>
      </c>
      <c r="G198" s="198">
        <f t="shared" si="16"/>
        <v>3.4506652613908173E-4</v>
      </c>
      <c r="H198" s="199">
        <f t="shared" si="17"/>
        <v>31</v>
      </c>
      <c r="I198" s="200">
        <f t="shared" si="13"/>
        <v>0</v>
      </c>
    </row>
    <row r="199" spans="1:9" x14ac:dyDescent="0.35">
      <c r="A199" s="152">
        <f t="shared" si="14"/>
        <v>44927</v>
      </c>
      <c r="B199" s="152">
        <f t="shared" si="15"/>
        <v>44957</v>
      </c>
      <c r="C199" s="468">
        <v>2023</v>
      </c>
      <c r="D199" s="195" t="s">
        <v>125</v>
      </c>
      <c r="E199" s="196">
        <f t="shared" si="12"/>
        <v>0</v>
      </c>
      <c r="F199" s="201">
        <v>0.1391</v>
      </c>
      <c r="G199" s="198">
        <f t="shared" si="16"/>
        <v>3.5688141202028234E-4</v>
      </c>
      <c r="H199" s="199">
        <f t="shared" ref="H199:H215" si="18">_xlfn.DAYS(B199,A199)+1</f>
        <v>31</v>
      </c>
      <c r="I199" s="200">
        <f t="shared" si="13"/>
        <v>0</v>
      </c>
    </row>
    <row r="200" spans="1:9" x14ac:dyDescent="0.35">
      <c r="A200" s="152">
        <f t="shared" si="14"/>
        <v>44958</v>
      </c>
      <c r="B200" s="152">
        <f t="shared" si="15"/>
        <v>44985</v>
      </c>
      <c r="C200" s="471"/>
      <c r="D200" s="195" t="s">
        <v>126</v>
      </c>
      <c r="E200" s="196">
        <f t="shared" ref="E200:E215" si="19">IF(AND(A200&gt;=$E$1,B200&lt;=$E$2),+$E$5,0)</f>
        <v>0</v>
      </c>
      <c r="F200" s="201">
        <v>0.1439</v>
      </c>
      <c r="G200" s="198">
        <f t="shared" ref="G200:G215" si="20">((1+F200)^(1/365)-1)</f>
        <v>3.6840613679478551E-4</v>
      </c>
      <c r="H200" s="199">
        <f t="shared" si="18"/>
        <v>28</v>
      </c>
      <c r="I200" s="200">
        <f t="shared" ref="I200:I215" si="21">IF(AND(OR(A200&gt;=$E$4,B200&lt;=$E$3), AND(A200&gt;=$E$1,B200&lt;=$E$2)),(E200*G200*H200),0)</f>
        <v>0</v>
      </c>
    </row>
    <row r="201" spans="1:9" x14ac:dyDescent="0.35">
      <c r="A201" s="152">
        <f t="shared" ref="A201:A215" si="22">IF(
    AND(
        YEAR(B200)=YEAR(DATE(YEAR($E$1), MONTH($E$1)-1, 1)),
        MONTH(B200)=MONTH(DATE(YEAR($E$1), MONTH($E$1)-1, 1))
    ),
    $E$1,
    IF(
        $E$4="",
        DATE(YEAR(B200), MONTH(B200)+1, 1),
        IF(
            AND(
                YEAR(B200)=YEAR(DATE(YEAR($E$4), MONTH($E$4)-1, 1)),
                MONTH(B200)=MONTH(DATE(YEAR($E$4), MONTH($E$4)-1, 1))
            ),
            $E$4,
            DATE(YEAR(B200), MONTH(B200)+1, 1)
        )
    )
)</f>
        <v>44986</v>
      </c>
      <c r="B201" s="152">
        <f t="shared" ref="B201:B215" si="23">IF(
AND(
YEAR(B200)=YEAR(DATE(YEAR($E$2),MONTH($E$2)-1,1)),
MONTH(B200)=MONTH(DATE(YEAR($E$2),MONTH($E$2)-1,1))
),
$E$2,
IF(
$E$3="",
EOMONTH(B200,1),
IF(
AND(
YEAR(B200)=YEAR(DATE(YEAR($E$3),MONTH($E$3)-1,1)),
MONTH(B200)=MONTH(DATE(YEAR($E$3),MONTH($E$3)-1,1))
),
$E$3,
EOMONTH(B200,1)
)))</f>
        <v>45016</v>
      </c>
      <c r="C201" s="471"/>
      <c r="D201" s="195" t="s">
        <v>127</v>
      </c>
      <c r="E201" s="196">
        <f t="shared" si="19"/>
        <v>0</v>
      </c>
      <c r="F201" s="201">
        <v>0.12529999999999999</v>
      </c>
      <c r="G201" s="198">
        <f t="shared" si="20"/>
        <v>3.2347605168414617E-4</v>
      </c>
      <c r="H201" s="199">
        <f t="shared" si="18"/>
        <v>31</v>
      </c>
      <c r="I201" s="200">
        <f t="shared" si="21"/>
        <v>0</v>
      </c>
    </row>
    <row r="202" spans="1:9" x14ac:dyDescent="0.35">
      <c r="A202" s="152">
        <f t="shared" si="22"/>
        <v>45017</v>
      </c>
      <c r="B202" s="152">
        <f t="shared" si="23"/>
        <v>45046</v>
      </c>
      <c r="C202" s="471"/>
      <c r="D202" s="195" t="s">
        <v>128</v>
      </c>
      <c r="E202" s="196">
        <f t="shared" si="19"/>
        <v>0</v>
      </c>
      <c r="F202" s="201">
        <v>0.12529999999999999</v>
      </c>
      <c r="G202" s="198">
        <f t="shared" si="20"/>
        <v>3.2347605168414617E-4</v>
      </c>
      <c r="H202" s="199">
        <f t="shared" si="18"/>
        <v>30</v>
      </c>
      <c r="I202" s="200">
        <f t="shared" si="21"/>
        <v>0</v>
      </c>
    </row>
    <row r="203" spans="1:9" x14ac:dyDescent="0.35">
      <c r="A203" s="152">
        <f t="shared" si="22"/>
        <v>45047</v>
      </c>
      <c r="B203" s="152">
        <f t="shared" si="23"/>
        <v>45077</v>
      </c>
      <c r="C203" s="471"/>
      <c r="D203" s="195" t="s">
        <v>129</v>
      </c>
      <c r="E203" s="196">
        <f t="shared" si="19"/>
        <v>0</v>
      </c>
      <c r="F203" s="201">
        <v>0.12570000000000001</v>
      </c>
      <c r="G203" s="198">
        <f t="shared" si="20"/>
        <v>3.2445005919234937E-4</v>
      </c>
      <c r="H203" s="199">
        <f t="shared" si="18"/>
        <v>31</v>
      </c>
      <c r="I203" s="200">
        <f t="shared" si="21"/>
        <v>0</v>
      </c>
    </row>
    <row r="204" spans="1:9" x14ac:dyDescent="0.35">
      <c r="A204" s="152">
        <f t="shared" si="22"/>
        <v>45078</v>
      </c>
      <c r="B204" s="152">
        <f t="shared" si="23"/>
        <v>45107</v>
      </c>
      <c r="C204" s="471"/>
      <c r="D204" s="195" t="s">
        <v>130</v>
      </c>
      <c r="E204" s="196">
        <f t="shared" si="19"/>
        <v>0</v>
      </c>
      <c r="F204" s="201">
        <v>0.13020000000000001</v>
      </c>
      <c r="G204" s="198">
        <f t="shared" si="20"/>
        <v>3.3538392235188397E-4</v>
      </c>
      <c r="H204" s="199">
        <f t="shared" si="18"/>
        <v>30</v>
      </c>
      <c r="I204" s="200">
        <f t="shared" si="21"/>
        <v>0</v>
      </c>
    </row>
    <row r="205" spans="1:9" x14ac:dyDescent="0.35">
      <c r="A205" s="152">
        <f t="shared" si="22"/>
        <v>45108</v>
      </c>
      <c r="B205" s="152">
        <f t="shared" si="23"/>
        <v>45138</v>
      </c>
      <c r="C205" s="471"/>
      <c r="D205" s="195" t="s">
        <v>131</v>
      </c>
      <c r="E205" s="196">
        <f t="shared" si="19"/>
        <v>0</v>
      </c>
      <c r="F205" s="201">
        <v>0.1358</v>
      </c>
      <c r="G205" s="198">
        <f t="shared" si="20"/>
        <v>3.4893003579394843E-4</v>
      </c>
      <c r="H205" s="199">
        <f t="shared" si="18"/>
        <v>31</v>
      </c>
      <c r="I205" s="200">
        <f t="shared" si="21"/>
        <v>0</v>
      </c>
    </row>
    <row r="206" spans="1:9" x14ac:dyDescent="0.35">
      <c r="A206" s="152">
        <f t="shared" si="22"/>
        <v>45139</v>
      </c>
      <c r="B206" s="152">
        <f t="shared" si="23"/>
        <v>45169</v>
      </c>
      <c r="C206" s="471"/>
      <c r="D206" s="195" t="s">
        <v>132</v>
      </c>
      <c r="E206" s="196">
        <f t="shared" si="19"/>
        <v>0</v>
      </c>
      <c r="F206" s="201">
        <v>0.1371</v>
      </c>
      <c r="G206" s="198">
        <f t="shared" si="20"/>
        <v>3.5206514298891101E-4</v>
      </c>
      <c r="H206" s="199">
        <f t="shared" si="18"/>
        <v>31</v>
      </c>
      <c r="I206" s="200">
        <f t="shared" si="21"/>
        <v>0</v>
      </c>
    </row>
    <row r="207" spans="1:9" x14ac:dyDescent="0.35">
      <c r="A207" s="152">
        <f t="shared" si="22"/>
        <v>45170</v>
      </c>
      <c r="B207" s="152">
        <f t="shared" si="23"/>
        <v>45199</v>
      </c>
      <c r="C207" s="471"/>
      <c r="D207" s="195" t="s">
        <v>133</v>
      </c>
      <c r="E207" s="196">
        <f t="shared" si="19"/>
        <v>0</v>
      </c>
      <c r="F207" s="201">
        <v>0.13070000000000001</v>
      </c>
      <c r="G207" s="198">
        <f t="shared" si="20"/>
        <v>3.3659611510361565E-4</v>
      </c>
      <c r="H207" s="199">
        <f t="shared" si="18"/>
        <v>30</v>
      </c>
      <c r="I207" s="200">
        <f t="shared" si="21"/>
        <v>0</v>
      </c>
    </row>
    <row r="208" spans="1:9" x14ac:dyDescent="0.35">
      <c r="A208" s="152">
        <f t="shared" si="22"/>
        <v>45200</v>
      </c>
      <c r="B208" s="152">
        <f t="shared" si="23"/>
        <v>45230</v>
      </c>
      <c r="C208" s="471"/>
      <c r="D208" s="195" t="s">
        <v>134</v>
      </c>
      <c r="E208" s="196">
        <f t="shared" si="19"/>
        <v>0</v>
      </c>
      <c r="F208" s="201">
        <v>0.13089999999999999</v>
      </c>
      <c r="G208" s="198">
        <f t="shared" si="20"/>
        <v>3.3708084253203374E-4</v>
      </c>
      <c r="H208" s="199">
        <f t="shared" si="18"/>
        <v>31</v>
      </c>
      <c r="I208" s="200">
        <f t="shared" si="21"/>
        <v>0</v>
      </c>
    </row>
    <row r="209" spans="1:9" x14ac:dyDescent="0.35">
      <c r="A209" s="152">
        <f t="shared" si="22"/>
        <v>45231</v>
      </c>
      <c r="B209" s="152">
        <f t="shared" si="23"/>
        <v>45260</v>
      </c>
      <c r="C209" s="471"/>
      <c r="D209" s="195" t="s">
        <v>135</v>
      </c>
      <c r="E209" s="196">
        <f t="shared" si="19"/>
        <v>0</v>
      </c>
      <c r="F209" s="201">
        <v>0.12759999999999999</v>
      </c>
      <c r="G209" s="198">
        <f t="shared" si="20"/>
        <v>3.2907188640884932E-4</v>
      </c>
      <c r="H209" s="199">
        <f t="shared" si="18"/>
        <v>30</v>
      </c>
      <c r="I209" s="200">
        <f t="shared" si="21"/>
        <v>0</v>
      </c>
    </row>
    <row r="210" spans="1:9" x14ac:dyDescent="0.35">
      <c r="A210" s="152">
        <f t="shared" si="22"/>
        <v>45261</v>
      </c>
      <c r="B210" s="152">
        <f t="shared" si="23"/>
        <v>45291</v>
      </c>
      <c r="C210" s="472"/>
      <c r="D210" s="195" t="s">
        <v>136</v>
      </c>
      <c r="E210" s="196">
        <f t="shared" si="19"/>
        <v>0</v>
      </c>
      <c r="F210" s="197">
        <v>0.1263</v>
      </c>
      <c r="G210" s="198">
        <f t="shared" si="20"/>
        <v>3.2591042348917298E-4</v>
      </c>
      <c r="H210" s="199">
        <f t="shared" si="18"/>
        <v>31</v>
      </c>
      <c r="I210" s="200">
        <f t="shared" si="21"/>
        <v>0</v>
      </c>
    </row>
    <row r="211" spans="1:9" x14ac:dyDescent="0.35">
      <c r="A211" s="152">
        <f t="shared" si="22"/>
        <v>45292</v>
      </c>
      <c r="B211" s="152">
        <f t="shared" si="23"/>
        <v>45322</v>
      </c>
      <c r="C211" s="468">
        <v>2024</v>
      </c>
      <c r="D211" s="195" t="s">
        <v>125</v>
      </c>
      <c r="E211" s="196">
        <f t="shared" si="19"/>
        <v>0</v>
      </c>
      <c r="F211" s="201">
        <v>0.1162</v>
      </c>
      <c r="G211" s="198">
        <f t="shared" si="20"/>
        <v>3.0122360357642819E-4</v>
      </c>
      <c r="H211" s="199">
        <f t="shared" si="18"/>
        <v>31</v>
      </c>
      <c r="I211" s="200">
        <f t="shared" si="21"/>
        <v>0</v>
      </c>
    </row>
    <row r="212" spans="1:9" x14ac:dyDescent="0.35">
      <c r="A212" s="152">
        <f t="shared" si="22"/>
        <v>45323</v>
      </c>
      <c r="B212" s="152">
        <f t="shared" si="23"/>
        <v>45351</v>
      </c>
      <c r="C212" s="471"/>
      <c r="D212" s="195" t="s">
        <v>126</v>
      </c>
      <c r="E212" s="196">
        <f t="shared" si="19"/>
        <v>0</v>
      </c>
      <c r="F212" s="201">
        <v>0.11070000000000001</v>
      </c>
      <c r="G212" s="198">
        <f t="shared" si="20"/>
        <v>2.8768643460441723E-4</v>
      </c>
      <c r="H212" s="199">
        <f t="shared" si="18"/>
        <v>29</v>
      </c>
      <c r="I212" s="200">
        <f t="shared" si="21"/>
        <v>0</v>
      </c>
    </row>
    <row r="213" spans="1:9" x14ac:dyDescent="0.35">
      <c r="A213" s="152">
        <f t="shared" si="22"/>
        <v>45352</v>
      </c>
      <c r="B213" s="152">
        <f t="shared" si="23"/>
        <v>45382</v>
      </c>
      <c r="C213" s="471"/>
      <c r="D213" s="195" t="s">
        <v>127</v>
      </c>
      <c r="E213" s="196">
        <f t="shared" si="19"/>
        <v>0</v>
      </c>
      <c r="F213" s="201">
        <v>0.1085</v>
      </c>
      <c r="G213" s="198">
        <f t="shared" si="20"/>
        <v>2.8225283974103732E-4</v>
      </c>
      <c r="H213" s="199">
        <f t="shared" si="18"/>
        <v>31</v>
      </c>
      <c r="I213" s="200">
        <f t="shared" si="21"/>
        <v>0</v>
      </c>
    </row>
    <row r="214" spans="1:9" x14ac:dyDescent="0.35">
      <c r="A214" s="152">
        <f t="shared" si="22"/>
        <v>45383</v>
      </c>
      <c r="B214" s="152">
        <f t="shared" si="23"/>
        <v>45412</v>
      </c>
      <c r="C214" s="471"/>
      <c r="D214" s="195" t="s">
        <v>128</v>
      </c>
      <c r="E214" s="196">
        <f t="shared" si="19"/>
        <v>0</v>
      </c>
      <c r="F214" s="201">
        <v>0.1056</v>
      </c>
      <c r="G214" s="198">
        <f t="shared" si="20"/>
        <v>2.7507391913039747E-4</v>
      </c>
      <c r="H214" s="199">
        <f t="shared" si="18"/>
        <v>30</v>
      </c>
      <c r="I214" s="200">
        <f t="shared" si="21"/>
        <v>0</v>
      </c>
    </row>
    <row r="215" spans="1:9" x14ac:dyDescent="0.35">
      <c r="A215" s="152">
        <f t="shared" si="22"/>
        <v>45413</v>
      </c>
      <c r="B215" s="152">
        <f t="shared" si="23"/>
        <v>45443</v>
      </c>
      <c r="C215" s="471"/>
      <c r="D215" s="195" t="s">
        <v>129</v>
      </c>
      <c r="E215" s="196">
        <f t="shared" si="19"/>
        <v>0</v>
      </c>
      <c r="F215" s="201">
        <v>0.1024</v>
      </c>
      <c r="G215" s="198">
        <f t="shared" si="20"/>
        <v>2.6713052582061358E-4</v>
      </c>
      <c r="H215" s="199">
        <f t="shared" si="18"/>
        <v>31</v>
      </c>
      <c r="I215" s="200">
        <f t="shared" si="21"/>
        <v>0</v>
      </c>
    </row>
    <row r="216" spans="1:9" x14ac:dyDescent="0.35">
      <c r="A216" s="202"/>
      <c r="B216" s="202"/>
      <c r="C216" s="203"/>
      <c r="D216" s="202"/>
      <c r="E216" s="204"/>
      <c r="F216" s="205"/>
      <c r="G216" s="206"/>
      <c r="H216" s="207"/>
      <c r="I216" s="204"/>
    </row>
    <row r="217" spans="1:9" x14ac:dyDescent="0.35">
      <c r="A217" s="465" t="s">
        <v>137</v>
      </c>
      <c r="B217" s="466"/>
      <c r="C217" s="466"/>
      <c r="D217" s="466"/>
      <c r="E217" s="466"/>
      <c r="F217" s="466"/>
      <c r="G217" s="466"/>
      <c r="H217" s="467"/>
      <c r="I217" s="208">
        <f>SUM(I7:I216)</f>
        <v>6336035.8531691702</v>
      </c>
    </row>
  </sheetData>
  <mergeCells count="25">
    <mergeCell ref="A1:D1"/>
    <mergeCell ref="A2:D2"/>
    <mergeCell ref="A3:D3"/>
    <mergeCell ref="A4:D4"/>
    <mergeCell ref="F2:J2"/>
    <mergeCell ref="C139:C150"/>
    <mergeCell ref="C151:C162"/>
    <mergeCell ref="C163:C174"/>
    <mergeCell ref="C127:C138"/>
    <mergeCell ref="A5:D5"/>
    <mergeCell ref="C7:C18"/>
    <mergeCell ref="C19:C30"/>
    <mergeCell ref="C31:C42"/>
    <mergeCell ref="C43:C54"/>
    <mergeCell ref="C55:C66"/>
    <mergeCell ref="C67:C78"/>
    <mergeCell ref="C79:C90"/>
    <mergeCell ref="C91:C102"/>
    <mergeCell ref="C103:C114"/>
    <mergeCell ref="C115:C126"/>
    <mergeCell ref="A217:H217"/>
    <mergeCell ref="C175:C186"/>
    <mergeCell ref="C187:C198"/>
    <mergeCell ref="C199:C210"/>
    <mergeCell ref="C211:C2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2"/>
  <sheetViews>
    <sheetView zoomScale="140" zoomScaleNormal="140" workbookViewId="0">
      <pane ySplit="6" topLeftCell="A217" activePane="bottomLeft" state="frozen"/>
      <selection pane="bottomLeft" activeCell="F232" sqref="F232"/>
    </sheetView>
  </sheetViews>
  <sheetFormatPr baseColWidth="10" defaultColWidth="11.54296875" defaultRowHeight="14.5" x14ac:dyDescent="0.35"/>
  <cols>
    <col min="1" max="1" width="7.54296875" style="74" bestFit="1" customWidth="1"/>
    <col min="2" max="2" width="7.54296875" style="210" bestFit="1" customWidth="1"/>
    <col min="3" max="3" width="5.1796875" style="210" bestFit="1" customWidth="1"/>
    <col min="4" max="4" width="11.453125" style="210" bestFit="1" customWidth="1"/>
    <col min="5" max="5" width="13.1796875" style="210" bestFit="1" customWidth="1"/>
    <col min="6" max="6" width="11.1796875" style="210" customWidth="1"/>
    <col min="7" max="7" width="9.7265625" style="210" bestFit="1" customWidth="1"/>
    <col min="8" max="8" width="10.453125" style="210" customWidth="1"/>
    <col min="9" max="9" width="5.7265625" style="210" customWidth="1"/>
    <col min="10" max="10" width="13" style="210" customWidth="1"/>
    <col min="11" max="11" width="28.54296875" style="74" customWidth="1"/>
    <col min="13" max="13" width="16.54296875" customWidth="1"/>
  </cols>
  <sheetData>
    <row r="1" spans="1:18" ht="15" thickBot="1" x14ac:dyDescent="0.4">
      <c r="A1" s="477" t="s">
        <v>116</v>
      </c>
      <c r="B1" s="477"/>
      <c r="C1" s="477"/>
      <c r="D1" s="477"/>
      <c r="E1" s="239">
        <f>SABANA!C14+DAY(1)</f>
        <v>44120</v>
      </c>
      <c r="F1" s="210" t="s">
        <v>138</v>
      </c>
      <c r="H1" s="240"/>
      <c r="I1" s="211" t="s">
        <v>139</v>
      </c>
      <c r="J1" s="212">
        <f>EDATE(E1, 10)</f>
        <v>44424</v>
      </c>
      <c r="K1" s="74" t="s">
        <v>140</v>
      </c>
    </row>
    <row r="2" spans="1:18" ht="15" thickBot="1" x14ac:dyDescent="0.4">
      <c r="A2" s="477" t="s">
        <v>141</v>
      </c>
      <c r="B2" s="477"/>
      <c r="C2" s="477"/>
      <c r="D2" s="477"/>
      <c r="E2" s="239">
        <f>SABANA!C18-DAY(1)</f>
        <v>44634</v>
      </c>
      <c r="F2" s="77" t="s">
        <v>142</v>
      </c>
      <c r="H2" s="241"/>
    </row>
    <row r="3" spans="1:18" ht="15" thickBot="1" x14ac:dyDescent="0.4">
      <c r="A3" s="477" t="s">
        <v>119</v>
      </c>
      <c r="B3" s="477"/>
      <c r="C3" s="477"/>
      <c r="D3" s="477"/>
      <c r="E3" s="209">
        <f>IF(ISBLANK(SABANA!C25 ),"",SABANA!C25 )</f>
        <v>44301</v>
      </c>
      <c r="F3" s="77"/>
      <c r="H3" s="240"/>
    </row>
    <row r="4" spans="1:18" ht="15" thickBot="1" x14ac:dyDescent="0.4">
      <c r="A4" s="478" t="s">
        <v>143</v>
      </c>
      <c r="B4" s="478"/>
      <c r="C4" s="478"/>
      <c r="D4" s="478"/>
      <c r="E4" s="209">
        <f>IF(ISBLANK(SABANA!D25),"",SABANA!D25)</f>
        <v>44392</v>
      </c>
      <c r="F4" s="77"/>
      <c r="H4" s="240"/>
    </row>
    <row r="5" spans="1:18" ht="30.75" customHeight="1" thickBot="1" x14ac:dyDescent="0.4">
      <c r="A5" s="487" t="s">
        <v>120</v>
      </c>
      <c r="B5" s="488"/>
      <c r="C5" s="488"/>
      <c r="D5" s="489"/>
      <c r="E5" s="242">
        <f>'CAP ANT INDEX '!M472</f>
        <v>577226873.31355345</v>
      </c>
      <c r="F5" s="213"/>
      <c r="H5" s="240"/>
    </row>
    <row r="6" spans="1:18" s="1" customFormat="1" ht="30.5" thickBot="1" x14ac:dyDescent="0.4">
      <c r="A6" s="251" t="s">
        <v>85</v>
      </c>
      <c r="B6" s="252" t="s">
        <v>86</v>
      </c>
      <c r="C6" s="252" t="s">
        <v>66</v>
      </c>
      <c r="D6" s="252" t="s">
        <v>87</v>
      </c>
      <c r="E6" s="252" t="s">
        <v>89</v>
      </c>
      <c r="F6" s="252" t="s">
        <v>196</v>
      </c>
      <c r="G6" s="252" t="s">
        <v>144</v>
      </c>
      <c r="H6" s="252" t="s">
        <v>122</v>
      </c>
      <c r="I6" s="252" t="s">
        <v>123</v>
      </c>
      <c r="J6" s="253" t="s">
        <v>124</v>
      </c>
      <c r="K6" s="107"/>
    </row>
    <row r="7" spans="1:18" x14ac:dyDescent="0.35">
      <c r="A7" s="243">
        <f>IF(
    AND(
        YEAR(B7)=YEAR(DATE(YEAR($E$1),MONTH($E$1),1)),
        MONTH(B7)=MONTH(DATE(YEAR($E$1),MONTH($E$1),1))
    ),
    $E$1,
    IF(
        AND(
            YEAR(B7)=YEAR(DATE(YEAR($J$1),MONTH($J$1),1)),
            MONTH(B7)=MONTH(DATE(YEAR($J$1),MONTH($J$1),1))
        ),
        $J$1,
        IF(
            $E$4="",
            DATE(YEAR(B7),MONTH(B7),1),
            IF(
                AND(
                    YEAR(B7)=YEAR(DATE(YEAR($E$4),MONTH($E$4),1)),
                    MONTH(B7)=MONTH(DATE(YEAR($E$4),MONTH($E$4),1))
                ),
                $E$4,
                DATE(YEAR(B7),MONTH(B7),1)
            )
        )
    )
)</f>
        <v>39083</v>
      </c>
      <c r="B7" s="243">
        <v>39113</v>
      </c>
      <c r="C7" s="438">
        <v>2007</v>
      </c>
      <c r="D7" s="244" t="s">
        <v>125</v>
      </c>
      <c r="E7" s="245">
        <f>IF(AND(OR(A7&gt;=$E$4,B7&lt;=$E$3), AND(A7&gt;=$E$1,B7&lt;=$E$2)),+$E$5,0)</f>
        <v>0</v>
      </c>
      <c r="F7" s="246">
        <v>0.13830000000000001</v>
      </c>
      <c r="G7" s="247">
        <f>F7*1.5</f>
        <v>0.20745000000000002</v>
      </c>
      <c r="H7" s="248">
        <f>((1+G7)^(1/365)-1)</f>
        <v>5.1660105764761433E-4</v>
      </c>
      <c r="I7" s="249">
        <f t="shared" ref="I7:I38" si="0">_xlfn.DAYS(B7,A7)+1</f>
        <v>31</v>
      </c>
      <c r="J7" s="250">
        <f>IF(AND(OR(A7&gt;=$E$4,B7&lt;=$E$3), AND(A7&gt;=$E$1,B7&lt;=$E$2),OR(A7&lt;$E$1,B7&gt;$J$1)),(E7*H7*I7),0)</f>
        <v>0</v>
      </c>
    </row>
    <row r="8" spans="1:18" x14ac:dyDescent="0.35">
      <c r="A8" s="152">
        <f>IF(
    AND(
        YEAR(B7)=YEAR(DATE(YEAR($E$1),MONTH($E$1)-1,1)),
        MONTH(B7)=MONTH(DATE(YEAR($E$1),MONTH($E$1)-1,1))
    ),
    $E$1,
    IF(
        AND(
            YEAR(B7)=YEAR(DATE(YEAR($J$1),MONTH($J$1)-1,1)),
            MONTH(B7)=MONTH(DATE(YEAR($J$1),MONTH($J$1)-1,1))
        ),
        $J$1,
        IF(
            $E$4="",
            DATE(YEAR(B7),MONTH(B7)+1,1),
            IF(
                AND(
                    YEAR(B7)=YEAR(DATE(YEAR($E$4),MONTH($E$4)-1,1)),
                    MONTH(B7)=MONTH(DATE(YEAR($E$4),MONTH($E$4)-1,1))
                ),
                $E$4,
                DATE(YEAR(B7),MONTH(B7)+1,1)
            )
        )
    )
)</f>
        <v>39114</v>
      </c>
      <c r="B8" s="152">
        <f>IF(
AND(
YEAR(B7)=YEAR(DATE(YEAR($E$2),MONTH($E$2)-1,1)),
MONTH(B7)=MONTH(DATE(YEAR($E$2),MONTH($E$2)-1,1))
),
$E$2,
IF(
$E$3="",
EOMONTH(B7,1),
IF(
AND(
YEAR(B7)=YEAR(DATE(YEAR($E$3),MONTH($E$3)-1,1)),
MONTH(B7)=MONTH(DATE(YEAR($E$3),MONTH($E$3)-1,1))
),
$E$3,
EOMONTH(B7,1)
)))</f>
        <v>39141</v>
      </c>
      <c r="C8" s="438"/>
      <c r="D8" s="214" t="s">
        <v>126</v>
      </c>
      <c r="E8" s="155">
        <f t="shared" ref="E8:E71" si="1">IF(AND(OR(A8&gt;=$E$4,B8&lt;=$E$3), AND(A8&gt;=$E$1,B8&lt;=$E$2)),+$E$5,0)</f>
        <v>0</v>
      </c>
      <c r="F8" s="215">
        <v>0.13830000000000001</v>
      </c>
      <c r="G8" s="216">
        <f t="shared" ref="G8:G71" si="2">F8*1.5</f>
        <v>0.20745000000000002</v>
      </c>
      <c r="H8" s="217">
        <f t="shared" ref="H8:H71" si="3">((1+G8)^(1/365)-1)</f>
        <v>5.1660105764761433E-4</v>
      </c>
      <c r="I8" s="218">
        <f t="shared" si="0"/>
        <v>28</v>
      </c>
      <c r="J8" s="219">
        <f t="shared" ref="J8:J71" si="4">IF(AND(OR(A8&gt;=$E$4,B8&lt;=$E$3), AND(A8&gt;=$E$1,B8&lt;=$E$2),OR(A8&lt;$E$1,B8&gt;$J$1)),(E8*H8*I8),0)</f>
        <v>0</v>
      </c>
    </row>
    <row r="9" spans="1:18" x14ac:dyDescent="0.35">
      <c r="A9" s="152">
        <f t="shared" ref="A9:A72" si="5">IF(
    AND(
        YEAR(B8)=YEAR(DATE(YEAR($E$1),MONTH($E$1)-1,1)),
        MONTH(B8)=MONTH(DATE(YEAR($E$1),MONTH($E$1)-1,1))
    ),
    $E$1,
    IF(
        AND(
            YEAR(B8)=YEAR(DATE(YEAR($J$1),MONTH($J$1)-1,1)),
            MONTH(B8)=MONTH(DATE(YEAR($J$1),MONTH($J$1)-1,1))
        ),
        $J$1,
        IF(
            $E$4="",
            DATE(YEAR(B8),MONTH(B8)+1,1),
            IF(
                AND(
                    YEAR(B8)=YEAR(DATE(YEAR($E$4),MONTH($E$4)-1,1)),
                    MONTH(B8)=MONTH(DATE(YEAR($E$4),MONTH($E$4)-1,1))
                ),
                $E$4,
                DATE(YEAR(B8),MONTH(B8)+1,1)
            )
        )
    )
)</f>
        <v>39142</v>
      </c>
      <c r="B9" s="152">
        <f t="shared" ref="B9:B72" si="6">IF(
AND(
YEAR(B8)=YEAR(DATE(YEAR($E$2),MONTH($E$2)-1,1)),
MONTH(B8)=MONTH(DATE(YEAR($E$2),MONTH($E$2)-1,1))
),
$E$2,
IF(
$E$3="",
EOMONTH(B8,1),
IF(
AND(
YEAR(B8)=YEAR(DATE(YEAR($E$3),MONTH($E$3)-1,1)),
MONTH(B8)=MONTH(DATE(YEAR($E$3),MONTH($E$3)-1,1))
),
$E$3,
EOMONTH(B8,1)
)))</f>
        <v>39172</v>
      </c>
      <c r="C9" s="438"/>
      <c r="D9" s="214" t="s">
        <v>127</v>
      </c>
      <c r="E9" s="155">
        <f t="shared" si="1"/>
        <v>0</v>
      </c>
      <c r="F9" s="215">
        <v>0.13830000000000001</v>
      </c>
      <c r="G9" s="216">
        <f t="shared" si="2"/>
        <v>0.20745000000000002</v>
      </c>
      <c r="H9" s="217">
        <f t="shared" si="3"/>
        <v>5.1660105764761433E-4</v>
      </c>
      <c r="I9" s="218">
        <f t="shared" si="0"/>
        <v>31</v>
      </c>
      <c r="J9" s="219">
        <f t="shared" si="4"/>
        <v>0</v>
      </c>
    </row>
    <row r="10" spans="1:18" x14ac:dyDescent="0.35">
      <c r="A10" s="152">
        <f t="shared" si="5"/>
        <v>39173</v>
      </c>
      <c r="B10" s="152">
        <f t="shared" si="6"/>
        <v>39202</v>
      </c>
      <c r="C10" s="438"/>
      <c r="D10" s="214" t="s">
        <v>128</v>
      </c>
      <c r="E10" s="155">
        <f t="shared" si="1"/>
        <v>0</v>
      </c>
      <c r="F10" s="215">
        <v>0.16750000000000001</v>
      </c>
      <c r="G10" s="216">
        <f t="shared" si="2"/>
        <v>0.25125000000000003</v>
      </c>
      <c r="H10" s="217">
        <f t="shared" si="3"/>
        <v>6.1427914466394284E-4</v>
      </c>
      <c r="I10" s="218">
        <f t="shared" si="0"/>
        <v>30</v>
      </c>
      <c r="J10" s="219">
        <f t="shared" si="4"/>
        <v>0</v>
      </c>
    </row>
    <row r="11" spans="1:18" x14ac:dyDescent="0.35">
      <c r="A11" s="152">
        <f t="shared" si="5"/>
        <v>39203</v>
      </c>
      <c r="B11" s="152">
        <f t="shared" si="6"/>
        <v>39233</v>
      </c>
      <c r="C11" s="438"/>
      <c r="D11" s="214" t="s">
        <v>129</v>
      </c>
      <c r="E11" s="155">
        <f t="shared" si="1"/>
        <v>0</v>
      </c>
      <c r="F11" s="215">
        <v>0.16750000000000001</v>
      </c>
      <c r="G11" s="216">
        <f t="shared" si="2"/>
        <v>0.25125000000000003</v>
      </c>
      <c r="H11" s="217">
        <f t="shared" si="3"/>
        <v>6.1427914466394284E-4</v>
      </c>
      <c r="I11" s="218">
        <f t="shared" si="0"/>
        <v>31</v>
      </c>
      <c r="J11" s="219">
        <f t="shared" si="4"/>
        <v>0</v>
      </c>
    </row>
    <row r="12" spans="1:18" x14ac:dyDescent="0.35">
      <c r="A12" s="152">
        <f t="shared" si="5"/>
        <v>39234</v>
      </c>
      <c r="B12" s="152">
        <f t="shared" si="6"/>
        <v>39263</v>
      </c>
      <c r="C12" s="438"/>
      <c r="D12" s="214" t="s">
        <v>130</v>
      </c>
      <c r="E12" s="155">
        <f t="shared" si="1"/>
        <v>0</v>
      </c>
      <c r="F12" s="215">
        <v>0.16750000000000001</v>
      </c>
      <c r="G12" s="216">
        <f t="shared" si="2"/>
        <v>0.25125000000000003</v>
      </c>
      <c r="H12" s="217">
        <f t="shared" si="3"/>
        <v>6.1427914466394284E-4</v>
      </c>
      <c r="I12" s="218">
        <f t="shared" si="0"/>
        <v>30</v>
      </c>
      <c r="J12" s="219">
        <f t="shared" si="4"/>
        <v>0</v>
      </c>
    </row>
    <row r="13" spans="1:18" x14ac:dyDescent="0.35">
      <c r="A13" s="152">
        <f t="shared" si="5"/>
        <v>39264</v>
      </c>
      <c r="B13" s="152">
        <f t="shared" si="6"/>
        <v>39294</v>
      </c>
      <c r="C13" s="438"/>
      <c r="D13" s="214" t="s">
        <v>131</v>
      </c>
      <c r="E13" s="155">
        <f t="shared" si="1"/>
        <v>0</v>
      </c>
      <c r="F13" s="215">
        <v>0.19009999999999999</v>
      </c>
      <c r="G13" s="216">
        <f t="shared" si="2"/>
        <v>0.28515000000000001</v>
      </c>
      <c r="H13" s="217">
        <f t="shared" si="3"/>
        <v>6.8756624634369601E-4</v>
      </c>
      <c r="I13" s="218">
        <f t="shared" si="0"/>
        <v>31</v>
      </c>
      <c r="J13" s="219">
        <f t="shared" si="4"/>
        <v>0</v>
      </c>
    </row>
    <row r="14" spans="1:18" x14ac:dyDescent="0.35">
      <c r="A14" s="152">
        <f t="shared" si="5"/>
        <v>39295</v>
      </c>
      <c r="B14" s="152">
        <f t="shared" si="6"/>
        <v>39325</v>
      </c>
      <c r="C14" s="438"/>
      <c r="D14" s="214" t="s">
        <v>132</v>
      </c>
      <c r="E14" s="155">
        <f t="shared" si="1"/>
        <v>0</v>
      </c>
      <c r="F14" s="215">
        <v>0.19009999999999999</v>
      </c>
      <c r="G14" s="216">
        <f t="shared" si="2"/>
        <v>0.28515000000000001</v>
      </c>
      <c r="H14" s="217">
        <f t="shared" si="3"/>
        <v>6.8756624634369601E-4</v>
      </c>
      <c r="I14" s="218">
        <f t="shared" si="0"/>
        <v>31</v>
      </c>
      <c r="J14" s="219">
        <f t="shared" si="4"/>
        <v>0</v>
      </c>
      <c r="L14" s="3"/>
      <c r="M14" s="3"/>
      <c r="N14" s="3"/>
      <c r="O14" s="3"/>
      <c r="P14" s="3"/>
      <c r="Q14" s="3"/>
      <c r="R14" s="3"/>
    </row>
    <row r="15" spans="1:18" x14ac:dyDescent="0.35">
      <c r="A15" s="152">
        <f t="shared" si="5"/>
        <v>39326</v>
      </c>
      <c r="B15" s="152">
        <f t="shared" si="6"/>
        <v>39355</v>
      </c>
      <c r="C15" s="438"/>
      <c r="D15" s="214" t="s">
        <v>133</v>
      </c>
      <c r="E15" s="155">
        <f t="shared" si="1"/>
        <v>0</v>
      </c>
      <c r="F15" s="215">
        <v>0.19009999999999999</v>
      </c>
      <c r="G15" s="216">
        <f t="shared" si="2"/>
        <v>0.28515000000000001</v>
      </c>
      <c r="H15" s="217">
        <f t="shared" si="3"/>
        <v>6.8756624634369601E-4</v>
      </c>
      <c r="I15" s="218">
        <f t="shared" si="0"/>
        <v>30</v>
      </c>
      <c r="J15" s="219">
        <f t="shared" si="4"/>
        <v>0</v>
      </c>
      <c r="L15" s="3"/>
      <c r="M15" s="3"/>
      <c r="N15" s="3"/>
      <c r="O15" s="3"/>
      <c r="P15" s="3"/>
      <c r="Q15" s="3"/>
      <c r="R15" s="3"/>
    </row>
    <row r="16" spans="1:18" x14ac:dyDescent="0.35">
      <c r="A16" s="152">
        <f t="shared" si="5"/>
        <v>39356</v>
      </c>
      <c r="B16" s="152">
        <f t="shared" si="6"/>
        <v>39386</v>
      </c>
      <c r="C16" s="438"/>
      <c r="D16" s="214" t="s">
        <v>134</v>
      </c>
      <c r="E16" s="155">
        <f t="shared" si="1"/>
        <v>0</v>
      </c>
      <c r="F16" s="215">
        <v>0.21260000000000001</v>
      </c>
      <c r="G16" s="216">
        <f t="shared" si="2"/>
        <v>0.31890000000000002</v>
      </c>
      <c r="H16" s="217">
        <f t="shared" si="3"/>
        <v>7.5863845864221346E-4</v>
      </c>
      <c r="I16" s="218">
        <f t="shared" si="0"/>
        <v>31</v>
      </c>
      <c r="J16" s="219">
        <f t="shared" si="4"/>
        <v>0</v>
      </c>
      <c r="L16" s="3"/>
      <c r="M16" s="3"/>
      <c r="N16" s="3"/>
      <c r="O16" s="3"/>
      <c r="P16" s="3"/>
      <c r="Q16" s="3"/>
      <c r="R16" s="3"/>
    </row>
    <row r="17" spans="1:18" x14ac:dyDescent="0.35">
      <c r="A17" s="152">
        <f t="shared" si="5"/>
        <v>39387</v>
      </c>
      <c r="B17" s="152">
        <f t="shared" si="6"/>
        <v>39416</v>
      </c>
      <c r="C17" s="438"/>
      <c r="D17" s="214" t="s">
        <v>135</v>
      </c>
      <c r="E17" s="155">
        <f t="shared" si="1"/>
        <v>0</v>
      </c>
      <c r="F17" s="215">
        <v>0.21260000000000001</v>
      </c>
      <c r="G17" s="216">
        <f t="shared" si="2"/>
        <v>0.31890000000000002</v>
      </c>
      <c r="H17" s="217">
        <f t="shared" si="3"/>
        <v>7.5863845864221346E-4</v>
      </c>
      <c r="I17" s="218">
        <f t="shared" si="0"/>
        <v>30</v>
      </c>
      <c r="J17" s="219">
        <f t="shared" si="4"/>
        <v>0</v>
      </c>
      <c r="L17" s="3"/>
      <c r="M17" s="3"/>
      <c r="N17" s="3"/>
      <c r="O17" s="3"/>
      <c r="P17" s="3"/>
      <c r="Q17" s="3"/>
      <c r="R17" s="3"/>
    </row>
    <row r="18" spans="1:18" x14ac:dyDescent="0.35">
      <c r="A18" s="152">
        <f t="shared" si="5"/>
        <v>39417</v>
      </c>
      <c r="B18" s="152">
        <f t="shared" si="6"/>
        <v>39447</v>
      </c>
      <c r="C18" s="439"/>
      <c r="D18" s="214" t="s">
        <v>136</v>
      </c>
      <c r="E18" s="155">
        <f t="shared" si="1"/>
        <v>0</v>
      </c>
      <c r="F18" s="215">
        <v>0.21260000000000001</v>
      </c>
      <c r="G18" s="216">
        <f t="shared" si="2"/>
        <v>0.31890000000000002</v>
      </c>
      <c r="H18" s="217">
        <f t="shared" si="3"/>
        <v>7.5863845864221346E-4</v>
      </c>
      <c r="I18" s="218">
        <f t="shared" si="0"/>
        <v>31</v>
      </c>
      <c r="J18" s="219">
        <f t="shared" si="4"/>
        <v>0</v>
      </c>
      <c r="L18" s="3"/>
      <c r="M18" s="3"/>
      <c r="N18" s="3"/>
      <c r="O18" s="3"/>
      <c r="P18" s="3"/>
      <c r="Q18" s="3"/>
      <c r="R18" s="3"/>
    </row>
    <row r="19" spans="1:18" x14ac:dyDescent="0.35">
      <c r="A19" s="152">
        <f t="shared" si="5"/>
        <v>39448</v>
      </c>
      <c r="B19" s="152">
        <f t="shared" si="6"/>
        <v>39478</v>
      </c>
      <c r="C19" s="437">
        <v>2008</v>
      </c>
      <c r="D19" s="214" t="s">
        <v>125</v>
      </c>
      <c r="E19" s="155">
        <f t="shared" si="1"/>
        <v>0</v>
      </c>
      <c r="F19" s="215">
        <v>0.21829999999999999</v>
      </c>
      <c r="G19" s="216">
        <f t="shared" si="2"/>
        <v>0.32745000000000002</v>
      </c>
      <c r="H19" s="217">
        <f t="shared" si="3"/>
        <v>7.7635547827781259E-4</v>
      </c>
      <c r="I19" s="218">
        <f t="shared" si="0"/>
        <v>31</v>
      </c>
      <c r="J19" s="219">
        <f t="shared" si="4"/>
        <v>0</v>
      </c>
      <c r="L19" s="3"/>
      <c r="M19" s="3"/>
      <c r="N19" s="3"/>
      <c r="O19" s="3"/>
      <c r="P19" s="3"/>
      <c r="Q19" s="3"/>
      <c r="R19" s="3"/>
    </row>
    <row r="20" spans="1:18" x14ac:dyDescent="0.35">
      <c r="A20" s="152">
        <f t="shared" si="5"/>
        <v>39479</v>
      </c>
      <c r="B20" s="152">
        <f t="shared" si="6"/>
        <v>39507</v>
      </c>
      <c r="C20" s="438"/>
      <c r="D20" s="214" t="s">
        <v>126</v>
      </c>
      <c r="E20" s="155">
        <f t="shared" si="1"/>
        <v>0</v>
      </c>
      <c r="F20" s="215">
        <v>0.21829999999999999</v>
      </c>
      <c r="G20" s="216">
        <f t="shared" si="2"/>
        <v>0.32745000000000002</v>
      </c>
      <c r="H20" s="217">
        <f t="shared" si="3"/>
        <v>7.7635547827781259E-4</v>
      </c>
      <c r="I20" s="218">
        <f t="shared" si="0"/>
        <v>29</v>
      </c>
      <c r="J20" s="219">
        <f t="shared" si="4"/>
        <v>0</v>
      </c>
    </row>
    <row r="21" spans="1:18" x14ac:dyDescent="0.35">
      <c r="A21" s="152">
        <f t="shared" si="5"/>
        <v>39508</v>
      </c>
      <c r="B21" s="152">
        <f t="shared" si="6"/>
        <v>39538</v>
      </c>
      <c r="C21" s="438"/>
      <c r="D21" s="214" t="s">
        <v>127</v>
      </c>
      <c r="E21" s="155">
        <f t="shared" si="1"/>
        <v>0</v>
      </c>
      <c r="F21" s="215">
        <v>0.21829999999999999</v>
      </c>
      <c r="G21" s="216">
        <f t="shared" si="2"/>
        <v>0.32745000000000002</v>
      </c>
      <c r="H21" s="217">
        <f t="shared" si="3"/>
        <v>7.7635547827781259E-4</v>
      </c>
      <c r="I21" s="218">
        <f t="shared" si="0"/>
        <v>31</v>
      </c>
      <c r="J21" s="219">
        <f t="shared" si="4"/>
        <v>0</v>
      </c>
    </row>
    <row r="22" spans="1:18" x14ac:dyDescent="0.35">
      <c r="A22" s="152">
        <f t="shared" si="5"/>
        <v>39539</v>
      </c>
      <c r="B22" s="152">
        <f t="shared" si="6"/>
        <v>39568</v>
      </c>
      <c r="C22" s="438"/>
      <c r="D22" s="214" t="s">
        <v>128</v>
      </c>
      <c r="E22" s="155">
        <f t="shared" si="1"/>
        <v>0</v>
      </c>
      <c r="F22" s="215">
        <v>0.21920000000000001</v>
      </c>
      <c r="G22" s="216">
        <f t="shared" si="2"/>
        <v>0.32879999999999998</v>
      </c>
      <c r="H22" s="217">
        <f t="shared" si="3"/>
        <v>7.7914249535959712E-4</v>
      </c>
      <c r="I22" s="218">
        <f t="shared" si="0"/>
        <v>30</v>
      </c>
      <c r="J22" s="219">
        <f t="shared" si="4"/>
        <v>0</v>
      </c>
    </row>
    <row r="23" spans="1:18" x14ac:dyDescent="0.35">
      <c r="A23" s="152">
        <f t="shared" si="5"/>
        <v>39569</v>
      </c>
      <c r="B23" s="152">
        <f t="shared" si="6"/>
        <v>39599</v>
      </c>
      <c r="C23" s="438"/>
      <c r="D23" s="214" t="s">
        <v>129</v>
      </c>
      <c r="E23" s="155">
        <f t="shared" si="1"/>
        <v>0</v>
      </c>
      <c r="F23" s="215">
        <v>0.21920000000000001</v>
      </c>
      <c r="G23" s="216">
        <f t="shared" si="2"/>
        <v>0.32879999999999998</v>
      </c>
      <c r="H23" s="217">
        <f t="shared" si="3"/>
        <v>7.7914249535959712E-4</v>
      </c>
      <c r="I23" s="218">
        <f t="shared" si="0"/>
        <v>31</v>
      </c>
      <c r="J23" s="219">
        <f t="shared" si="4"/>
        <v>0</v>
      </c>
    </row>
    <row r="24" spans="1:18" x14ac:dyDescent="0.35">
      <c r="A24" s="152">
        <f t="shared" si="5"/>
        <v>39600</v>
      </c>
      <c r="B24" s="152">
        <f t="shared" si="6"/>
        <v>39629</v>
      </c>
      <c r="C24" s="438"/>
      <c r="D24" s="214" t="s">
        <v>130</v>
      </c>
      <c r="E24" s="155">
        <f t="shared" si="1"/>
        <v>0</v>
      </c>
      <c r="F24" s="215">
        <v>0.21920000000000001</v>
      </c>
      <c r="G24" s="216">
        <f t="shared" si="2"/>
        <v>0.32879999999999998</v>
      </c>
      <c r="H24" s="217">
        <f t="shared" si="3"/>
        <v>7.7914249535959712E-4</v>
      </c>
      <c r="I24" s="218">
        <f t="shared" si="0"/>
        <v>30</v>
      </c>
      <c r="J24" s="219">
        <f t="shared" si="4"/>
        <v>0</v>
      </c>
    </row>
    <row r="25" spans="1:18" x14ac:dyDescent="0.35">
      <c r="A25" s="152">
        <f t="shared" si="5"/>
        <v>39630</v>
      </c>
      <c r="B25" s="152">
        <f t="shared" si="6"/>
        <v>39660</v>
      </c>
      <c r="C25" s="438"/>
      <c r="D25" s="214" t="s">
        <v>131</v>
      </c>
      <c r="E25" s="155">
        <f t="shared" si="1"/>
        <v>0</v>
      </c>
      <c r="F25" s="215">
        <v>0.21510000000000001</v>
      </c>
      <c r="G25" s="216">
        <f t="shared" si="2"/>
        <v>0.32264999999999999</v>
      </c>
      <c r="H25" s="217">
        <f t="shared" si="3"/>
        <v>7.6642314091612818E-4</v>
      </c>
      <c r="I25" s="218">
        <f t="shared" si="0"/>
        <v>31</v>
      </c>
      <c r="J25" s="219">
        <f t="shared" si="4"/>
        <v>0</v>
      </c>
    </row>
    <row r="26" spans="1:18" x14ac:dyDescent="0.35">
      <c r="A26" s="152">
        <f t="shared" si="5"/>
        <v>39661</v>
      </c>
      <c r="B26" s="152">
        <f t="shared" si="6"/>
        <v>39691</v>
      </c>
      <c r="C26" s="438"/>
      <c r="D26" s="214" t="s">
        <v>132</v>
      </c>
      <c r="E26" s="155">
        <f t="shared" si="1"/>
        <v>0</v>
      </c>
      <c r="F26" s="215">
        <v>0.21510000000000001</v>
      </c>
      <c r="G26" s="216">
        <f t="shared" si="2"/>
        <v>0.32264999999999999</v>
      </c>
      <c r="H26" s="217">
        <f t="shared" si="3"/>
        <v>7.6642314091612818E-4</v>
      </c>
      <c r="I26" s="218">
        <f t="shared" si="0"/>
        <v>31</v>
      </c>
      <c r="J26" s="219">
        <f t="shared" si="4"/>
        <v>0</v>
      </c>
    </row>
    <row r="27" spans="1:18" x14ac:dyDescent="0.35">
      <c r="A27" s="152">
        <f t="shared" si="5"/>
        <v>39692</v>
      </c>
      <c r="B27" s="152">
        <f t="shared" si="6"/>
        <v>39721</v>
      </c>
      <c r="C27" s="438"/>
      <c r="D27" s="214" t="s">
        <v>133</v>
      </c>
      <c r="E27" s="155">
        <f t="shared" si="1"/>
        <v>0</v>
      </c>
      <c r="F27" s="215">
        <v>0.21510000000000001</v>
      </c>
      <c r="G27" s="216">
        <f t="shared" si="2"/>
        <v>0.32264999999999999</v>
      </c>
      <c r="H27" s="217">
        <f t="shared" si="3"/>
        <v>7.6642314091612818E-4</v>
      </c>
      <c r="I27" s="218">
        <f t="shared" si="0"/>
        <v>30</v>
      </c>
      <c r="J27" s="219">
        <f t="shared" si="4"/>
        <v>0</v>
      </c>
    </row>
    <row r="28" spans="1:18" x14ac:dyDescent="0.35">
      <c r="A28" s="152">
        <f t="shared" si="5"/>
        <v>39722</v>
      </c>
      <c r="B28" s="152">
        <f t="shared" si="6"/>
        <v>39752</v>
      </c>
      <c r="C28" s="438"/>
      <c r="D28" s="214" t="s">
        <v>134</v>
      </c>
      <c r="E28" s="155">
        <f t="shared" si="1"/>
        <v>0</v>
      </c>
      <c r="F28" s="215">
        <v>0.2102</v>
      </c>
      <c r="G28" s="216">
        <f t="shared" si="2"/>
        <v>0.31530000000000002</v>
      </c>
      <c r="H28" s="217">
        <f t="shared" si="3"/>
        <v>7.5114436909107241E-4</v>
      </c>
      <c r="I28" s="218">
        <f t="shared" si="0"/>
        <v>31</v>
      </c>
      <c r="J28" s="219">
        <f t="shared" si="4"/>
        <v>0</v>
      </c>
    </row>
    <row r="29" spans="1:18" x14ac:dyDescent="0.35">
      <c r="A29" s="152">
        <f t="shared" si="5"/>
        <v>39753</v>
      </c>
      <c r="B29" s="152">
        <f t="shared" si="6"/>
        <v>39782</v>
      </c>
      <c r="C29" s="438"/>
      <c r="D29" s="214" t="s">
        <v>135</v>
      </c>
      <c r="E29" s="155">
        <f t="shared" si="1"/>
        <v>0</v>
      </c>
      <c r="F29" s="215">
        <v>0.2102</v>
      </c>
      <c r="G29" s="216">
        <f t="shared" si="2"/>
        <v>0.31530000000000002</v>
      </c>
      <c r="H29" s="217">
        <f t="shared" si="3"/>
        <v>7.5114436909107241E-4</v>
      </c>
      <c r="I29" s="218">
        <f t="shared" si="0"/>
        <v>30</v>
      </c>
      <c r="J29" s="219">
        <f t="shared" si="4"/>
        <v>0</v>
      </c>
    </row>
    <row r="30" spans="1:18" x14ac:dyDescent="0.35">
      <c r="A30" s="152">
        <f t="shared" si="5"/>
        <v>39783</v>
      </c>
      <c r="B30" s="152">
        <f t="shared" si="6"/>
        <v>39813</v>
      </c>
      <c r="C30" s="439"/>
      <c r="D30" s="214" t="s">
        <v>136</v>
      </c>
      <c r="E30" s="155">
        <f t="shared" si="1"/>
        <v>0</v>
      </c>
      <c r="F30" s="215">
        <v>0.2102</v>
      </c>
      <c r="G30" s="216">
        <f t="shared" si="2"/>
        <v>0.31530000000000002</v>
      </c>
      <c r="H30" s="217">
        <f t="shared" si="3"/>
        <v>7.5114436909107241E-4</v>
      </c>
      <c r="I30" s="218">
        <f t="shared" si="0"/>
        <v>31</v>
      </c>
      <c r="J30" s="219">
        <f t="shared" si="4"/>
        <v>0</v>
      </c>
    </row>
    <row r="31" spans="1:18" x14ac:dyDescent="0.35">
      <c r="A31" s="152">
        <f t="shared" si="5"/>
        <v>39814</v>
      </c>
      <c r="B31" s="152">
        <f t="shared" si="6"/>
        <v>39844</v>
      </c>
      <c r="C31" s="437">
        <v>2009</v>
      </c>
      <c r="D31" s="214" t="s">
        <v>125</v>
      </c>
      <c r="E31" s="155">
        <f t="shared" si="1"/>
        <v>0</v>
      </c>
      <c r="F31" s="215">
        <v>0.20469999999999999</v>
      </c>
      <c r="G31" s="216">
        <f t="shared" si="2"/>
        <v>0.30704999999999999</v>
      </c>
      <c r="H31" s="217">
        <f t="shared" si="3"/>
        <v>7.3389297449621971E-4</v>
      </c>
      <c r="I31" s="218">
        <f t="shared" si="0"/>
        <v>31</v>
      </c>
      <c r="J31" s="219">
        <f t="shared" si="4"/>
        <v>0</v>
      </c>
    </row>
    <row r="32" spans="1:18" x14ac:dyDescent="0.35">
      <c r="A32" s="152">
        <f t="shared" si="5"/>
        <v>39845</v>
      </c>
      <c r="B32" s="152">
        <f t="shared" si="6"/>
        <v>39872</v>
      </c>
      <c r="C32" s="438"/>
      <c r="D32" s="214" t="s">
        <v>126</v>
      </c>
      <c r="E32" s="155">
        <f t="shared" si="1"/>
        <v>0</v>
      </c>
      <c r="F32" s="215">
        <v>0.20469999999999999</v>
      </c>
      <c r="G32" s="216">
        <f t="shared" si="2"/>
        <v>0.30704999999999999</v>
      </c>
      <c r="H32" s="217">
        <f t="shared" si="3"/>
        <v>7.3389297449621971E-4</v>
      </c>
      <c r="I32" s="218">
        <f t="shared" si="0"/>
        <v>28</v>
      </c>
      <c r="J32" s="219">
        <f t="shared" si="4"/>
        <v>0</v>
      </c>
    </row>
    <row r="33" spans="1:10" x14ac:dyDescent="0.35">
      <c r="A33" s="152">
        <f t="shared" si="5"/>
        <v>39873</v>
      </c>
      <c r="B33" s="152">
        <f t="shared" si="6"/>
        <v>39903</v>
      </c>
      <c r="C33" s="438"/>
      <c r="D33" s="214" t="s">
        <v>127</v>
      </c>
      <c r="E33" s="155">
        <f t="shared" si="1"/>
        <v>0</v>
      </c>
      <c r="F33" s="215">
        <v>0.20469999999999999</v>
      </c>
      <c r="G33" s="216">
        <f t="shared" si="2"/>
        <v>0.30704999999999999</v>
      </c>
      <c r="H33" s="217">
        <f t="shared" si="3"/>
        <v>7.3389297449621971E-4</v>
      </c>
      <c r="I33" s="218">
        <f t="shared" si="0"/>
        <v>31</v>
      </c>
      <c r="J33" s="219">
        <f t="shared" si="4"/>
        <v>0</v>
      </c>
    </row>
    <row r="34" spans="1:10" x14ac:dyDescent="0.35">
      <c r="A34" s="152">
        <f t="shared" si="5"/>
        <v>39904</v>
      </c>
      <c r="B34" s="152">
        <f t="shared" si="6"/>
        <v>39933</v>
      </c>
      <c r="C34" s="438"/>
      <c r="D34" s="214" t="s">
        <v>128</v>
      </c>
      <c r="E34" s="155">
        <f t="shared" si="1"/>
        <v>0</v>
      </c>
      <c r="F34" s="215">
        <v>0.20280000000000001</v>
      </c>
      <c r="G34" s="216">
        <f t="shared" si="2"/>
        <v>0.30420000000000003</v>
      </c>
      <c r="H34" s="217">
        <f t="shared" si="3"/>
        <v>7.2790815549184096E-4</v>
      </c>
      <c r="I34" s="218">
        <f t="shared" si="0"/>
        <v>30</v>
      </c>
      <c r="J34" s="219">
        <f t="shared" si="4"/>
        <v>0</v>
      </c>
    </row>
    <row r="35" spans="1:10" x14ac:dyDescent="0.35">
      <c r="A35" s="152">
        <f t="shared" si="5"/>
        <v>39934</v>
      </c>
      <c r="B35" s="152">
        <f t="shared" si="6"/>
        <v>39964</v>
      </c>
      <c r="C35" s="438"/>
      <c r="D35" s="214" t="s">
        <v>129</v>
      </c>
      <c r="E35" s="155">
        <f t="shared" si="1"/>
        <v>0</v>
      </c>
      <c r="F35" s="215">
        <v>0.20280000000000001</v>
      </c>
      <c r="G35" s="216">
        <f t="shared" si="2"/>
        <v>0.30420000000000003</v>
      </c>
      <c r="H35" s="217">
        <f t="shared" si="3"/>
        <v>7.2790815549184096E-4</v>
      </c>
      <c r="I35" s="218">
        <f t="shared" si="0"/>
        <v>31</v>
      </c>
      <c r="J35" s="219">
        <f t="shared" si="4"/>
        <v>0</v>
      </c>
    </row>
    <row r="36" spans="1:10" x14ac:dyDescent="0.35">
      <c r="A36" s="152">
        <f t="shared" si="5"/>
        <v>39965</v>
      </c>
      <c r="B36" s="152">
        <f t="shared" si="6"/>
        <v>39994</v>
      </c>
      <c r="C36" s="438"/>
      <c r="D36" s="214" t="s">
        <v>130</v>
      </c>
      <c r="E36" s="155">
        <f t="shared" si="1"/>
        <v>0</v>
      </c>
      <c r="F36" s="215">
        <v>0.20280000000000001</v>
      </c>
      <c r="G36" s="216">
        <f t="shared" si="2"/>
        <v>0.30420000000000003</v>
      </c>
      <c r="H36" s="217">
        <f t="shared" si="3"/>
        <v>7.2790815549184096E-4</v>
      </c>
      <c r="I36" s="218">
        <f t="shared" si="0"/>
        <v>30</v>
      </c>
      <c r="J36" s="219">
        <f t="shared" si="4"/>
        <v>0</v>
      </c>
    </row>
    <row r="37" spans="1:10" x14ac:dyDescent="0.35">
      <c r="A37" s="152">
        <f t="shared" si="5"/>
        <v>39995</v>
      </c>
      <c r="B37" s="152">
        <f t="shared" si="6"/>
        <v>40025</v>
      </c>
      <c r="C37" s="438"/>
      <c r="D37" s="214" t="s">
        <v>131</v>
      </c>
      <c r="E37" s="155">
        <f t="shared" si="1"/>
        <v>0</v>
      </c>
      <c r="F37" s="215">
        <v>0.1865</v>
      </c>
      <c r="G37" s="216">
        <f t="shared" si="2"/>
        <v>0.27975</v>
      </c>
      <c r="H37" s="217">
        <f t="shared" si="3"/>
        <v>6.760222257264914E-4</v>
      </c>
      <c r="I37" s="218">
        <f t="shared" si="0"/>
        <v>31</v>
      </c>
      <c r="J37" s="219">
        <f t="shared" si="4"/>
        <v>0</v>
      </c>
    </row>
    <row r="38" spans="1:10" x14ac:dyDescent="0.35">
      <c r="A38" s="152">
        <f t="shared" si="5"/>
        <v>40026</v>
      </c>
      <c r="B38" s="152">
        <f t="shared" si="6"/>
        <v>40056</v>
      </c>
      <c r="C38" s="438"/>
      <c r="D38" s="214" t="s">
        <v>132</v>
      </c>
      <c r="E38" s="155">
        <f t="shared" si="1"/>
        <v>0</v>
      </c>
      <c r="F38" s="215">
        <v>0.1865</v>
      </c>
      <c r="G38" s="216">
        <f t="shared" si="2"/>
        <v>0.27975</v>
      </c>
      <c r="H38" s="217">
        <f t="shared" si="3"/>
        <v>6.760222257264914E-4</v>
      </c>
      <c r="I38" s="218">
        <f t="shared" si="0"/>
        <v>31</v>
      </c>
      <c r="J38" s="219">
        <f t="shared" si="4"/>
        <v>0</v>
      </c>
    </row>
    <row r="39" spans="1:10" x14ac:dyDescent="0.35">
      <c r="A39" s="152">
        <f t="shared" si="5"/>
        <v>40057</v>
      </c>
      <c r="B39" s="152">
        <f t="shared" si="6"/>
        <v>40086</v>
      </c>
      <c r="C39" s="438"/>
      <c r="D39" s="214" t="s">
        <v>133</v>
      </c>
      <c r="E39" s="155">
        <f t="shared" si="1"/>
        <v>0</v>
      </c>
      <c r="F39" s="215">
        <v>0.1865</v>
      </c>
      <c r="G39" s="216">
        <f t="shared" si="2"/>
        <v>0.27975</v>
      </c>
      <c r="H39" s="217">
        <f t="shared" si="3"/>
        <v>6.760222257264914E-4</v>
      </c>
      <c r="I39" s="218">
        <f t="shared" ref="I39:I70" si="7">_xlfn.DAYS(B39,A39)+1</f>
        <v>30</v>
      </c>
      <c r="J39" s="219">
        <f t="shared" si="4"/>
        <v>0</v>
      </c>
    </row>
    <row r="40" spans="1:10" x14ac:dyDescent="0.35">
      <c r="A40" s="152">
        <f t="shared" si="5"/>
        <v>40087</v>
      </c>
      <c r="B40" s="152">
        <f t="shared" si="6"/>
        <v>40117</v>
      </c>
      <c r="C40" s="438"/>
      <c r="D40" s="214" t="s">
        <v>134</v>
      </c>
      <c r="E40" s="155">
        <f t="shared" si="1"/>
        <v>0</v>
      </c>
      <c r="F40" s="215">
        <v>0.17280000000000001</v>
      </c>
      <c r="G40" s="216">
        <f t="shared" si="2"/>
        <v>0.25919999999999999</v>
      </c>
      <c r="H40" s="217">
        <f t="shared" si="3"/>
        <v>6.3164213804500768E-4</v>
      </c>
      <c r="I40" s="218">
        <f t="shared" si="7"/>
        <v>31</v>
      </c>
      <c r="J40" s="219">
        <f t="shared" si="4"/>
        <v>0</v>
      </c>
    </row>
    <row r="41" spans="1:10" x14ac:dyDescent="0.35">
      <c r="A41" s="152">
        <f t="shared" si="5"/>
        <v>40118</v>
      </c>
      <c r="B41" s="152">
        <f t="shared" si="6"/>
        <v>40147</v>
      </c>
      <c r="C41" s="438"/>
      <c r="D41" s="214" t="s">
        <v>135</v>
      </c>
      <c r="E41" s="155">
        <f t="shared" si="1"/>
        <v>0</v>
      </c>
      <c r="F41" s="215">
        <v>0.17280000000000001</v>
      </c>
      <c r="G41" s="216">
        <f t="shared" si="2"/>
        <v>0.25919999999999999</v>
      </c>
      <c r="H41" s="217">
        <f t="shared" si="3"/>
        <v>6.3164213804500768E-4</v>
      </c>
      <c r="I41" s="218">
        <f t="shared" si="7"/>
        <v>30</v>
      </c>
      <c r="J41" s="219">
        <f t="shared" si="4"/>
        <v>0</v>
      </c>
    </row>
    <row r="42" spans="1:10" x14ac:dyDescent="0.35">
      <c r="A42" s="152">
        <f t="shared" si="5"/>
        <v>40148</v>
      </c>
      <c r="B42" s="152">
        <f t="shared" si="6"/>
        <v>40178</v>
      </c>
      <c r="C42" s="439"/>
      <c r="D42" s="214" t="s">
        <v>136</v>
      </c>
      <c r="E42" s="155">
        <f t="shared" si="1"/>
        <v>0</v>
      </c>
      <c r="F42" s="215">
        <v>0.17280000000000001</v>
      </c>
      <c r="G42" s="216">
        <f t="shared" si="2"/>
        <v>0.25919999999999999</v>
      </c>
      <c r="H42" s="217">
        <f t="shared" si="3"/>
        <v>6.3164213804500768E-4</v>
      </c>
      <c r="I42" s="218">
        <f t="shared" si="7"/>
        <v>31</v>
      </c>
      <c r="J42" s="219">
        <f t="shared" si="4"/>
        <v>0</v>
      </c>
    </row>
    <row r="43" spans="1:10" x14ac:dyDescent="0.35">
      <c r="A43" s="152">
        <f t="shared" si="5"/>
        <v>40179</v>
      </c>
      <c r="B43" s="152">
        <f t="shared" si="6"/>
        <v>40209</v>
      </c>
      <c r="C43" s="468">
        <v>2010</v>
      </c>
      <c r="D43" s="214" t="s">
        <v>125</v>
      </c>
      <c r="E43" s="155">
        <f t="shared" si="1"/>
        <v>0</v>
      </c>
      <c r="F43" s="215">
        <v>0.16139999999999999</v>
      </c>
      <c r="G43" s="216">
        <f t="shared" si="2"/>
        <v>0.24209999999999998</v>
      </c>
      <c r="H43" s="217">
        <f t="shared" si="3"/>
        <v>5.9415862198597402E-4</v>
      </c>
      <c r="I43" s="218">
        <f t="shared" si="7"/>
        <v>31</v>
      </c>
      <c r="J43" s="219">
        <f t="shared" si="4"/>
        <v>0</v>
      </c>
    </row>
    <row r="44" spans="1:10" x14ac:dyDescent="0.35">
      <c r="A44" s="152">
        <f t="shared" si="5"/>
        <v>40210</v>
      </c>
      <c r="B44" s="152">
        <f t="shared" si="6"/>
        <v>40237</v>
      </c>
      <c r="C44" s="471"/>
      <c r="D44" s="214" t="s">
        <v>126</v>
      </c>
      <c r="E44" s="155">
        <f t="shared" si="1"/>
        <v>0</v>
      </c>
      <c r="F44" s="215">
        <v>0.16139999999999999</v>
      </c>
      <c r="G44" s="216">
        <f t="shared" si="2"/>
        <v>0.24209999999999998</v>
      </c>
      <c r="H44" s="217">
        <f t="shared" si="3"/>
        <v>5.9415862198597402E-4</v>
      </c>
      <c r="I44" s="218">
        <f t="shared" si="7"/>
        <v>28</v>
      </c>
      <c r="J44" s="219">
        <f t="shared" si="4"/>
        <v>0</v>
      </c>
    </row>
    <row r="45" spans="1:10" x14ac:dyDescent="0.35">
      <c r="A45" s="152">
        <f t="shared" si="5"/>
        <v>40238</v>
      </c>
      <c r="B45" s="152">
        <f t="shared" si="6"/>
        <v>40268</v>
      </c>
      <c r="C45" s="471"/>
      <c r="D45" s="214" t="s">
        <v>127</v>
      </c>
      <c r="E45" s="155">
        <f t="shared" si="1"/>
        <v>0</v>
      </c>
      <c r="F45" s="220">
        <v>0.16139999999999999</v>
      </c>
      <c r="G45" s="216">
        <f t="shared" si="2"/>
        <v>0.24209999999999998</v>
      </c>
      <c r="H45" s="217">
        <f t="shared" si="3"/>
        <v>5.9415862198597402E-4</v>
      </c>
      <c r="I45" s="218">
        <f t="shared" si="7"/>
        <v>31</v>
      </c>
      <c r="J45" s="219">
        <f t="shared" si="4"/>
        <v>0</v>
      </c>
    </row>
    <row r="46" spans="1:10" x14ac:dyDescent="0.35">
      <c r="A46" s="152">
        <f t="shared" si="5"/>
        <v>40269</v>
      </c>
      <c r="B46" s="152">
        <f t="shared" si="6"/>
        <v>40298</v>
      </c>
      <c r="C46" s="471"/>
      <c r="D46" s="214" t="s">
        <v>128</v>
      </c>
      <c r="E46" s="155">
        <f t="shared" si="1"/>
        <v>0</v>
      </c>
      <c r="F46" s="220">
        <v>0.15310000000000001</v>
      </c>
      <c r="G46" s="216">
        <f t="shared" si="2"/>
        <v>0.22965000000000002</v>
      </c>
      <c r="H46" s="217">
        <f t="shared" si="3"/>
        <v>5.6654282492329955E-4</v>
      </c>
      <c r="I46" s="218">
        <f t="shared" si="7"/>
        <v>30</v>
      </c>
      <c r="J46" s="219">
        <f t="shared" si="4"/>
        <v>0</v>
      </c>
    </row>
    <row r="47" spans="1:10" x14ac:dyDescent="0.35">
      <c r="A47" s="152">
        <f t="shared" si="5"/>
        <v>40299</v>
      </c>
      <c r="B47" s="152">
        <f t="shared" si="6"/>
        <v>40329</v>
      </c>
      <c r="C47" s="471"/>
      <c r="D47" s="214" t="s">
        <v>129</v>
      </c>
      <c r="E47" s="155">
        <f t="shared" si="1"/>
        <v>0</v>
      </c>
      <c r="F47" s="220">
        <v>0.15310000000000001</v>
      </c>
      <c r="G47" s="216">
        <f t="shared" si="2"/>
        <v>0.22965000000000002</v>
      </c>
      <c r="H47" s="217">
        <f t="shared" si="3"/>
        <v>5.6654282492329955E-4</v>
      </c>
      <c r="I47" s="218">
        <f t="shared" si="7"/>
        <v>31</v>
      </c>
      <c r="J47" s="219">
        <f t="shared" si="4"/>
        <v>0</v>
      </c>
    </row>
    <row r="48" spans="1:10" x14ac:dyDescent="0.35">
      <c r="A48" s="152">
        <f t="shared" si="5"/>
        <v>40330</v>
      </c>
      <c r="B48" s="152">
        <f t="shared" si="6"/>
        <v>40359</v>
      </c>
      <c r="C48" s="471"/>
      <c r="D48" s="214" t="s">
        <v>130</v>
      </c>
      <c r="E48" s="155">
        <f t="shared" si="1"/>
        <v>0</v>
      </c>
      <c r="F48" s="220">
        <v>0.15310000000000001</v>
      </c>
      <c r="G48" s="216">
        <f t="shared" si="2"/>
        <v>0.22965000000000002</v>
      </c>
      <c r="H48" s="217">
        <f t="shared" si="3"/>
        <v>5.6654282492329955E-4</v>
      </c>
      <c r="I48" s="218">
        <f t="shared" si="7"/>
        <v>30</v>
      </c>
      <c r="J48" s="219">
        <f t="shared" si="4"/>
        <v>0</v>
      </c>
    </row>
    <row r="49" spans="1:10" x14ac:dyDescent="0.35">
      <c r="A49" s="152">
        <f t="shared" si="5"/>
        <v>40360</v>
      </c>
      <c r="B49" s="152">
        <f t="shared" si="6"/>
        <v>40390</v>
      </c>
      <c r="C49" s="471"/>
      <c r="D49" s="214" t="s">
        <v>131</v>
      </c>
      <c r="E49" s="155">
        <f t="shared" si="1"/>
        <v>0</v>
      </c>
      <c r="F49" s="220">
        <v>0.14940000000000001</v>
      </c>
      <c r="G49" s="216">
        <f t="shared" si="2"/>
        <v>0.22410000000000002</v>
      </c>
      <c r="H49" s="217">
        <f t="shared" si="3"/>
        <v>5.5414219268845599E-4</v>
      </c>
      <c r="I49" s="218">
        <f t="shared" si="7"/>
        <v>31</v>
      </c>
      <c r="J49" s="219">
        <f t="shared" si="4"/>
        <v>0</v>
      </c>
    </row>
    <row r="50" spans="1:10" x14ac:dyDescent="0.35">
      <c r="A50" s="152">
        <f t="shared" si="5"/>
        <v>40391</v>
      </c>
      <c r="B50" s="152">
        <f t="shared" si="6"/>
        <v>40421</v>
      </c>
      <c r="C50" s="471"/>
      <c r="D50" s="214" t="s">
        <v>132</v>
      </c>
      <c r="E50" s="155">
        <f t="shared" si="1"/>
        <v>0</v>
      </c>
      <c r="F50" s="220">
        <v>0.14940000000000001</v>
      </c>
      <c r="G50" s="216">
        <f t="shared" si="2"/>
        <v>0.22410000000000002</v>
      </c>
      <c r="H50" s="217">
        <f t="shared" si="3"/>
        <v>5.5414219268845599E-4</v>
      </c>
      <c r="I50" s="218">
        <f t="shared" si="7"/>
        <v>31</v>
      </c>
      <c r="J50" s="219">
        <f t="shared" si="4"/>
        <v>0</v>
      </c>
    </row>
    <row r="51" spans="1:10" x14ac:dyDescent="0.35">
      <c r="A51" s="152">
        <f t="shared" si="5"/>
        <v>40422</v>
      </c>
      <c r="B51" s="152">
        <f t="shared" si="6"/>
        <v>40451</v>
      </c>
      <c r="C51" s="471"/>
      <c r="D51" s="214" t="s">
        <v>133</v>
      </c>
      <c r="E51" s="155">
        <f t="shared" si="1"/>
        <v>0</v>
      </c>
      <c r="F51" s="220">
        <v>0.14940000000000001</v>
      </c>
      <c r="G51" s="216">
        <f t="shared" si="2"/>
        <v>0.22410000000000002</v>
      </c>
      <c r="H51" s="217">
        <f t="shared" si="3"/>
        <v>5.5414219268845599E-4</v>
      </c>
      <c r="I51" s="218">
        <f t="shared" si="7"/>
        <v>30</v>
      </c>
      <c r="J51" s="219">
        <f t="shared" si="4"/>
        <v>0</v>
      </c>
    </row>
    <row r="52" spans="1:10" x14ac:dyDescent="0.35">
      <c r="A52" s="152">
        <f t="shared" si="5"/>
        <v>40452</v>
      </c>
      <c r="B52" s="152">
        <f t="shared" si="6"/>
        <v>40482</v>
      </c>
      <c r="C52" s="471"/>
      <c r="D52" s="214" t="s">
        <v>134</v>
      </c>
      <c r="E52" s="155">
        <f t="shared" si="1"/>
        <v>0</v>
      </c>
      <c r="F52" s="220">
        <v>0.1421</v>
      </c>
      <c r="G52" s="216">
        <f t="shared" si="2"/>
        <v>0.21315000000000001</v>
      </c>
      <c r="H52" s="217">
        <f t="shared" si="3"/>
        <v>5.2951077879614949E-4</v>
      </c>
      <c r="I52" s="218">
        <f t="shared" si="7"/>
        <v>31</v>
      </c>
      <c r="J52" s="219">
        <f t="shared" si="4"/>
        <v>0</v>
      </c>
    </row>
    <row r="53" spans="1:10" x14ac:dyDescent="0.35">
      <c r="A53" s="152">
        <f t="shared" si="5"/>
        <v>40483</v>
      </c>
      <c r="B53" s="152">
        <f t="shared" si="6"/>
        <v>40512</v>
      </c>
      <c r="C53" s="471"/>
      <c r="D53" s="214" t="s">
        <v>135</v>
      </c>
      <c r="E53" s="155">
        <f t="shared" si="1"/>
        <v>0</v>
      </c>
      <c r="F53" s="220">
        <v>0.1421</v>
      </c>
      <c r="G53" s="216">
        <f t="shared" si="2"/>
        <v>0.21315000000000001</v>
      </c>
      <c r="H53" s="217">
        <f t="shared" si="3"/>
        <v>5.2951077879614949E-4</v>
      </c>
      <c r="I53" s="218">
        <f t="shared" si="7"/>
        <v>30</v>
      </c>
      <c r="J53" s="219">
        <f t="shared" si="4"/>
        <v>0</v>
      </c>
    </row>
    <row r="54" spans="1:10" x14ac:dyDescent="0.35">
      <c r="A54" s="152">
        <f t="shared" si="5"/>
        <v>40513</v>
      </c>
      <c r="B54" s="152">
        <f t="shared" si="6"/>
        <v>40543</v>
      </c>
      <c r="C54" s="472"/>
      <c r="D54" s="214" t="s">
        <v>136</v>
      </c>
      <c r="E54" s="155">
        <f t="shared" si="1"/>
        <v>0</v>
      </c>
      <c r="F54" s="220">
        <v>0.1421</v>
      </c>
      <c r="G54" s="216">
        <f t="shared" si="2"/>
        <v>0.21315000000000001</v>
      </c>
      <c r="H54" s="217">
        <f t="shared" si="3"/>
        <v>5.2951077879614949E-4</v>
      </c>
      <c r="I54" s="218">
        <f t="shared" si="7"/>
        <v>31</v>
      </c>
      <c r="J54" s="219">
        <f t="shared" si="4"/>
        <v>0</v>
      </c>
    </row>
    <row r="55" spans="1:10" x14ac:dyDescent="0.35">
      <c r="A55" s="152">
        <f t="shared" si="5"/>
        <v>40544</v>
      </c>
      <c r="B55" s="152">
        <f t="shared" si="6"/>
        <v>40574</v>
      </c>
      <c r="C55" s="468">
        <v>2011</v>
      </c>
      <c r="D55" s="214" t="s">
        <v>125</v>
      </c>
      <c r="E55" s="155">
        <f t="shared" si="1"/>
        <v>0</v>
      </c>
      <c r="F55" s="220">
        <v>0.15609999999999999</v>
      </c>
      <c r="G55" s="216">
        <f t="shared" si="2"/>
        <v>0.23414999999999997</v>
      </c>
      <c r="H55" s="217">
        <f t="shared" si="3"/>
        <v>5.7655648458965203E-4</v>
      </c>
      <c r="I55" s="218">
        <f t="shared" si="7"/>
        <v>31</v>
      </c>
      <c r="J55" s="219">
        <f t="shared" si="4"/>
        <v>0</v>
      </c>
    </row>
    <row r="56" spans="1:10" x14ac:dyDescent="0.35">
      <c r="A56" s="152">
        <f t="shared" si="5"/>
        <v>40575</v>
      </c>
      <c r="B56" s="152">
        <f t="shared" si="6"/>
        <v>40602</v>
      </c>
      <c r="C56" s="471"/>
      <c r="D56" s="214" t="s">
        <v>126</v>
      </c>
      <c r="E56" s="155">
        <f t="shared" si="1"/>
        <v>0</v>
      </c>
      <c r="F56" s="220">
        <v>0.15609999999999999</v>
      </c>
      <c r="G56" s="216">
        <f t="shared" si="2"/>
        <v>0.23414999999999997</v>
      </c>
      <c r="H56" s="217">
        <f t="shared" si="3"/>
        <v>5.7655648458965203E-4</v>
      </c>
      <c r="I56" s="218">
        <f t="shared" si="7"/>
        <v>28</v>
      </c>
      <c r="J56" s="219">
        <f t="shared" si="4"/>
        <v>0</v>
      </c>
    </row>
    <row r="57" spans="1:10" x14ac:dyDescent="0.35">
      <c r="A57" s="152">
        <f t="shared" si="5"/>
        <v>40603</v>
      </c>
      <c r="B57" s="152">
        <f t="shared" si="6"/>
        <v>40633</v>
      </c>
      <c r="C57" s="471"/>
      <c r="D57" s="214" t="s">
        <v>127</v>
      </c>
      <c r="E57" s="155">
        <f t="shared" si="1"/>
        <v>0</v>
      </c>
      <c r="F57" s="220">
        <v>0.15609999999999999</v>
      </c>
      <c r="G57" s="216">
        <f t="shared" si="2"/>
        <v>0.23414999999999997</v>
      </c>
      <c r="H57" s="217">
        <f t="shared" si="3"/>
        <v>5.7655648458965203E-4</v>
      </c>
      <c r="I57" s="218">
        <f t="shared" si="7"/>
        <v>31</v>
      </c>
      <c r="J57" s="219">
        <f t="shared" si="4"/>
        <v>0</v>
      </c>
    </row>
    <row r="58" spans="1:10" x14ac:dyDescent="0.35">
      <c r="A58" s="152">
        <f t="shared" si="5"/>
        <v>40634</v>
      </c>
      <c r="B58" s="152">
        <f t="shared" si="6"/>
        <v>40663</v>
      </c>
      <c r="C58" s="471"/>
      <c r="D58" s="214" t="s">
        <v>128</v>
      </c>
      <c r="E58" s="155">
        <f t="shared" si="1"/>
        <v>0</v>
      </c>
      <c r="F58" s="220">
        <v>0.1769</v>
      </c>
      <c r="G58" s="216">
        <f t="shared" si="2"/>
        <v>0.26534999999999997</v>
      </c>
      <c r="H58" s="217">
        <f t="shared" si="3"/>
        <v>6.4499905605819308E-4</v>
      </c>
      <c r="I58" s="218">
        <f t="shared" si="7"/>
        <v>30</v>
      </c>
      <c r="J58" s="219">
        <f t="shared" si="4"/>
        <v>0</v>
      </c>
    </row>
    <row r="59" spans="1:10" x14ac:dyDescent="0.35">
      <c r="A59" s="152">
        <f t="shared" si="5"/>
        <v>40664</v>
      </c>
      <c r="B59" s="152">
        <f t="shared" si="6"/>
        <v>40694</v>
      </c>
      <c r="C59" s="471"/>
      <c r="D59" s="214" t="s">
        <v>129</v>
      </c>
      <c r="E59" s="155">
        <f t="shared" si="1"/>
        <v>0</v>
      </c>
      <c r="F59" s="220">
        <v>0.1769</v>
      </c>
      <c r="G59" s="216">
        <f t="shared" si="2"/>
        <v>0.26534999999999997</v>
      </c>
      <c r="H59" s="217">
        <f t="shared" si="3"/>
        <v>6.4499905605819308E-4</v>
      </c>
      <c r="I59" s="218">
        <f t="shared" si="7"/>
        <v>31</v>
      </c>
      <c r="J59" s="219">
        <f t="shared" si="4"/>
        <v>0</v>
      </c>
    </row>
    <row r="60" spans="1:10" x14ac:dyDescent="0.35">
      <c r="A60" s="152">
        <f t="shared" si="5"/>
        <v>40695</v>
      </c>
      <c r="B60" s="152">
        <f t="shared" si="6"/>
        <v>40724</v>
      </c>
      <c r="C60" s="471"/>
      <c r="D60" s="214" t="s">
        <v>130</v>
      </c>
      <c r="E60" s="155">
        <f t="shared" si="1"/>
        <v>0</v>
      </c>
      <c r="F60" s="220">
        <v>0.1769</v>
      </c>
      <c r="G60" s="216">
        <f t="shared" si="2"/>
        <v>0.26534999999999997</v>
      </c>
      <c r="H60" s="217">
        <f t="shared" si="3"/>
        <v>6.4499905605819308E-4</v>
      </c>
      <c r="I60" s="218">
        <f t="shared" si="7"/>
        <v>30</v>
      </c>
      <c r="J60" s="219">
        <f t="shared" si="4"/>
        <v>0</v>
      </c>
    </row>
    <row r="61" spans="1:10" x14ac:dyDescent="0.35">
      <c r="A61" s="152">
        <f t="shared" si="5"/>
        <v>40725</v>
      </c>
      <c r="B61" s="152">
        <f t="shared" si="6"/>
        <v>40755</v>
      </c>
      <c r="C61" s="471"/>
      <c r="D61" s="214" t="s">
        <v>131</v>
      </c>
      <c r="E61" s="155">
        <f t="shared" si="1"/>
        <v>0</v>
      </c>
      <c r="F61" s="220">
        <v>0.18629999999999999</v>
      </c>
      <c r="G61" s="216">
        <f t="shared" si="2"/>
        <v>0.27944999999999998</v>
      </c>
      <c r="H61" s="217">
        <f t="shared" si="3"/>
        <v>6.7537946769080648E-4</v>
      </c>
      <c r="I61" s="218">
        <f t="shared" si="7"/>
        <v>31</v>
      </c>
      <c r="J61" s="219">
        <f t="shared" si="4"/>
        <v>0</v>
      </c>
    </row>
    <row r="62" spans="1:10" x14ac:dyDescent="0.35">
      <c r="A62" s="152">
        <f t="shared" si="5"/>
        <v>40756</v>
      </c>
      <c r="B62" s="152">
        <f t="shared" si="6"/>
        <v>40786</v>
      </c>
      <c r="C62" s="471"/>
      <c r="D62" s="214" t="s">
        <v>132</v>
      </c>
      <c r="E62" s="155">
        <f t="shared" si="1"/>
        <v>0</v>
      </c>
      <c r="F62" s="220">
        <v>0.18629999999999999</v>
      </c>
      <c r="G62" s="216">
        <f t="shared" si="2"/>
        <v>0.27944999999999998</v>
      </c>
      <c r="H62" s="217">
        <f t="shared" si="3"/>
        <v>6.7537946769080648E-4</v>
      </c>
      <c r="I62" s="218">
        <f t="shared" si="7"/>
        <v>31</v>
      </c>
      <c r="J62" s="219">
        <f t="shared" si="4"/>
        <v>0</v>
      </c>
    </row>
    <row r="63" spans="1:10" x14ac:dyDescent="0.35">
      <c r="A63" s="152">
        <f t="shared" si="5"/>
        <v>40787</v>
      </c>
      <c r="B63" s="152">
        <f t="shared" si="6"/>
        <v>40816</v>
      </c>
      <c r="C63" s="471"/>
      <c r="D63" s="214" t="s">
        <v>133</v>
      </c>
      <c r="E63" s="155">
        <f t="shared" si="1"/>
        <v>0</v>
      </c>
      <c r="F63" s="220">
        <v>0.18629999999999999</v>
      </c>
      <c r="G63" s="216">
        <f t="shared" si="2"/>
        <v>0.27944999999999998</v>
      </c>
      <c r="H63" s="217">
        <f t="shared" si="3"/>
        <v>6.7537946769080648E-4</v>
      </c>
      <c r="I63" s="218">
        <f t="shared" si="7"/>
        <v>30</v>
      </c>
      <c r="J63" s="219">
        <f t="shared" si="4"/>
        <v>0</v>
      </c>
    </row>
    <row r="64" spans="1:10" x14ac:dyDescent="0.35">
      <c r="A64" s="152">
        <f t="shared" si="5"/>
        <v>40817</v>
      </c>
      <c r="B64" s="152">
        <f t="shared" si="6"/>
        <v>40847</v>
      </c>
      <c r="C64" s="471"/>
      <c r="D64" s="214" t="s">
        <v>134</v>
      </c>
      <c r="E64" s="155">
        <f t="shared" si="1"/>
        <v>0</v>
      </c>
      <c r="F64" s="220">
        <v>0.19389999999999999</v>
      </c>
      <c r="G64" s="216">
        <f t="shared" si="2"/>
        <v>0.29085</v>
      </c>
      <c r="H64" s="217">
        <f t="shared" si="3"/>
        <v>6.9969924008095319E-4</v>
      </c>
      <c r="I64" s="218">
        <f t="shared" si="7"/>
        <v>31</v>
      </c>
      <c r="J64" s="219">
        <f t="shared" si="4"/>
        <v>0</v>
      </c>
    </row>
    <row r="65" spans="1:10" x14ac:dyDescent="0.35">
      <c r="A65" s="152">
        <f t="shared" si="5"/>
        <v>40848</v>
      </c>
      <c r="B65" s="152">
        <f t="shared" si="6"/>
        <v>40877</v>
      </c>
      <c r="C65" s="471"/>
      <c r="D65" s="214" t="s">
        <v>135</v>
      </c>
      <c r="E65" s="155">
        <f t="shared" si="1"/>
        <v>0</v>
      </c>
      <c r="F65" s="220">
        <v>0.19389999999999999</v>
      </c>
      <c r="G65" s="216">
        <f t="shared" si="2"/>
        <v>0.29085</v>
      </c>
      <c r="H65" s="217">
        <f t="shared" si="3"/>
        <v>6.9969924008095319E-4</v>
      </c>
      <c r="I65" s="218">
        <f t="shared" si="7"/>
        <v>30</v>
      </c>
      <c r="J65" s="219">
        <f t="shared" si="4"/>
        <v>0</v>
      </c>
    </row>
    <row r="66" spans="1:10" x14ac:dyDescent="0.35">
      <c r="A66" s="152">
        <f t="shared" si="5"/>
        <v>40878</v>
      </c>
      <c r="B66" s="152">
        <f t="shared" si="6"/>
        <v>40908</v>
      </c>
      <c r="C66" s="472"/>
      <c r="D66" s="214" t="s">
        <v>136</v>
      </c>
      <c r="E66" s="155">
        <f t="shared" si="1"/>
        <v>0</v>
      </c>
      <c r="F66" s="220">
        <v>0.19389999999999999</v>
      </c>
      <c r="G66" s="216">
        <f t="shared" si="2"/>
        <v>0.29085</v>
      </c>
      <c r="H66" s="217">
        <f t="shared" si="3"/>
        <v>6.9969924008095319E-4</v>
      </c>
      <c r="I66" s="218">
        <f t="shared" si="7"/>
        <v>31</v>
      </c>
      <c r="J66" s="219">
        <f t="shared" si="4"/>
        <v>0</v>
      </c>
    </row>
    <row r="67" spans="1:10" x14ac:dyDescent="0.35">
      <c r="A67" s="152">
        <f t="shared" si="5"/>
        <v>40909</v>
      </c>
      <c r="B67" s="152">
        <f t="shared" si="6"/>
        <v>40939</v>
      </c>
      <c r="C67" s="468">
        <v>2012</v>
      </c>
      <c r="D67" s="214" t="s">
        <v>125</v>
      </c>
      <c r="E67" s="155">
        <f t="shared" si="1"/>
        <v>0</v>
      </c>
      <c r="F67" s="220">
        <v>0.19919999999999999</v>
      </c>
      <c r="G67" s="216">
        <f t="shared" si="2"/>
        <v>0.29879999999999995</v>
      </c>
      <c r="H67" s="217">
        <f t="shared" si="3"/>
        <v>7.1653264516413628E-4</v>
      </c>
      <c r="I67" s="218">
        <f t="shared" si="7"/>
        <v>31</v>
      </c>
      <c r="J67" s="219">
        <f t="shared" si="4"/>
        <v>0</v>
      </c>
    </row>
    <row r="68" spans="1:10" x14ac:dyDescent="0.35">
      <c r="A68" s="152">
        <f t="shared" si="5"/>
        <v>40940</v>
      </c>
      <c r="B68" s="152">
        <f t="shared" si="6"/>
        <v>40968</v>
      </c>
      <c r="C68" s="471"/>
      <c r="D68" s="214" t="s">
        <v>126</v>
      </c>
      <c r="E68" s="155">
        <f t="shared" si="1"/>
        <v>0</v>
      </c>
      <c r="F68" s="220">
        <v>0.19919999999999999</v>
      </c>
      <c r="G68" s="216">
        <f t="shared" si="2"/>
        <v>0.29879999999999995</v>
      </c>
      <c r="H68" s="217">
        <f t="shared" si="3"/>
        <v>7.1653264516413628E-4</v>
      </c>
      <c r="I68" s="218">
        <f t="shared" si="7"/>
        <v>29</v>
      </c>
      <c r="J68" s="219">
        <f t="shared" si="4"/>
        <v>0</v>
      </c>
    </row>
    <row r="69" spans="1:10" x14ac:dyDescent="0.35">
      <c r="A69" s="152">
        <f t="shared" si="5"/>
        <v>40969</v>
      </c>
      <c r="B69" s="152">
        <f t="shared" si="6"/>
        <v>40999</v>
      </c>
      <c r="C69" s="471"/>
      <c r="D69" s="214" t="s">
        <v>127</v>
      </c>
      <c r="E69" s="155">
        <f t="shared" si="1"/>
        <v>0</v>
      </c>
      <c r="F69" s="220">
        <v>0.19919999999999999</v>
      </c>
      <c r="G69" s="216">
        <f t="shared" si="2"/>
        <v>0.29879999999999995</v>
      </c>
      <c r="H69" s="217">
        <f t="shared" si="3"/>
        <v>7.1653264516413628E-4</v>
      </c>
      <c r="I69" s="218">
        <f t="shared" si="7"/>
        <v>31</v>
      </c>
      <c r="J69" s="219">
        <f t="shared" si="4"/>
        <v>0</v>
      </c>
    </row>
    <row r="70" spans="1:10" x14ac:dyDescent="0.35">
      <c r="A70" s="152">
        <f t="shared" si="5"/>
        <v>41000</v>
      </c>
      <c r="B70" s="152">
        <f t="shared" si="6"/>
        <v>41029</v>
      </c>
      <c r="C70" s="471"/>
      <c r="D70" s="214" t="s">
        <v>128</v>
      </c>
      <c r="E70" s="155">
        <f t="shared" si="1"/>
        <v>0</v>
      </c>
      <c r="F70" s="220">
        <v>0.20519999999999999</v>
      </c>
      <c r="G70" s="216">
        <f t="shared" si="2"/>
        <v>0.30779999999999996</v>
      </c>
      <c r="H70" s="217">
        <f t="shared" si="3"/>
        <v>7.3546576390448593E-4</v>
      </c>
      <c r="I70" s="218">
        <f t="shared" si="7"/>
        <v>30</v>
      </c>
      <c r="J70" s="219">
        <f t="shared" si="4"/>
        <v>0</v>
      </c>
    </row>
    <row r="71" spans="1:10" x14ac:dyDescent="0.35">
      <c r="A71" s="152">
        <f t="shared" si="5"/>
        <v>41030</v>
      </c>
      <c r="B71" s="152">
        <f t="shared" si="6"/>
        <v>41060</v>
      </c>
      <c r="C71" s="471"/>
      <c r="D71" s="214" t="s">
        <v>129</v>
      </c>
      <c r="E71" s="155">
        <f t="shared" si="1"/>
        <v>0</v>
      </c>
      <c r="F71" s="220">
        <v>0.20519999999999999</v>
      </c>
      <c r="G71" s="216">
        <f t="shared" si="2"/>
        <v>0.30779999999999996</v>
      </c>
      <c r="H71" s="217">
        <f t="shared" si="3"/>
        <v>7.3546576390448593E-4</v>
      </c>
      <c r="I71" s="218">
        <f t="shared" ref="I71:I102" si="8">_xlfn.DAYS(B71,A71)+1</f>
        <v>31</v>
      </c>
      <c r="J71" s="219">
        <f t="shared" si="4"/>
        <v>0</v>
      </c>
    </row>
    <row r="72" spans="1:10" x14ac:dyDescent="0.35">
      <c r="A72" s="152">
        <f t="shared" si="5"/>
        <v>41061</v>
      </c>
      <c r="B72" s="152">
        <f t="shared" si="6"/>
        <v>41090</v>
      </c>
      <c r="C72" s="471"/>
      <c r="D72" s="214" t="s">
        <v>130</v>
      </c>
      <c r="E72" s="155">
        <f t="shared" ref="E72:E135" si="9">IF(AND(OR(A72&gt;=$E$4,B72&lt;=$E$3), AND(A72&gt;=$E$1,B72&lt;=$E$2)),+$E$5,0)</f>
        <v>0</v>
      </c>
      <c r="F72" s="220">
        <v>0.20519999999999999</v>
      </c>
      <c r="G72" s="216">
        <f t="shared" ref="G72:G135" si="10">F72*1.5</f>
        <v>0.30779999999999996</v>
      </c>
      <c r="H72" s="217">
        <f t="shared" ref="H72:H135" si="11">((1+G72)^(1/365)-1)</f>
        <v>7.3546576390448593E-4</v>
      </c>
      <c r="I72" s="218">
        <f t="shared" si="8"/>
        <v>30</v>
      </c>
      <c r="J72" s="219">
        <f t="shared" ref="J72:J135" si="12">IF(AND(OR(A72&gt;=$E$4,B72&lt;=$E$3), AND(A72&gt;=$E$1,B72&lt;=$E$2),OR(A72&lt;$E$1,B72&gt;$J$1)),(E72*H72*I72),0)</f>
        <v>0</v>
      </c>
    </row>
    <row r="73" spans="1:10" x14ac:dyDescent="0.35">
      <c r="A73" s="152">
        <f t="shared" ref="A73:A136" si="13">IF(
    AND(
        YEAR(B72)=YEAR(DATE(YEAR($E$1),MONTH($E$1)-1,1)),
        MONTH(B72)=MONTH(DATE(YEAR($E$1),MONTH($E$1)-1,1))
    ),
    $E$1,
    IF(
        AND(
            YEAR(B72)=YEAR(DATE(YEAR($J$1),MONTH($J$1)-1,1)),
            MONTH(B72)=MONTH(DATE(YEAR($J$1),MONTH($J$1)-1,1))
        ),
        $J$1,
        IF(
            $E$4="",
            DATE(YEAR(B72),MONTH(B72)+1,1),
            IF(
                AND(
                    YEAR(B72)=YEAR(DATE(YEAR($E$4),MONTH($E$4)-1,1)),
                    MONTH(B72)=MONTH(DATE(YEAR($E$4),MONTH($E$4)-1,1))
                ),
                $E$4,
                DATE(YEAR(B72),MONTH(B72)+1,1)
            )
        )
    )
)</f>
        <v>41091</v>
      </c>
      <c r="B73" s="152">
        <f t="shared" ref="B73:B136" si="14">IF(
AND(
YEAR(B72)=YEAR(DATE(YEAR($E$2),MONTH($E$2)-1,1)),
MONTH(B72)=MONTH(DATE(YEAR($E$2),MONTH($E$2)-1,1))
),
$E$2,
IF(
$E$3="",
EOMONTH(B72,1),
IF(
AND(
YEAR(B72)=YEAR(DATE(YEAR($E$3),MONTH($E$3)-1,1)),
MONTH(B72)=MONTH(DATE(YEAR($E$3),MONTH($E$3)-1,1))
),
$E$3,
EOMONTH(B72,1)
)))</f>
        <v>41121</v>
      </c>
      <c r="C73" s="471"/>
      <c r="D73" s="214" t="s">
        <v>131</v>
      </c>
      <c r="E73" s="155">
        <f t="shared" si="9"/>
        <v>0</v>
      </c>
      <c r="F73" s="220">
        <v>0.20860000000000001</v>
      </c>
      <c r="G73" s="216">
        <f t="shared" si="10"/>
        <v>0.31290000000000001</v>
      </c>
      <c r="H73" s="217">
        <f t="shared" si="11"/>
        <v>7.4613693673164505E-4</v>
      </c>
      <c r="I73" s="218">
        <f t="shared" si="8"/>
        <v>31</v>
      </c>
      <c r="J73" s="219">
        <f t="shared" si="12"/>
        <v>0</v>
      </c>
    </row>
    <row r="74" spans="1:10" x14ac:dyDescent="0.35">
      <c r="A74" s="152">
        <f t="shared" si="13"/>
        <v>41122</v>
      </c>
      <c r="B74" s="152">
        <f t="shared" si="14"/>
        <v>41152</v>
      </c>
      <c r="C74" s="471"/>
      <c r="D74" s="214" t="s">
        <v>132</v>
      </c>
      <c r="E74" s="155">
        <f t="shared" si="9"/>
        <v>0</v>
      </c>
      <c r="F74" s="220">
        <v>0.20860000000000001</v>
      </c>
      <c r="G74" s="216">
        <f t="shared" si="10"/>
        <v>0.31290000000000001</v>
      </c>
      <c r="H74" s="217">
        <f t="shared" si="11"/>
        <v>7.4613693673164505E-4</v>
      </c>
      <c r="I74" s="218">
        <f t="shared" si="8"/>
        <v>31</v>
      </c>
      <c r="J74" s="219">
        <f t="shared" si="12"/>
        <v>0</v>
      </c>
    </row>
    <row r="75" spans="1:10" x14ac:dyDescent="0.35">
      <c r="A75" s="152">
        <f t="shared" si="13"/>
        <v>41153</v>
      </c>
      <c r="B75" s="152">
        <f t="shared" si="14"/>
        <v>41182</v>
      </c>
      <c r="C75" s="471"/>
      <c r="D75" s="214" t="s">
        <v>133</v>
      </c>
      <c r="E75" s="155">
        <f t="shared" si="9"/>
        <v>0</v>
      </c>
      <c r="F75" s="220">
        <v>0.20860000000000001</v>
      </c>
      <c r="G75" s="216">
        <f t="shared" si="10"/>
        <v>0.31290000000000001</v>
      </c>
      <c r="H75" s="217">
        <f t="shared" si="11"/>
        <v>7.4613693673164505E-4</v>
      </c>
      <c r="I75" s="218">
        <f t="shared" si="8"/>
        <v>30</v>
      </c>
      <c r="J75" s="219">
        <f t="shared" si="12"/>
        <v>0</v>
      </c>
    </row>
    <row r="76" spans="1:10" x14ac:dyDescent="0.35">
      <c r="A76" s="152">
        <f t="shared" si="13"/>
        <v>41183</v>
      </c>
      <c r="B76" s="152">
        <f t="shared" si="14"/>
        <v>41213</v>
      </c>
      <c r="C76" s="471"/>
      <c r="D76" s="214" t="s">
        <v>134</v>
      </c>
      <c r="E76" s="155">
        <f t="shared" si="9"/>
        <v>0</v>
      </c>
      <c r="F76" s="220">
        <v>0.2089</v>
      </c>
      <c r="G76" s="216">
        <f t="shared" si="10"/>
        <v>0.31335000000000002</v>
      </c>
      <c r="H76" s="217">
        <f t="shared" si="11"/>
        <v>7.470765252692857E-4</v>
      </c>
      <c r="I76" s="218">
        <f t="shared" si="8"/>
        <v>31</v>
      </c>
      <c r="J76" s="219">
        <f t="shared" si="12"/>
        <v>0</v>
      </c>
    </row>
    <row r="77" spans="1:10" x14ac:dyDescent="0.35">
      <c r="A77" s="152">
        <f t="shared" si="13"/>
        <v>41214</v>
      </c>
      <c r="B77" s="152">
        <f t="shared" si="14"/>
        <v>41243</v>
      </c>
      <c r="C77" s="471"/>
      <c r="D77" s="214" t="s">
        <v>135</v>
      </c>
      <c r="E77" s="155">
        <f t="shared" si="9"/>
        <v>0</v>
      </c>
      <c r="F77" s="220">
        <v>0.2089</v>
      </c>
      <c r="G77" s="216">
        <f t="shared" si="10"/>
        <v>0.31335000000000002</v>
      </c>
      <c r="H77" s="217">
        <f t="shared" si="11"/>
        <v>7.470765252692857E-4</v>
      </c>
      <c r="I77" s="218">
        <f t="shared" si="8"/>
        <v>30</v>
      </c>
      <c r="J77" s="219">
        <f t="shared" si="12"/>
        <v>0</v>
      </c>
    </row>
    <row r="78" spans="1:10" x14ac:dyDescent="0.35">
      <c r="A78" s="152">
        <f t="shared" si="13"/>
        <v>41244</v>
      </c>
      <c r="B78" s="152">
        <f t="shared" si="14"/>
        <v>41274</v>
      </c>
      <c r="C78" s="472"/>
      <c r="D78" s="214" t="s">
        <v>136</v>
      </c>
      <c r="E78" s="155">
        <f t="shared" si="9"/>
        <v>0</v>
      </c>
      <c r="F78" s="220">
        <v>0.2089</v>
      </c>
      <c r="G78" s="216">
        <f t="shared" si="10"/>
        <v>0.31335000000000002</v>
      </c>
      <c r="H78" s="217">
        <f t="shared" si="11"/>
        <v>7.470765252692857E-4</v>
      </c>
      <c r="I78" s="218">
        <f t="shared" si="8"/>
        <v>31</v>
      </c>
      <c r="J78" s="219">
        <f t="shared" si="12"/>
        <v>0</v>
      </c>
    </row>
    <row r="79" spans="1:10" x14ac:dyDescent="0.35">
      <c r="A79" s="152">
        <f t="shared" si="13"/>
        <v>41275</v>
      </c>
      <c r="B79" s="152">
        <f t="shared" si="14"/>
        <v>41305</v>
      </c>
      <c r="C79" s="468">
        <v>2013</v>
      </c>
      <c r="D79" s="214" t="s">
        <v>125</v>
      </c>
      <c r="E79" s="155">
        <f t="shared" si="9"/>
        <v>0</v>
      </c>
      <c r="F79" s="220">
        <v>0.20749999999999999</v>
      </c>
      <c r="G79" s="216">
        <f t="shared" si="10"/>
        <v>0.31124999999999997</v>
      </c>
      <c r="H79" s="217">
        <f t="shared" si="11"/>
        <v>7.4268902887886235E-4</v>
      </c>
      <c r="I79" s="218">
        <f t="shared" si="8"/>
        <v>31</v>
      </c>
      <c r="J79" s="219">
        <f t="shared" si="12"/>
        <v>0</v>
      </c>
    </row>
    <row r="80" spans="1:10" x14ac:dyDescent="0.35">
      <c r="A80" s="152">
        <f t="shared" si="13"/>
        <v>41306</v>
      </c>
      <c r="B80" s="152">
        <f t="shared" si="14"/>
        <v>41333</v>
      </c>
      <c r="C80" s="471"/>
      <c r="D80" s="214" t="s">
        <v>126</v>
      </c>
      <c r="E80" s="155">
        <f t="shared" si="9"/>
        <v>0</v>
      </c>
      <c r="F80" s="220">
        <v>0.20749999999999999</v>
      </c>
      <c r="G80" s="216">
        <f t="shared" si="10"/>
        <v>0.31124999999999997</v>
      </c>
      <c r="H80" s="217">
        <f t="shared" si="11"/>
        <v>7.4268902887886235E-4</v>
      </c>
      <c r="I80" s="218">
        <f t="shared" si="8"/>
        <v>28</v>
      </c>
      <c r="J80" s="219">
        <f t="shared" si="12"/>
        <v>0</v>
      </c>
    </row>
    <row r="81" spans="1:10" x14ac:dyDescent="0.35">
      <c r="A81" s="152">
        <f t="shared" si="13"/>
        <v>41334</v>
      </c>
      <c r="B81" s="152">
        <f t="shared" si="14"/>
        <v>41364</v>
      </c>
      <c r="C81" s="471"/>
      <c r="D81" s="214" t="s">
        <v>127</v>
      </c>
      <c r="E81" s="155">
        <f t="shared" si="9"/>
        <v>0</v>
      </c>
      <c r="F81" s="220">
        <v>0.20749999999999999</v>
      </c>
      <c r="G81" s="216">
        <f t="shared" si="10"/>
        <v>0.31124999999999997</v>
      </c>
      <c r="H81" s="217">
        <f t="shared" si="11"/>
        <v>7.4268902887886235E-4</v>
      </c>
      <c r="I81" s="218">
        <f t="shared" si="8"/>
        <v>31</v>
      </c>
      <c r="J81" s="219">
        <f t="shared" si="12"/>
        <v>0</v>
      </c>
    </row>
    <row r="82" spans="1:10" x14ac:dyDescent="0.35">
      <c r="A82" s="152">
        <f t="shared" si="13"/>
        <v>41365</v>
      </c>
      <c r="B82" s="152">
        <f t="shared" si="14"/>
        <v>41394</v>
      </c>
      <c r="C82" s="471"/>
      <c r="D82" s="214" t="s">
        <v>128</v>
      </c>
      <c r="E82" s="155">
        <f t="shared" si="9"/>
        <v>0</v>
      </c>
      <c r="F82" s="220">
        <v>0.20830000000000001</v>
      </c>
      <c r="G82" s="216">
        <f t="shared" si="10"/>
        <v>0.31245000000000001</v>
      </c>
      <c r="H82" s="217">
        <f t="shared" si="11"/>
        <v>7.4519702697495305E-4</v>
      </c>
      <c r="I82" s="218">
        <f t="shared" si="8"/>
        <v>30</v>
      </c>
      <c r="J82" s="219">
        <f t="shared" si="12"/>
        <v>0</v>
      </c>
    </row>
    <row r="83" spans="1:10" x14ac:dyDescent="0.35">
      <c r="A83" s="152">
        <f t="shared" si="13"/>
        <v>41395</v>
      </c>
      <c r="B83" s="152">
        <f t="shared" si="14"/>
        <v>41425</v>
      </c>
      <c r="C83" s="471"/>
      <c r="D83" s="214" t="s">
        <v>129</v>
      </c>
      <c r="E83" s="155">
        <f t="shared" si="9"/>
        <v>0</v>
      </c>
      <c r="F83" s="220">
        <v>0.20830000000000001</v>
      </c>
      <c r="G83" s="216">
        <f t="shared" si="10"/>
        <v>0.31245000000000001</v>
      </c>
      <c r="H83" s="217">
        <f t="shared" si="11"/>
        <v>7.4519702697495305E-4</v>
      </c>
      <c r="I83" s="218">
        <f t="shared" si="8"/>
        <v>31</v>
      </c>
      <c r="J83" s="219">
        <f t="shared" si="12"/>
        <v>0</v>
      </c>
    </row>
    <row r="84" spans="1:10" x14ac:dyDescent="0.35">
      <c r="A84" s="152">
        <f t="shared" si="13"/>
        <v>41426</v>
      </c>
      <c r="B84" s="152">
        <f t="shared" si="14"/>
        <v>41455</v>
      </c>
      <c r="C84" s="471"/>
      <c r="D84" s="214" t="s">
        <v>130</v>
      </c>
      <c r="E84" s="155">
        <f t="shared" si="9"/>
        <v>0</v>
      </c>
      <c r="F84" s="220">
        <v>0.20830000000000001</v>
      </c>
      <c r="G84" s="216">
        <f t="shared" si="10"/>
        <v>0.31245000000000001</v>
      </c>
      <c r="H84" s="217">
        <f t="shared" si="11"/>
        <v>7.4519702697495305E-4</v>
      </c>
      <c r="I84" s="218">
        <f t="shared" si="8"/>
        <v>30</v>
      </c>
      <c r="J84" s="219">
        <f t="shared" si="12"/>
        <v>0</v>
      </c>
    </row>
    <row r="85" spans="1:10" x14ac:dyDescent="0.35">
      <c r="A85" s="152">
        <f t="shared" si="13"/>
        <v>41456</v>
      </c>
      <c r="B85" s="152">
        <f t="shared" si="14"/>
        <v>41486</v>
      </c>
      <c r="C85" s="471"/>
      <c r="D85" s="214" t="s">
        <v>131</v>
      </c>
      <c r="E85" s="155">
        <f t="shared" si="9"/>
        <v>0</v>
      </c>
      <c r="F85" s="220">
        <v>0.2034</v>
      </c>
      <c r="G85" s="216">
        <f t="shared" si="10"/>
        <v>0.30509999999999998</v>
      </c>
      <c r="H85" s="217">
        <f t="shared" si="11"/>
        <v>7.29799506196116E-4</v>
      </c>
      <c r="I85" s="218">
        <f t="shared" si="8"/>
        <v>31</v>
      </c>
      <c r="J85" s="219">
        <f t="shared" si="12"/>
        <v>0</v>
      </c>
    </row>
    <row r="86" spans="1:10" x14ac:dyDescent="0.35">
      <c r="A86" s="152">
        <f t="shared" si="13"/>
        <v>41487</v>
      </c>
      <c r="B86" s="152">
        <f t="shared" si="14"/>
        <v>41517</v>
      </c>
      <c r="C86" s="471"/>
      <c r="D86" s="214" t="s">
        <v>132</v>
      </c>
      <c r="E86" s="155">
        <f t="shared" si="9"/>
        <v>0</v>
      </c>
      <c r="F86" s="220">
        <v>0.2034</v>
      </c>
      <c r="G86" s="216">
        <f t="shared" si="10"/>
        <v>0.30509999999999998</v>
      </c>
      <c r="H86" s="217">
        <f t="shared" si="11"/>
        <v>7.29799506196116E-4</v>
      </c>
      <c r="I86" s="218">
        <f t="shared" si="8"/>
        <v>31</v>
      </c>
      <c r="J86" s="219">
        <f t="shared" si="12"/>
        <v>0</v>
      </c>
    </row>
    <row r="87" spans="1:10" x14ac:dyDescent="0.35">
      <c r="A87" s="152">
        <f t="shared" si="13"/>
        <v>41518</v>
      </c>
      <c r="B87" s="152">
        <f t="shared" si="14"/>
        <v>41547</v>
      </c>
      <c r="C87" s="471"/>
      <c r="D87" s="214" t="s">
        <v>133</v>
      </c>
      <c r="E87" s="155">
        <f t="shared" si="9"/>
        <v>0</v>
      </c>
      <c r="F87" s="220">
        <v>0.2034</v>
      </c>
      <c r="G87" s="216">
        <f t="shared" si="10"/>
        <v>0.30509999999999998</v>
      </c>
      <c r="H87" s="217">
        <f t="shared" si="11"/>
        <v>7.29799506196116E-4</v>
      </c>
      <c r="I87" s="218">
        <f t="shared" si="8"/>
        <v>30</v>
      </c>
      <c r="J87" s="219">
        <f t="shared" si="12"/>
        <v>0</v>
      </c>
    </row>
    <row r="88" spans="1:10" x14ac:dyDescent="0.35">
      <c r="A88" s="152">
        <f t="shared" si="13"/>
        <v>41548</v>
      </c>
      <c r="B88" s="152">
        <f t="shared" si="14"/>
        <v>41578</v>
      </c>
      <c r="C88" s="471"/>
      <c r="D88" s="214" t="s">
        <v>134</v>
      </c>
      <c r="E88" s="155">
        <f t="shared" si="9"/>
        <v>0</v>
      </c>
      <c r="F88" s="220">
        <v>0.19850000000000001</v>
      </c>
      <c r="G88" s="216">
        <f t="shared" si="10"/>
        <v>0.29775000000000001</v>
      </c>
      <c r="H88" s="217">
        <f t="shared" si="11"/>
        <v>7.1431526398191281E-4</v>
      </c>
      <c r="I88" s="218">
        <f t="shared" si="8"/>
        <v>31</v>
      </c>
      <c r="J88" s="219">
        <f t="shared" si="12"/>
        <v>0</v>
      </c>
    </row>
    <row r="89" spans="1:10" x14ac:dyDescent="0.35">
      <c r="A89" s="152">
        <f t="shared" si="13"/>
        <v>41579</v>
      </c>
      <c r="B89" s="152">
        <f t="shared" si="14"/>
        <v>41608</v>
      </c>
      <c r="C89" s="471"/>
      <c r="D89" s="214" t="s">
        <v>135</v>
      </c>
      <c r="E89" s="155">
        <f t="shared" si="9"/>
        <v>0</v>
      </c>
      <c r="F89" s="220">
        <v>0.19850000000000001</v>
      </c>
      <c r="G89" s="216">
        <f t="shared" si="10"/>
        <v>0.29775000000000001</v>
      </c>
      <c r="H89" s="217">
        <f t="shared" si="11"/>
        <v>7.1431526398191281E-4</v>
      </c>
      <c r="I89" s="218">
        <f t="shared" si="8"/>
        <v>30</v>
      </c>
      <c r="J89" s="219">
        <f t="shared" si="12"/>
        <v>0</v>
      </c>
    </row>
    <row r="90" spans="1:10" x14ac:dyDescent="0.35">
      <c r="A90" s="152">
        <f t="shared" si="13"/>
        <v>41609</v>
      </c>
      <c r="B90" s="152">
        <f t="shared" si="14"/>
        <v>41639</v>
      </c>
      <c r="C90" s="472"/>
      <c r="D90" s="214" t="s">
        <v>136</v>
      </c>
      <c r="E90" s="155">
        <f t="shared" si="9"/>
        <v>0</v>
      </c>
      <c r="F90" s="220">
        <v>0.19850000000000001</v>
      </c>
      <c r="G90" s="216">
        <f t="shared" si="10"/>
        <v>0.29775000000000001</v>
      </c>
      <c r="H90" s="217">
        <f t="shared" si="11"/>
        <v>7.1431526398191281E-4</v>
      </c>
      <c r="I90" s="218">
        <f t="shared" si="8"/>
        <v>31</v>
      </c>
      <c r="J90" s="219">
        <f t="shared" si="12"/>
        <v>0</v>
      </c>
    </row>
    <row r="91" spans="1:10" x14ac:dyDescent="0.35">
      <c r="A91" s="152">
        <f t="shared" si="13"/>
        <v>41640</v>
      </c>
      <c r="B91" s="152">
        <f t="shared" si="14"/>
        <v>41670</v>
      </c>
      <c r="C91" s="468">
        <v>2014</v>
      </c>
      <c r="D91" s="214" t="s">
        <v>125</v>
      </c>
      <c r="E91" s="155">
        <f t="shared" si="9"/>
        <v>0</v>
      </c>
      <c r="F91" s="220">
        <v>0.19650000000000001</v>
      </c>
      <c r="G91" s="216">
        <f t="shared" si="10"/>
        <v>0.29475000000000001</v>
      </c>
      <c r="H91" s="217">
        <f t="shared" si="11"/>
        <v>7.079700167211822E-4</v>
      </c>
      <c r="I91" s="218">
        <f t="shared" si="8"/>
        <v>31</v>
      </c>
      <c r="J91" s="219">
        <f t="shared" si="12"/>
        <v>0</v>
      </c>
    </row>
    <row r="92" spans="1:10" x14ac:dyDescent="0.35">
      <c r="A92" s="152">
        <f t="shared" si="13"/>
        <v>41671</v>
      </c>
      <c r="B92" s="152">
        <f t="shared" si="14"/>
        <v>41698</v>
      </c>
      <c r="C92" s="471"/>
      <c r="D92" s="214" t="s">
        <v>126</v>
      </c>
      <c r="E92" s="155">
        <f t="shared" si="9"/>
        <v>0</v>
      </c>
      <c r="F92" s="220">
        <v>0.19650000000000001</v>
      </c>
      <c r="G92" s="216">
        <f t="shared" si="10"/>
        <v>0.29475000000000001</v>
      </c>
      <c r="H92" s="217">
        <f t="shared" si="11"/>
        <v>7.079700167211822E-4</v>
      </c>
      <c r="I92" s="218">
        <f t="shared" si="8"/>
        <v>28</v>
      </c>
      <c r="J92" s="219">
        <f t="shared" si="12"/>
        <v>0</v>
      </c>
    </row>
    <row r="93" spans="1:10" x14ac:dyDescent="0.35">
      <c r="A93" s="152">
        <f t="shared" si="13"/>
        <v>41699</v>
      </c>
      <c r="B93" s="152">
        <f t="shared" si="14"/>
        <v>41729</v>
      </c>
      <c r="C93" s="471"/>
      <c r="D93" s="214" t="s">
        <v>127</v>
      </c>
      <c r="E93" s="155">
        <f t="shared" si="9"/>
        <v>0</v>
      </c>
      <c r="F93" s="220">
        <v>0.19650000000000001</v>
      </c>
      <c r="G93" s="216">
        <f t="shared" si="10"/>
        <v>0.29475000000000001</v>
      </c>
      <c r="H93" s="217">
        <f t="shared" si="11"/>
        <v>7.079700167211822E-4</v>
      </c>
      <c r="I93" s="218">
        <f t="shared" si="8"/>
        <v>31</v>
      </c>
      <c r="J93" s="219">
        <f t="shared" si="12"/>
        <v>0</v>
      </c>
    </row>
    <row r="94" spans="1:10" x14ac:dyDescent="0.35">
      <c r="A94" s="152">
        <f t="shared" si="13"/>
        <v>41730</v>
      </c>
      <c r="B94" s="152">
        <f t="shared" si="14"/>
        <v>41759</v>
      </c>
      <c r="C94" s="471"/>
      <c r="D94" s="214" t="s">
        <v>128</v>
      </c>
      <c r="E94" s="155">
        <f t="shared" si="9"/>
        <v>0</v>
      </c>
      <c r="F94" s="220">
        <v>0.1963</v>
      </c>
      <c r="G94" s="216">
        <f t="shared" si="10"/>
        <v>0.29444999999999999</v>
      </c>
      <c r="H94" s="217">
        <f t="shared" si="11"/>
        <v>7.073346857742191E-4</v>
      </c>
      <c r="I94" s="218">
        <f t="shared" si="8"/>
        <v>30</v>
      </c>
      <c r="J94" s="219">
        <f t="shared" si="12"/>
        <v>0</v>
      </c>
    </row>
    <row r="95" spans="1:10" x14ac:dyDescent="0.35">
      <c r="A95" s="152">
        <f t="shared" si="13"/>
        <v>41760</v>
      </c>
      <c r="B95" s="152">
        <f t="shared" si="14"/>
        <v>41790</v>
      </c>
      <c r="C95" s="471"/>
      <c r="D95" s="214" t="s">
        <v>129</v>
      </c>
      <c r="E95" s="155">
        <f t="shared" si="9"/>
        <v>0</v>
      </c>
      <c r="F95" s="220">
        <v>0.1963</v>
      </c>
      <c r="G95" s="216">
        <f t="shared" si="10"/>
        <v>0.29444999999999999</v>
      </c>
      <c r="H95" s="217">
        <f t="shared" si="11"/>
        <v>7.073346857742191E-4</v>
      </c>
      <c r="I95" s="218">
        <f t="shared" si="8"/>
        <v>31</v>
      </c>
      <c r="J95" s="219">
        <f t="shared" si="12"/>
        <v>0</v>
      </c>
    </row>
    <row r="96" spans="1:10" x14ac:dyDescent="0.35">
      <c r="A96" s="152">
        <f t="shared" si="13"/>
        <v>41791</v>
      </c>
      <c r="B96" s="152">
        <f t="shared" si="14"/>
        <v>41820</v>
      </c>
      <c r="C96" s="471"/>
      <c r="D96" s="214" t="s">
        <v>130</v>
      </c>
      <c r="E96" s="155">
        <f t="shared" si="9"/>
        <v>0</v>
      </c>
      <c r="F96" s="220">
        <v>0.1963</v>
      </c>
      <c r="G96" s="216">
        <f t="shared" si="10"/>
        <v>0.29444999999999999</v>
      </c>
      <c r="H96" s="217">
        <f t="shared" si="11"/>
        <v>7.073346857742191E-4</v>
      </c>
      <c r="I96" s="218">
        <f t="shared" si="8"/>
        <v>30</v>
      </c>
      <c r="J96" s="219">
        <f t="shared" si="12"/>
        <v>0</v>
      </c>
    </row>
    <row r="97" spans="1:10" x14ac:dyDescent="0.35">
      <c r="A97" s="152">
        <f t="shared" si="13"/>
        <v>41821</v>
      </c>
      <c r="B97" s="152">
        <f t="shared" si="14"/>
        <v>41851</v>
      </c>
      <c r="C97" s="471"/>
      <c r="D97" s="214" t="s">
        <v>131</v>
      </c>
      <c r="E97" s="155">
        <f t="shared" si="9"/>
        <v>0</v>
      </c>
      <c r="F97" s="220">
        <v>0.1933</v>
      </c>
      <c r="G97" s="216">
        <f t="shared" si="10"/>
        <v>0.28994999999999999</v>
      </c>
      <c r="H97" s="217">
        <f t="shared" si="11"/>
        <v>6.9778706056067286E-4</v>
      </c>
      <c r="I97" s="218">
        <f t="shared" si="8"/>
        <v>31</v>
      </c>
      <c r="J97" s="219">
        <f t="shared" si="12"/>
        <v>0</v>
      </c>
    </row>
    <row r="98" spans="1:10" x14ac:dyDescent="0.35">
      <c r="A98" s="152">
        <f t="shared" si="13"/>
        <v>41852</v>
      </c>
      <c r="B98" s="152">
        <f t="shared" si="14"/>
        <v>41882</v>
      </c>
      <c r="C98" s="471"/>
      <c r="D98" s="214" t="s">
        <v>132</v>
      </c>
      <c r="E98" s="155">
        <f t="shared" si="9"/>
        <v>0</v>
      </c>
      <c r="F98" s="220">
        <v>0.1933</v>
      </c>
      <c r="G98" s="216">
        <f t="shared" si="10"/>
        <v>0.28994999999999999</v>
      </c>
      <c r="H98" s="217">
        <f t="shared" si="11"/>
        <v>6.9778706056067286E-4</v>
      </c>
      <c r="I98" s="218">
        <f t="shared" si="8"/>
        <v>31</v>
      </c>
      <c r="J98" s="219">
        <f t="shared" si="12"/>
        <v>0</v>
      </c>
    </row>
    <row r="99" spans="1:10" x14ac:dyDescent="0.35">
      <c r="A99" s="152">
        <f t="shared" si="13"/>
        <v>41883</v>
      </c>
      <c r="B99" s="152">
        <f t="shared" si="14"/>
        <v>41912</v>
      </c>
      <c r="C99" s="471"/>
      <c r="D99" s="214" t="s">
        <v>133</v>
      </c>
      <c r="E99" s="155">
        <f t="shared" si="9"/>
        <v>0</v>
      </c>
      <c r="F99" s="220">
        <v>0.1933</v>
      </c>
      <c r="G99" s="216">
        <f t="shared" si="10"/>
        <v>0.28994999999999999</v>
      </c>
      <c r="H99" s="217">
        <f t="shared" si="11"/>
        <v>6.9778706056067286E-4</v>
      </c>
      <c r="I99" s="218">
        <f t="shared" si="8"/>
        <v>30</v>
      </c>
      <c r="J99" s="219">
        <f t="shared" si="12"/>
        <v>0</v>
      </c>
    </row>
    <row r="100" spans="1:10" x14ac:dyDescent="0.35">
      <c r="A100" s="152">
        <f t="shared" si="13"/>
        <v>41913</v>
      </c>
      <c r="B100" s="152">
        <f t="shared" si="14"/>
        <v>41943</v>
      </c>
      <c r="C100" s="471"/>
      <c r="D100" s="214" t="s">
        <v>134</v>
      </c>
      <c r="E100" s="155">
        <f t="shared" si="9"/>
        <v>0</v>
      </c>
      <c r="F100" s="220">
        <v>0.19170000000000001</v>
      </c>
      <c r="G100" s="216">
        <f t="shared" si="10"/>
        <v>0.28755000000000003</v>
      </c>
      <c r="H100" s="217">
        <f t="shared" si="11"/>
        <v>6.9268140331879557E-4</v>
      </c>
      <c r="I100" s="218">
        <f t="shared" si="8"/>
        <v>31</v>
      </c>
      <c r="J100" s="219">
        <f t="shared" si="12"/>
        <v>0</v>
      </c>
    </row>
    <row r="101" spans="1:10" x14ac:dyDescent="0.35">
      <c r="A101" s="152">
        <f t="shared" si="13"/>
        <v>41944</v>
      </c>
      <c r="B101" s="152">
        <f t="shared" si="14"/>
        <v>41973</v>
      </c>
      <c r="C101" s="471"/>
      <c r="D101" s="214" t="s">
        <v>135</v>
      </c>
      <c r="E101" s="155">
        <f t="shared" si="9"/>
        <v>0</v>
      </c>
      <c r="F101" s="220">
        <v>0.19170000000000001</v>
      </c>
      <c r="G101" s="216">
        <f t="shared" si="10"/>
        <v>0.28755000000000003</v>
      </c>
      <c r="H101" s="217">
        <f t="shared" si="11"/>
        <v>6.9268140331879557E-4</v>
      </c>
      <c r="I101" s="218">
        <f t="shared" si="8"/>
        <v>30</v>
      </c>
      <c r="J101" s="219">
        <f t="shared" si="12"/>
        <v>0</v>
      </c>
    </row>
    <row r="102" spans="1:10" x14ac:dyDescent="0.35">
      <c r="A102" s="152">
        <f t="shared" si="13"/>
        <v>41974</v>
      </c>
      <c r="B102" s="152">
        <f t="shared" si="14"/>
        <v>42004</v>
      </c>
      <c r="C102" s="472"/>
      <c r="D102" s="214" t="s">
        <v>136</v>
      </c>
      <c r="E102" s="155">
        <f t="shared" si="9"/>
        <v>0</v>
      </c>
      <c r="F102" s="220">
        <v>0.19170000000000001</v>
      </c>
      <c r="G102" s="216">
        <f t="shared" si="10"/>
        <v>0.28755000000000003</v>
      </c>
      <c r="H102" s="217">
        <f t="shared" si="11"/>
        <v>6.9268140331879557E-4</v>
      </c>
      <c r="I102" s="218">
        <f t="shared" si="8"/>
        <v>31</v>
      </c>
      <c r="J102" s="219">
        <f t="shared" si="12"/>
        <v>0</v>
      </c>
    </row>
    <row r="103" spans="1:10" x14ac:dyDescent="0.35">
      <c r="A103" s="152">
        <f t="shared" si="13"/>
        <v>42005</v>
      </c>
      <c r="B103" s="152">
        <f t="shared" si="14"/>
        <v>42035</v>
      </c>
      <c r="C103" s="468">
        <v>2015</v>
      </c>
      <c r="D103" s="214" t="s">
        <v>125</v>
      </c>
      <c r="E103" s="155">
        <f t="shared" si="9"/>
        <v>0</v>
      </c>
      <c r="F103" s="220">
        <v>0.19209999999999999</v>
      </c>
      <c r="G103" s="216">
        <f t="shared" si="10"/>
        <v>0.28815000000000002</v>
      </c>
      <c r="H103" s="217">
        <f t="shared" si="11"/>
        <v>6.9395870684818561E-4</v>
      </c>
      <c r="I103" s="218">
        <f t="shared" ref="I103:I162" si="15">_xlfn.DAYS(B103,A103)+1</f>
        <v>31</v>
      </c>
      <c r="J103" s="219">
        <f t="shared" si="12"/>
        <v>0</v>
      </c>
    </row>
    <row r="104" spans="1:10" x14ac:dyDescent="0.35">
      <c r="A104" s="152">
        <f t="shared" si="13"/>
        <v>42036</v>
      </c>
      <c r="B104" s="152">
        <f t="shared" si="14"/>
        <v>42063</v>
      </c>
      <c r="C104" s="471"/>
      <c r="D104" s="214" t="s">
        <v>126</v>
      </c>
      <c r="E104" s="155">
        <f t="shared" si="9"/>
        <v>0</v>
      </c>
      <c r="F104" s="220">
        <v>0.19209999999999999</v>
      </c>
      <c r="G104" s="216">
        <f t="shared" si="10"/>
        <v>0.28815000000000002</v>
      </c>
      <c r="H104" s="217">
        <f t="shared" si="11"/>
        <v>6.9395870684818561E-4</v>
      </c>
      <c r="I104" s="218">
        <f t="shared" si="15"/>
        <v>28</v>
      </c>
      <c r="J104" s="219">
        <f t="shared" si="12"/>
        <v>0</v>
      </c>
    </row>
    <row r="105" spans="1:10" x14ac:dyDescent="0.35">
      <c r="A105" s="152">
        <f t="shared" si="13"/>
        <v>42064</v>
      </c>
      <c r="B105" s="152">
        <f t="shared" si="14"/>
        <v>42094</v>
      </c>
      <c r="C105" s="471"/>
      <c r="D105" s="214" t="s">
        <v>127</v>
      </c>
      <c r="E105" s="155">
        <f t="shared" si="9"/>
        <v>0</v>
      </c>
      <c r="F105" s="220">
        <v>0.19209999999999999</v>
      </c>
      <c r="G105" s="216">
        <f t="shared" si="10"/>
        <v>0.28815000000000002</v>
      </c>
      <c r="H105" s="217">
        <f t="shared" si="11"/>
        <v>6.9395870684818561E-4</v>
      </c>
      <c r="I105" s="218">
        <f t="shared" si="15"/>
        <v>31</v>
      </c>
      <c r="J105" s="219">
        <f t="shared" si="12"/>
        <v>0</v>
      </c>
    </row>
    <row r="106" spans="1:10" x14ac:dyDescent="0.35">
      <c r="A106" s="152">
        <f t="shared" si="13"/>
        <v>42095</v>
      </c>
      <c r="B106" s="152">
        <f t="shared" si="14"/>
        <v>42124</v>
      </c>
      <c r="C106" s="471"/>
      <c r="D106" s="214" t="s">
        <v>128</v>
      </c>
      <c r="E106" s="155">
        <f t="shared" si="9"/>
        <v>0</v>
      </c>
      <c r="F106" s="220">
        <v>0.19370000000000001</v>
      </c>
      <c r="G106" s="216">
        <f t="shared" si="10"/>
        <v>0.29055000000000003</v>
      </c>
      <c r="H106" s="217">
        <f t="shared" si="11"/>
        <v>6.9906199467517638E-4</v>
      </c>
      <c r="I106" s="218">
        <f t="shared" si="15"/>
        <v>30</v>
      </c>
      <c r="J106" s="219">
        <f t="shared" si="12"/>
        <v>0</v>
      </c>
    </row>
    <row r="107" spans="1:10" x14ac:dyDescent="0.35">
      <c r="A107" s="152">
        <f t="shared" si="13"/>
        <v>42125</v>
      </c>
      <c r="B107" s="152">
        <f t="shared" si="14"/>
        <v>42155</v>
      </c>
      <c r="C107" s="471"/>
      <c r="D107" s="214" t="s">
        <v>129</v>
      </c>
      <c r="E107" s="155">
        <f t="shared" si="9"/>
        <v>0</v>
      </c>
      <c r="F107" s="220">
        <v>0.19370000000000001</v>
      </c>
      <c r="G107" s="216">
        <f t="shared" si="10"/>
        <v>0.29055000000000003</v>
      </c>
      <c r="H107" s="217">
        <f t="shared" si="11"/>
        <v>6.9906199467517638E-4</v>
      </c>
      <c r="I107" s="218">
        <f t="shared" si="15"/>
        <v>31</v>
      </c>
      <c r="J107" s="219">
        <f t="shared" si="12"/>
        <v>0</v>
      </c>
    </row>
    <row r="108" spans="1:10" x14ac:dyDescent="0.35">
      <c r="A108" s="152">
        <f t="shared" si="13"/>
        <v>42156</v>
      </c>
      <c r="B108" s="152">
        <f t="shared" si="14"/>
        <v>42185</v>
      </c>
      <c r="C108" s="471"/>
      <c r="D108" s="214" t="s">
        <v>130</v>
      </c>
      <c r="E108" s="155">
        <f t="shared" si="9"/>
        <v>0</v>
      </c>
      <c r="F108" s="220">
        <v>0.19370000000000001</v>
      </c>
      <c r="G108" s="216">
        <f t="shared" si="10"/>
        <v>0.29055000000000003</v>
      </c>
      <c r="H108" s="217">
        <f t="shared" si="11"/>
        <v>6.9906199467517638E-4</v>
      </c>
      <c r="I108" s="218">
        <f t="shared" si="15"/>
        <v>30</v>
      </c>
      <c r="J108" s="219">
        <f t="shared" si="12"/>
        <v>0</v>
      </c>
    </row>
    <row r="109" spans="1:10" x14ac:dyDescent="0.35">
      <c r="A109" s="152">
        <f t="shared" si="13"/>
        <v>42186</v>
      </c>
      <c r="B109" s="152">
        <f t="shared" si="14"/>
        <v>42216</v>
      </c>
      <c r="C109" s="471"/>
      <c r="D109" s="214" t="s">
        <v>131</v>
      </c>
      <c r="E109" s="155">
        <f t="shared" si="9"/>
        <v>0</v>
      </c>
      <c r="F109" s="220">
        <v>0.19259999999999999</v>
      </c>
      <c r="G109" s="216">
        <f t="shared" si="10"/>
        <v>0.28889999999999999</v>
      </c>
      <c r="H109" s="217">
        <f t="shared" si="11"/>
        <v>6.9555450216518544E-4</v>
      </c>
      <c r="I109" s="218">
        <f t="shared" si="15"/>
        <v>31</v>
      </c>
      <c r="J109" s="219">
        <f t="shared" si="12"/>
        <v>0</v>
      </c>
    </row>
    <row r="110" spans="1:10" x14ac:dyDescent="0.35">
      <c r="A110" s="152">
        <f t="shared" si="13"/>
        <v>42217</v>
      </c>
      <c r="B110" s="152">
        <f t="shared" si="14"/>
        <v>42247</v>
      </c>
      <c r="C110" s="471"/>
      <c r="D110" s="214" t="s">
        <v>132</v>
      </c>
      <c r="E110" s="155">
        <f t="shared" si="9"/>
        <v>0</v>
      </c>
      <c r="F110" s="220">
        <v>0.19259999999999999</v>
      </c>
      <c r="G110" s="216">
        <f t="shared" si="10"/>
        <v>0.28889999999999999</v>
      </c>
      <c r="H110" s="217">
        <f t="shared" si="11"/>
        <v>6.9555450216518544E-4</v>
      </c>
      <c r="I110" s="218">
        <f t="shared" si="15"/>
        <v>31</v>
      </c>
      <c r="J110" s="219">
        <f t="shared" si="12"/>
        <v>0</v>
      </c>
    </row>
    <row r="111" spans="1:10" x14ac:dyDescent="0.35">
      <c r="A111" s="152">
        <f t="shared" si="13"/>
        <v>42248</v>
      </c>
      <c r="B111" s="152">
        <f t="shared" si="14"/>
        <v>42277</v>
      </c>
      <c r="C111" s="471"/>
      <c r="D111" s="214" t="s">
        <v>133</v>
      </c>
      <c r="E111" s="155">
        <f t="shared" si="9"/>
        <v>0</v>
      </c>
      <c r="F111" s="220">
        <v>0.19259999999999999</v>
      </c>
      <c r="G111" s="216">
        <f t="shared" si="10"/>
        <v>0.28889999999999999</v>
      </c>
      <c r="H111" s="217">
        <f t="shared" si="11"/>
        <v>6.9555450216518544E-4</v>
      </c>
      <c r="I111" s="218">
        <f t="shared" si="15"/>
        <v>30</v>
      </c>
      <c r="J111" s="219">
        <f t="shared" si="12"/>
        <v>0</v>
      </c>
    </row>
    <row r="112" spans="1:10" x14ac:dyDescent="0.35">
      <c r="A112" s="152">
        <f t="shared" si="13"/>
        <v>42278</v>
      </c>
      <c r="B112" s="152">
        <f t="shared" si="14"/>
        <v>42308</v>
      </c>
      <c r="C112" s="471"/>
      <c r="D112" s="214" t="s">
        <v>134</v>
      </c>
      <c r="E112" s="155">
        <f t="shared" si="9"/>
        <v>0</v>
      </c>
      <c r="F112" s="220">
        <v>0.1933</v>
      </c>
      <c r="G112" s="216">
        <f t="shared" si="10"/>
        <v>0.28994999999999999</v>
      </c>
      <c r="H112" s="217">
        <f t="shared" si="11"/>
        <v>6.9778706056067286E-4</v>
      </c>
      <c r="I112" s="218">
        <f t="shared" si="15"/>
        <v>31</v>
      </c>
      <c r="J112" s="219">
        <f t="shared" si="12"/>
        <v>0</v>
      </c>
    </row>
    <row r="113" spans="1:10" x14ac:dyDescent="0.35">
      <c r="A113" s="152">
        <f t="shared" si="13"/>
        <v>42309</v>
      </c>
      <c r="B113" s="152">
        <f t="shared" si="14"/>
        <v>42338</v>
      </c>
      <c r="C113" s="471"/>
      <c r="D113" s="214" t="s">
        <v>135</v>
      </c>
      <c r="E113" s="155">
        <f t="shared" si="9"/>
        <v>0</v>
      </c>
      <c r="F113" s="220">
        <v>0.1933</v>
      </c>
      <c r="G113" s="216">
        <f t="shared" si="10"/>
        <v>0.28994999999999999</v>
      </c>
      <c r="H113" s="217">
        <f t="shared" si="11"/>
        <v>6.9778706056067286E-4</v>
      </c>
      <c r="I113" s="218">
        <f t="shared" si="15"/>
        <v>30</v>
      </c>
      <c r="J113" s="219">
        <f t="shared" si="12"/>
        <v>0</v>
      </c>
    </row>
    <row r="114" spans="1:10" x14ac:dyDescent="0.35">
      <c r="A114" s="152">
        <f t="shared" si="13"/>
        <v>42339</v>
      </c>
      <c r="B114" s="152">
        <f t="shared" si="14"/>
        <v>42369</v>
      </c>
      <c r="C114" s="472"/>
      <c r="D114" s="214" t="s">
        <v>136</v>
      </c>
      <c r="E114" s="155">
        <f t="shared" si="9"/>
        <v>0</v>
      </c>
      <c r="F114" s="220">
        <v>0.1933</v>
      </c>
      <c r="G114" s="216">
        <f t="shared" si="10"/>
        <v>0.28994999999999999</v>
      </c>
      <c r="H114" s="217">
        <f t="shared" si="11"/>
        <v>6.9778706056067286E-4</v>
      </c>
      <c r="I114" s="218">
        <f t="shared" si="15"/>
        <v>31</v>
      </c>
      <c r="J114" s="219">
        <f t="shared" si="12"/>
        <v>0</v>
      </c>
    </row>
    <row r="115" spans="1:10" x14ac:dyDescent="0.35">
      <c r="A115" s="152">
        <f t="shared" si="13"/>
        <v>42370</v>
      </c>
      <c r="B115" s="152">
        <f t="shared" si="14"/>
        <v>42400</v>
      </c>
      <c r="C115" s="468">
        <v>2016</v>
      </c>
      <c r="D115" s="214" t="s">
        <v>125</v>
      </c>
      <c r="E115" s="155">
        <f t="shared" si="9"/>
        <v>0</v>
      </c>
      <c r="F115" s="220">
        <v>0.1968</v>
      </c>
      <c r="G115" s="216">
        <f t="shared" si="10"/>
        <v>0.29520000000000002</v>
      </c>
      <c r="H115" s="217">
        <f t="shared" si="11"/>
        <v>7.0892273793354832E-4</v>
      </c>
      <c r="I115" s="218">
        <f t="shared" si="15"/>
        <v>31</v>
      </c>
      <c r="J115" s="219">
        <f t="shared" si="12"/>
        <v>0</v>
      </c>
    </row>
    <row r="116" spans="1:10" x14ac:dyDescent="0.35">
      <c r="A116" s="152">
        <f t="shared" si="13"/>
        <v>42401</v>
      </c>
      <c r="B116" s="152">
        <f t="shared" si="14"/>
        <v>42429</v>
      </c>
      <c r="C116" s="471"/>
      <c r="D116" s="214" t="s">
        <v>126</v>
      </c>
      <c r="E116" s="155">
        <f t="shared" si="9"/>
        <v>0</v>
      </c>
      <c r="F116" s="220">
        <v>0.1968</v>
      </c>
      <c r="G116" s="216">
        <f t="shared" si="10"/>
        <v>0.29520000000000002</v>
      </c>
      <c r="H116" s="217">
        <f t="shared" si="11"/>
        <v>7.0892273793354832E-4</v>
      </c>
      <c r="I116" s="218">
        <f t="shared" si="15"/>
        <v>29</v>
      </c>
      <c r="J116" s="219">
        <f t="shared" si="12"/>
        <v>0</v>
      </c>
    </row>
    <row r="117" spans="1:10" x14ac:dyDescent="0.35">
      <c r="A117" s="152">
        <f t="shared" si="13"/>
        <v>42430</v>
      </c>
      <c r="B117" s="152">
        <f t="shared" si="14"/>
        <v>42460</v>
      </c>
      <c r="C117" s="471"/>
      <c r="D117" s="214" t="s">
        <v>127</v>
      </c>
      <c r="E117" s="155">
        <f t="shared" si="9"/>
        <v>0</v>
      </c>
      <c r="F117" s="220">
        <v>0.1968</v>
      </c>
      <c r="G117" s="216">
        <f t="shared" si="10"/>
        <v>0.29520000000000002</v>
      </c>
      <c r="H117" s="217">
        <f t="shared" si="11"/>
        <v>7.0892273793354832E-4</v>
      </c>
      <c r="I117" s="218">
        <f t="shared" si="15"/>
        <v>31</v>
      </c>
      <c r="J117" s="219">
        <f t="shared" si="12"/>
        <v>0</v>
      </c>
    </row>
    <row r="118" spans="1:10" x14ac:dyDescent="0.35">
      <c r="A118" s="152">
        <f t="shared" si="13"/>
        <v>42461</v>
      </c>
      <c r="B118" s="152">
        <f t="shared" si="14"/>
        <v>42490</v>
      </c>
      <c r="C118" s="471"/>
      <c r="D118" s="214" t="s">
        <v>128</v>
      </c>
      <c r="E118" s="155">
        <f t="shared" si="9"/>
        <v>0</v>
      </c>
      <c r="F118" s="220">
        <v>0.2054</v>
      </c>
      <c r="G118" s="216">
        <f t="shared" si="10"/>
        <v>0.30809999999999998</v>
      </c>
      <c r="H118" s="217">
        <f t="shared" si="11"/>
        <v>7.3609462782320279E-4</v>
      </c>
      <c r="I118" s="218">
        <f t="shared" si="15"/>
        <v>30</v>
      </c>
      <c r="J118" s="219">
        <f t="shared" si="12"/>
        <v>0</v>
      </c>
    </row>
    <row r="119" spans="1:10" x14ac:dyDescent="0.35">
      <c r="A119" s="152">
        <f t="shared" si="13"/>
        <v>42491</v>
      </c>
      <c r="B119" s="152">
        <f t="shared" si="14"/>
        <v>42521</v>
      </c>
      <c r="C119" s="471"/>
      <c r="D119" s="214" t="s">
        <v>129</v>
      </c>
      <c r="E119" s="155">
        <f t="shared" si="9"/>
        <v>0</v>
      </c>
      <c r="F119" s="220">
        <v>0.2054</v>
      </c>
      <c r="G119" s="216">
        <f t="shared" si="10"/>
        <v>0.30809999999999998</v>
      </c>
      <c r="H119" s="217">
        <f t="shared" si="11"/>
        <v>7.3609462782320279E-4</v>
      </c>
      <c r="I119" s="218">
        <f t="shared" si="15"/>
        <v>31</v>
      </c>
      <c r="J119" s="219">
        <f t="shared" si="12"/>
        <v>0</v>
      </c>
    </row>
    <row r="120" spans="1:10" x14ac:dyDescent="0.35">
      <c r="A120" s="152">
        <f t="shared" si="13"/>
        <v>42522</v>
      </c>
      <c r="B120" s="152">
        <f t="shared" si="14"/>
        <v>42551</v>
      </c>
      <c r="C120" s="471"/>
      <c r="D120" s="214" t="s">
        <v>130</v>
      </c>
      <c r="E120" s="155">
        <f t="shared" si="9"/>
        <v>0</v>
      </c>
      <c r="F120" s="220">
        <v>0.2054</v>
      </c>
      <c r="G120" s="216">
        <f t="shared" si="10"/>
        <v>0.30809999999999998</v>
      </c>
      <c r="H120" s="217">
        <f t="shared" si="11"/>
        <v>7.3609462782320279E-4</v>
      </c>
      <c r="I120" s="218">
        <f t="shared" si="15"/>
        <v>30</v>
      </c>
      <c r="J120" s="219">
        <f t="shared" si="12"/>
        <v>0</v>
      </c>
    </row>
    <row r="121" spans="1:10" x14ac:dyDescent="0.35">
      <c r="A121" s="152">
        <f t="shared" si="13"/>
        <v>42552</v>
      </c>
      <c r="B121" s="152">
        <f t="shared" si="14"/>
        <v>42582</v>
      </c>
      <c r="C121" s="471"/>
      <c r="D121" s="214" t="s">
        <v>131</v>
      </c>
      <c r="E121" s="155">
        <f t="shared" si="9"/>
        <v>0</v>
      </c>
      <c r="F121" s="220">
        <v>0.21340000000000001</v>
      </c>
      <c r="G121" s="216">
        <f t="shared" si="10"/>
        <v>0.3201</v>
      </c>
      <c r="H121" s="217">
        <f t="shared" si="11"/>
        <v>7.6113195596128058E-4</v>
      </c>
      <c r="I121" s="218">
        <f t="shared" si="15"/>
        <v>31</v>
      </c>
      <c r="J121" s="219">
        <f t="shared" si="12"/>
        <v>0</v>
      </c>
    </row>
    <row r="122" spans="1:10" x14ac:dyDescent="0.35">
      <c r="A122" s="152">
        <f t="shared" si="13"/>
        <v>42583</v>
      </c>
      <c r="B122" s="152">
        <f t="shared" si="14"/>
        <v>42613</v>
      </c>
      <c r="C122" s="471"/>
      <c r="D122" s="214" t="s">
        <v>132</v>
      </c>
      <c r="E122" s="155">
        <f t="shared" si="9"/>
        <v>0</v>
      </c>
      <c r="F122" s="220">
        <v>0.21340000000000001</v>
      </c>
      <c r="G122" s="216">
        <f t="shared" si="10"/>
        <v>0.3201</v>
      </c>
      <c r="H122" s="217">
        <f t="shared" si="11"/>
        <v>7.6113195596128058E-4</v>
      </c>
      <c r="I122" s="218">
        <f t="shared" si="15"/>
        <v>31</v>
      </c>
      <c r="J122" s="219">
        <f t="shared" si="12"/>
        <v>0</v>
      </c>
    </row>
    <row r="123" spans="1:10" x14ac:dyDescent="0.35">
      <c r="A123" s="152">
        <f t="shared" si="13"/>
        <v>42614</v>
      </c>
      <c r="B123" s="152">
        <f t="shared" si="14"/>
        <v>42643</v>
      </c>
      <c r="C123" s="471"/>
      <c r="D123" s="214" t="s">
        <v>133</v>
      </c>
      <c r="E123" s="155">
        <f t="shared" si="9"/>
        <v>0</v>
      </c>
      <c r="F123" s="220">
        <v>0.21340000000000001</v>
      </c>
      <c r="G123" s="216">
        <f t="shared" si="10"/>
        <v>0.3201</v>
      </c>
      <c r="H123" s="217">
        <f t="shared" si="11"/>
        <v>7.6113195596128058E-4</v>
      </c>
      <c r="I123" s="218">
        <f t="shared" si="15"/>
        <v>30</v>
      </c>
      <c r="J123" s="219">
        <f t="shared" si="12"/>
        <v>0</v>
      </c>
    </row>
    <row r="124" spans="1:10" x14ac:dyDescent="0.35">
      <c r="A124" s="152">
        <f t="shared" si="13"/>
        <v>42644</v>
      </c>
      <c r="B124" s="152">
        <f t="shared" si="14"/>
        <v>42674</v>
      </c>
      <c r="C124" s="471"/>
      <c r="D124" s="214" t="s">
        <v>134</v>
      </c>
      <c r="E124" s="155">
        <f t="shared" si="9"/>
        <v>0</v>
      </c>
      <c r="F124" s="220">
        <v>0.21990000000000001</v>
      </c>
      <c r="G124" s="216">
        <f t="shared" si="10"/>
        <v>0.32985000000000003</v>
      </c>
      <c r="H124" s="217">
        <f t="shared" si="11"/>
        <v>7.8130822380240161E-4</v>
      </c>
      <c r="I124" s="218">
        <f t="shared" si="15"/>
        <v>31</v>
      </c>
      <c r="J124" s="219">
        <f t="shared" si="12"/>
        <v>0</v>
      </c>
    </row>
    <row r="125" spans="1:10" x14ac:dyDescent="0.35">
      <c r="A125" s="152">
        <f t="shared" si="13"/>
        <v>42675</v>
      </c>
      <c r="B125" s="152">
        <f t="shared" si="14"/>
        <v>42704</v>
      </c>
      <c r="C125" s="471"/>
      <c r="D125" s="214" t="s">
        <v>135</v>
      </c>
      <c r="E125" s="155">
        <f t="shared" si="9"/>
        <v>0</v>
      </c>
      <c r="F125" s="220">
        <v>0.21990000000000001</v>
      </c>
      <c r="G125" s="216">
        <f t="shared" si="10"/>
        <v>0.32985000000000003</v>
      </c>
      <c r="H125" s="217">
        <f t="shared" si="11"/>
        <v>7.8130822380240161E-4</v>
      </c>
      <c r="I125" s="218">
        <f t="shared" si="15"/>
        <v>30</v>
      </c>
      <c r="J125" s="219">
        <f t="shared" si="12"/>
        <v>0</v>
      </c>
    </row>
    <row r="126" spans="1:10" x14ac:dyDescent="0.35">
      <c r="A126" s="152">
        <f t="shared" si="13"/>
        <v>42705</v>
      </c>
      <c r="B126" s="152">
        <f t="shared" si="14"/>
        <v>42735</v>
      </c>
      <c r="C126" s="472"/>
      <c r="D126" s="214" t="s">
        <v>136</v>
      </c>
      <c r="E126" s="155">
        <f t="shared" si="9"/>
        <v>0</v>
      </c>
      <c r="F126" s="220">
        <v>0.21990000000000001</v>
      </c>
      <c r="G126" s="216">
        <f t="shared" si="10"/>
        <v>0.32985000000000003</v>
      </c>
      <c r="H126" s="217">
        <f t="shared" si="11"/>
        <v>7.8130822380240161E-4</v>
      </c>
      <c r="I126" s="218">
        <f t="shared" si="15"/>
        <v>31</v>
      </c>
      <c r="J126" s="219">
        <f t="shared" si="12"/>
        <v>0</v>
      </c>
    </row>
    <row r="127" spans="1:10" x14ac:dyDescent="0.35">
      <c r="A127" s="152">
        <f t="shared" si="13"/>
        <v>42736</v>
      </c>
      <c r="B127" s="152">
        <f t="shared" si="14"/>
        <v>42766</v>
      </c>
      <c r="C127" s="473">
        <v>2017</v>
      </c>
      <c r="D127" s="214" t="s">
        <v>125</v>
      </c>
      <c r="E127" s="155">
        <f t="shared" si="9"/>
        <v>0</v>
      </c>
      <c r="F127" s="220">
        <v>0.22339999999999999</v>
      </c>
      <c r="G127" s="216">
        <f t="shared" si="10"/>
        <v>0.33509999999999995</v>
      </c>
      <c r="H127" s="217">
        <f t="shared" si="11"/>
        <v>7.9211135028089963E-4</v>
      </c>
      <c r="I127" s="218">
        <f t="shared" si="15"/>
        <v>31</v>
      </c>
      <c r="J127" s="219">
        <f t="shared" si="12"/>
        <v>0</v>
      </c>
    </row>
    <row r="128" spans="1:10" x14ac:dyDescent="0.35">
      <c r="A128" s="152">
        <f t="shared" si="13"/>
        <v>42767</v>
      </c>
      <c r="B128" s="152">
        <f t="shared" si="14"/>
        <v>42794</v>
      </c>
      <c r="C128" s="473"/>
      <c r="D128" s="214" t="s">
        <v>126</v>
      </c>
      <c r="E128" s="155">
        <f t="shared" si="9"/>
        <v>0</v>
      </c>
      <c r="F128" s="220">
        <v>0.22339999999999999</v>
      </c>
      <c r="G128" s="216">
        <f t="shared" si="10"/>
        <v>0.33509999999999995</v>
      </c>
      <c r="H128" s="217">
        <f t="shared" si="11"/>
        <v>7.9211135028089963E-4</v>
      </c>
      <c r="I128" s="218">
        <f t="shared" si="15"/>
        <v>28</v>
      </c>
      <c r="J128" s="219">
        <f t="shared" si="12"/>
        <v>0</v>
      </c>
    </row>
    <row r="129" spans="1:13" x14ac:dyDescent="0.35">
      <c r="A129" s="152">
        <f t="shared" si="13"/>
        <v>42795</v>
      </c>
      <c r="B129" s="152">
        <f t="shared" si="14"/>
        <v>42825</v>
      </c>
      <c r="C129" s="473"/>
      <c r="D129" s="214" t="s">
        <v>127</v>
      </c>
      <c r="E129" s="155">
        <f t="shared" si="9"/>
        <v>0</v>
      </c>
      <c r="F129" s="220">
        <v>0.22339999999999999</v>
      </c>
      <c r="G129" s="216">
        <f t="shared" si="10"/>
        <v>0.33509999999999995</v>
      </c>
      <c r="H129" s="217">
        <f t="shared" si="11"/>
        <v>7.9211135028089963E-4</v>
      </c>
      <c r="I129" s="218">
        <f t="shared" si="15"/>
        <v>31</v>
      </c>
      <c r="J129" s="219">
        <f t="shared" si="12"/>
        <v>0</v>
      </c>
    </row>
    <row r="130" spans="1:13" x14ac:dyDescent="0.35">
      <c r="A130" s="152">
        <f t="shared" si="13"/>
        <v>42826</v>
      </c>
      <c r="B130" s="152">
        <f t="shared" si="14"/>
        <v>42855</v>
      </c>
      <c r="C130" s="473"/>
      <c r="D130" s="214" t="s">
        <v>128</v>
      </c>
      <c r="E130" s="155">
        <f t="shared" si="9"/>
        <v>0</v>
      </c>
      <c r="F130" s="220">
        <v>0.2233</v>
      </c>
      <c r="G130" s="216">
        <f t="shared" si="10"/>
        <v>0.33494999999999997</v>
      </c>
      <c r="H130" s="217">
        <f t="shared" si="11"/>
        <v>7.9180327787309324E-4</v>
      </c>
      <c r="I130" s="218">
        <f t="shared" si="15"/>
        <v>30</v>
      </c>
      <c r="J130" s="219">
        <f t="shared" si="12"/>
        <v>0</v>
      </c>
    </row>
    <row r="131" spans="1:13" x14ac:dyDescent="0.35">
      <c r="A131" s="152">
        <f t="shared" si="13"/>
        <v>42856</v>
      </c>
      <c r="B131" s="152">
        <f t="shared" si="14"/>
        <v>42886</v>
      </c>
      <c r="C131" s="473"/>
      <c r="D131" s="214" t="s">
        <v>129</v>
      </c>
      <c r="E131" s="155">
        <f t="shared" si="9"/>
        <v>0</v>
      </c>
      <c r="F131" s="220">
        <v>0.2233</v>
      </c>
      <c r="G131" s="216">
        <f t="shared" si="10"/>
        <v>0.33494999999999997</v>
      </c>
      <c r="H131" s="217">
        <f t="shared" si="11"/>
        <v>7.9180327787309324E-4</v>
      </c>
      <c r="I131" s="218">
        <f t="shared" si="15"/>
        <v>31</v>
      </c>
      <c r="J131" s="219">
        <f t="shared" si="12"/>
        <v>0</v>
      </c>
    </row>
    <row r="132" spans="1:13" x14ac:dyDescent="0.35">
      <c r="A132" s="152">
        <f t="shared" si="13"/>
        <v>42887</v>
      </c>
      <c r="B132" s="152">
        <f t="shared" si="14"/>
        <v>42916</v>
      </c>
      <c r="C132" s="473"/>
      <c r="D132" s="214" t="s">
        <v>130</v>
      </c>
      <c r="E132" s="155">
        <f t="shared" si="9"/>
        <v>0</v>
      </c>
      <c r="F132" s="220">
        <v>0.2233</v>
      </c>
      <c r="G132" s="216">
        <f t="shared" si="10"/>
        <v>0.33494999999999997</v>
      </c>
      <c r="H132" s="217">
        <f t="shared" si="11"/>
        <v>7.9180327787309324E-4</v>
      </c>
      <c r="I132" s="218">
        <f t="shared" si="15"/>
        <v>30</v>
      </c>
      <c r="J132" s="219">
        <f t="shared" si="12"/>
        <v>0</v>
      </c>
    </row>
    <row r="133" spans="1:13" x14ac:dyDescent="0.35">
      <c r="A133" s="152">
        <f t="shared" si="13"/>
        <v>42917</v>
      </c>
      <c r="B133" s="152">
        <f t="shared" si="14"/>
        <v>42947</v>
      </c>
      <c r="C133" s="473"/>
      <c r="D133" s="214" t="s">
        <v>131</v>
      </c>
      <c r="E133" s="155">
        <f t="shared" si="9"/>
        <v>0</v>
      </c>
      <c r="F133" s="220">
        <v>0.2198</v>
      </c>
      <c r="G133" s="216">
        <f t="shared" si="10"/>
        <v>0.32969999999999999</v>
      </c>
      <c r="H133" s="217">
        <f t="shared" si="11"/>
        <v>7.8099893845218205E-4</v>
      </c>
      <c r="I133" s="218">
        <f t="shared" si="15"/>
        <v>31</v>
      </c>
      <c r="J133" s="219">
        <f t="shared" si="12"/>
        <v>0</v>
      </c>
    </row>
    <row r="134" spans="1:13" x14ac:dyDescent="0.35">
      <c r="A134" s="152">
        <f t="shared" si="13"/>
        <v>42948</v>
      </c>
      <c r="B134" s="152">
        <f t="shared" si="14"/>
        <v>42978</v>
      </c>
      <c r="C134" s="473"/>
      <c r="D134" s="214" t="s">
        <v>132</v>
      </c>
      <c r="E134" s="155">
        <f t="shared" si="9"/>
        <v>0</v>
      </c>
      <c r="F134" s="220">
        <v>0.2198</v>
      </c>
      <c r="G134" s="216">
        <f t="shared" si="10"/>
        <v>0.32969999999999999</v>
      </c>
      <c r="H134" s="217">
        <f t="shared" si="11"/>
        <v>7.8099893845218205E-4</v>
      </c>
      <c r="I134" s="218">
        <f t="shared" si="15"/>
        <v>31</v>
      </c>
      <c r="J134" s="219">
        <f t="shared" si="12"/>
        <v>0</v>
      </c>
    </row>
    <row r="135" spans="1:13" x14ac:dyDescent="0.35">
      <c r="A135" s="152">
        <f t="shared" si="13"/>
        <v>42979</v>
      </c>
      <c r="B135" s="152">
        <f t="shared" si="14"/>
        <v>43008</v>
      </c>
      <c r="C135" s="473"/>
      <c r="D135" s="214" t="s">
        <v>133</v>
      </c>
      <c r="E135" s="155">
        <f t="shared" si="9"/>
        <v>0</v>
      </c>
      <c r="F135" s="220">
        <v>0.21479999999999999</v>
      </c>
      <c r="G135" s="216">
        <f t="shared" si="10"/>
        <v>0.32219999999999999</v>
      </c>
      <c r="H135" s="217">
        <f t="shared" si="11"/>
        <v>7.6549014202820231E-4</v>
      </c>
      <c r="I135" s="218">
        <f t="shared" si="15"/>
        <v>30</v>
      </c>
      <c r="J135" s="219">
        <f t="shared" si="12"/>
        <v>0</v>
      </c>
    </row>
    <row r="136" spans="1:13" x14ac:dyDescent="0.35">
      <c r="A136" s="152">
        <f t="shared" si="13"/>
        <v>43009</v>
      </c>
      <c r="B136" s="152">
        <f t="shared" si="14"/>
        <v>43039</v>
      </c>
      <c r="C136" s="473"/>
      <c r="D136" s="214" t="s">
        <v>134</v>
      </c>
      <c r="E136" s="155">
        <f t="shared" ref="E136:E199" si="16">IF(AND(OR(A136&gt;=$E$4,B136&lt;=$E$3), AND(A136&gt;=$E$1,B136&lt;=$E$2)),+$E$5,0)</f>
        <v>0</v>
      </c>
      <c r="F136" s="220">
        <v>0.21149999999999999</v>
      </c>
      <c r="G136" s="216">
        <f t="shared" ref="G136:G148" si="17">F136*1.5</f>
        <v>0.31724999999999998</v>
      </c>
      <c r="H136" s="217">
        <f t="shared" ref="H136:H162" si="18">((1+G136)^(1/365)-1)</f>
        <v>7.5520620308799913E-4</v>
      </c>
      <c r="I136" s="218">
        <f t="shared" si="15"/>
        <v>31</v>
      </c>
      <c r="J136" s="219">
        <f t="shared" ref="J136:J199" si="19">IF(AND(OR(A136&gt;=$E$4,B136&lt;=$E$3), AND(A136&gt;=$E$1,B136&lt;=$E$2),OR(A136&lt;$E$1,B136&gt;$J$1)),(E136*H136*I136),0)</f>
        <v>0</v>
      </c>
    </row>
    <row r="137" spans="1:13" x14ac:dyDescent="0.35">
      <c r="A137" s="152">
        <f t="shared" ref="A137:A200" si="20">IF(
    AND(
        YEAR(B136)=YEAR(DATE(YEAR($E$1),MONTH($E$1)-1,1)),
        MONTH(B136)=MONTH(DATE(YEAR($E$1),MONTH($E$1)-1,1))
    ),
    $E$1,
    IF(
        AND(
            YEAR(B136)=YEAR(DATE(YEAR($J$1),MONTH($J$1)-1,1)),
            MONTH(B136)=MONTH(DATE(YEAR($J$1),MONTH($J$1)-1,1))
        ),
        $J$1,
        IF(
            $E$4="",
            DATE(YEAR(B136),MONTH(B136)+1,1),
            IF(
                AND(
                    YEAR(B136)=YEAR(DATE(YEAR($E$4),MONTH($E$4)-1,1)),
                    MONTH(B136)=MONTH(DATE(YEAR($E$4),MONTH($E$4)-1,1))
                ),
                $E$4,
                DATE(YEAR(B136),MONTH(B136)+1,1)
            )
        )
    )
)</f>
        <v>43040</v>
      </c>
      <c r="B137" s="152">
        <f t="shared" ref="B137:B200" si="21">IF(
AND(
YEAR(B136)=YEAR(DATE(YEAR($E$2),MONTH($E$2)-1,1)),
MONTH(B136)=MONTH(DATE(YEAR($E$2),MONTH($E$2)-1,1))
),
$E$2,
IF(
$E$3="",
EOMONTH(B136,1),
IF(
AND(
YEAR(B136)=YEAR(DATE(YEAR($E$3),MONTH($E$3)-1,1)),
MONTH(B136)=MONTH(DATE(YEAR($E$3),MONTH($E$3)-1,1))
),
$E$3,
EOMONTH(B136,1)
)))</f>
        <v>43069</v>
      </c>
      <c r="C137" s="473"/>
      <c r="D137" s="214" t="s">
        <v>135</v>
      </c>
      <c r="E137" s="155">
        <f t="shared" si="16"/>
        <v>0</v>
      </c>
      <c r="F137" s="220">
        <v>0.20960000000000001</v>
      </c>
      <c r="G137" s="216">
        <f t="shared" si="17"/>
        <v>0.31440000000000001</v>
      </c>
      <c r="H137" s="217">
        <f t="shared" si="18"/>
        <v>7.4926765057248268E-4</v>
      </c>
      <c r="I137" s="218">
        <f t="shared" si="15"/>
        <v>30</v>
      </c>
      <c r="J137" s="219">
        <f t="shared" si="19"/>
        <v>0</v>
      </c>
    </row>
    <row r="138" spans="1:13" x14ac:dyDescent="0.35">
      <c r="A138" s="152">
        <f t="shared" si="20"/>
        <v>43070</v>
      </c>
      <c r="B138" s="152">
        <f t="shared" si="21"/>
        <v>43100</v>
      </c>
      <c r="C138" s="473"/>
      <c r="D138" s="214" t="s">
        <v>136</v>
      </c>
      <c r="E138" s="155">
        <f t="shared" si="16"/>
        <v>0</v>
      </c>
      <c r="F138" s="220">
        <v>0.2077</v>
      </c>
      <c r="G138" s="216">
        <f t="shared" si="17"/>
        <v>0.31154999999999999</v>
      </c>
      <c r="H138" s="217">
        <f t="shared" si="18"/>
        <v>7.4331624292400811E-4</v>
      </c>
      <c r="I138" s="218">
        <f t="shared" si="15"/>
        <v>31</v>
      </c>
      <c r="J138" s="219">
        <f t="shared" si="19"/>
        <v>0</v>
      </c>
    </row>
    <row r="139" spans="1:13" x14ac:dyDescent="0.35">
      <c r="A139" s="152">
        <f t="shared" si="20"/>
        <v>43101</v>
      </c>
      <c r="B139" s="152">
        <f t="shared" si="21"/>
        <v>43131</v>
      </c>
      <c r="C139" s="473">
        <v>2018</v>
      </c>
      <c r="D139" s="221" t="s">
        <v>125</v>
      </c>
      <c r="E139" s="155">
        <f t="shared" si="16"/>
        <v>0</v>
      </c>
      <c r="F139" s="220">
        <v>0.2069</v>
      </c>
      <c r="G139" s="216">
        <f t="shared" si="17"/>
        <v>0.31035000000000001</v>
      </c>
      <c r="H139" s="217">
        <f t="shared" si="18"/>
        <v>7.4080652774299871E-4</v>
      </c>
      <c r="I139" s="218">
        <f t="shared" si="15"/>
        <v>31</v>
      </c>
      <c r="J139" s="219">
        <f t="shared" si="19"/>
        <v>0</v>
      </c>
      <c r="M139" s="9"/>
    </row>
    <row r="140" spans="1:13" x14ac:dyDescent="0.35">
      <c r="A140" s="152">
        <f t="shared" si="20"/>
        <v>43132</v>
      </c>
      <c r="B140" s="152">
        <f t="shared" si="21"/>
        <v>43159</v>
      </c>
      <c r="C140" s="473"/>
      <c r="D140" s="221" t="s">
        <v>126</v>
      </c>
      <c r="E140" s="155">
        <f t="shared" si="16"/>
        <v>0</v>
      </c>
      <c r="F140" s="220">
        <v>0.21010000000000001</v>
      </c>
      <c r="G140" s="216">
        <f t="shared" si="17"/>
        <v>0.31515000000000004</v>
      </c>
      <c r="H140" s="217">
        <f t="shared" si="18"/>
        <v>7.5083167162115494E-4</v>
      </c>
      <c r="I140" s="218">
        <f t="shared" si="15"/>
        <v>28</v>
      </c>
      <c r="J140" s="219">
        <f t="shared" si="19"/>
        <v>0</v>
      </c>
      <c r="M140" s="9"/>
    </row>
    <row r="141" spans="1:13" x14ac:dyDescent="0.35">
      <c r="A141" s="152">
        <f t="shared" si="20"/>
        <v>43160</v>
      </c>
      <c r="B141" s="152">
        <f t="shared" si="21"/>
        <v>43190</v>
      </c>
      <c r="C141" s="473"/>
      <c r="D141" s="221" t="s">
        <v>127</v>
      </c>
      <c r="E141" s="155">
        <f t="shared" si="16"/>
        <v>0</v>
      </c>
      <c r="F141" s="220">
        <v>0.20680000000000001</v>
      </c>
      <c r="G141" s="216">
        <f t="shared" si="17"/>
        <v>0.31020000000000003</v>
      </c>
      <c r="H141" s="217">
        <f t="shared" si="18"/>
        <v>7.4049265219700011E-4</v>
      </c>
      <c r="I141" s="218">
        <f t="shared" si="15"/>
        <v>31</v>
      </c>
      <c r="J141" s="219">
        <f t="shared" si="19"/>
        <v>0</v>
      </c>
      <c r="M141" s="9"/>
    </row>
    <row r="142" spans="1:13" x14ac:dyDescent="0.35">
      <c r="A142" s="152">
        <f t="shared" si="20"/>
        <v>43191</v>
      </c>
      <c r="B142" s="152">
        <f t="shared" si="21"/>
        <v>43220</v>
      </c>
      <c r="C142" s="473"/>
      <c r="D142" s="221" t="s">
        <v>128</v>
      </c>
      <c r="E142" s="155">
        <f t="shared" si="16"/>
        <v>0</v>
      </c>
      <c r="F142" s="220">
        <v>0.20480000000000001</v>
      </c>
      <c r="G142" s="216">
        <f t="shared" si="17"/>
        <v>0.30720000000000003</v>
      </c>
      <c r="H142" s="217">
        <f t="shared" si="18"/>
        <v>7.34207604366377E-4</v>
      </c>
      <c r="I142" s="218">
        <f t="shared" si="15"/>
        <v>30</v>
      </c>
      <c r="J142" s="219">
        <f t="shared" si="19"/>
        <v>0</v>
      </c>
      <c r="M142" s="9"/>
    </row>
    <row r="143" spans="1:13" x14ac:dyDescent="0.35">
      <c r="A143" s="152">
        <f t="shared" si="20"/>
        <v>43221</v>
      </c>
      <c r="B143" s="152">
        <f t="shared" si="21"/>
        <v>43251</v>
      </c>
      <c r="C143" s="473"/>
      <c r="D143" s="221" t="s">
        <v>129</v>
      </c>
      <c r="E143" s="155">
        <f t="shared" si="16"/>
        <v>0</v>
      </c>
      <c r="F143" s="220">
        <v>0.2044</v>
      </c>
      <c r="G143" s="216">
        <f t="shared" si="17"/>
        <v>0.30659999999999998</v>
      </c>
      <c r="H143" s="217">
        <f t="shared" si="18"/>
        <v>7.3294886878794152E-4</v>
      </c>
      <c r="I143" s="218">
        <f t="shared" si="15"/>
        <v>31</v>
      </c>
      <c r="J143" s="219">
        <f t="shared" si="19"/>
        <v>0</v>
      </c>
      <c r="M143" s="9"/>
    </row>
    <row r="144" spans="1:13" x14ac:dyDescent="0.35">
      <c r="A144" s="152">
        <f t="shared" si="20"/>
        <v>43252</v>
      </c>
      <c r="B144" s="152">
        <f t="shared" si="21"/>
        <v>43281</v>
      </c>
      <c r="C144" s="473"/>
      <c r="D144" s="221" t="s">
        <v>130</v>
      </c>
      <c r="E144" s="155">
        <f t="shared" si="16"/>
        <v>0</v>
      </c>
      <c r="F144" s="220">
        <v>0.20280000000000001</v>
      </c>
      <c r="G144" s="216">
        <f t="shared" si="17"/>
        <v>0.30420000000000003</v>
      </c>
      <c r="H144" s="217">
        <f t="shared" si="18"/>
        <v>7.2790815549184096E-4</v>
      </c>
      <c r="I144" s="218">
        <f t="shared" si="15"/>
        <v>30</v>
      </c>
      <c r="J144" s="219">
        <f t="shared" si="19"/>
        <v>0</v>
      </c>
      <c r="M144" s="9"/>
    </row>
    <row r="145" spans="1:10" x14ac:dyDescent="0.35">
      <c r="A145" s="152">
        <f t="shared" si="20"/>
        <v>43282</v>
      </c>
      <c r="B145" s="152">
        <f t="shared" si="21"/>
        <v>43312</v>
      </c>
      <c r="C145" s="473"/>
      <c r="D145" s="221" t="s">
        <v>131</v>
      </c>
      <c r="E145" s="155">
        <f t="shared" si="16"/>
        <v>0</v>
      </c>
      <c r="F145" s="220">
        <v>0.20030000000000001</v>
      </c>
      <c r="G145" s="216">
        <f t="shared" si="17"/>
        <v>0.30044999999999999</v>
      </c>
      <c r="H145" s="217">
        <f t="shared" si="18"/>
        <v>7.2001349197825526E-4</v>
      </c>
      <c r="I145" s="218">
        <f t="shared" si="15"/>
        <v>31</v>
      </c>
      <c r="J145" s="219">
        <f t="shared" si="19"/>
        <v>0</v>
      </c>
    </row>
    <row r="146" spans="1:10" x14ac:dyDescent="0.35">
      <c r="A146" s="152">
        <f t="shared" si="20"/>
        <v>43313</v>
      </c>
      <c r="B146" s="152">
        <f t="shared" si="21"/>
        <v>43343</v>
      </c>
      <c r="C146" s="473"/>
      <c r="D146" s="221" t="s">
        <v>132</v>
      </c>
      <c r="E146" s="155">
        <f t="shared" si="16"/>
        <v>0</v>
      </c>
      <c r="F146" s="220">
        <v>0.19939999999999999</v>
      </c>
      <c r="G146" s="216">
        <f t="shared" si="17"/>
        <v>0.29909999999999998</v>
      </c>
      <c r="H146" s="217">
        <f t="shared" si="18"/>
        <v>7.1716585429704161E-4</v>
      </c>
      <c r="I146" s="218">
        <f t="shared" si="15"/>
        <v>31</v>
      </c>
      <c r="J146" s="219">
        <f t="shared" si="19"/>
        <v>0</v>
      </c>
    </row>
    <row r="147" spans="1:10" x14ac:dyDescent="0.35">
      <c r="A147" s="152">
        <f t="shared" si="20"/>
        <v>43344</v>
      </c>
      <c r="B147" s="152">
        <f t="shared" si="21"/>
        <v>43373</v>
      </c>
      <c r="C147" s="473"/>
      <c r="D147" s="221" t="s">
        <v>133</v>
      </c>
      <c r="E147" s="155">
        <f t="shared" si="16"/>
        <v>0</v>
      </c>
      <c r="F147" s="220">
        <v>0.1981</v>
      </c>
      <c r="G147" s="216">
        <f t="shared" si="17"/>
        <v>0.29715000000000003</v>
      </c>
      <c r="H147" s="217">
        <f t="shared" si="18"/>
        <v>7.1304738558919389E-4</v>
      </c>
      <c r="I147" s="218">
        <f t="shared" si="15"/>
        <v>30</v>
      </c>
      <c r="J147" s="219">
        <f t="shared" si="19"/>
        <v>0</v>
      </c>
    </row>
    <row r="148" spans="1:10" x14ac:dyDescent="0.35">
      <c r="A148" s="152">
        <f t="shared" si="20"/>
        <v>43374</v>
      </c>
      <c r="B148" s="152">
        <f t="shared" si="21"/>
        <v>43404</v>
      </c>
      <c r="C148" s="490"/>
      <c r="D148" s="214" t="s">
        <v>134</v>
      </c>
      <c r="E148" s="155">
        <f t="shared" si="16"/>
        <v>0</v>
      </c>
      <c r="F148" s="220">
        <v>0.1963</v>
      </c>
      <c r="G148" s="216">
        <f t="shared" si="17"/>
        <v>0.29444999999999999</v>
      </c>
      <c r="H148" s="217">
        <f t="shared" si="18"/>
        <v>7.073346857742191E-4</v>
      </c>
      <c r="I148" s="218">
        <f t="shared" si="15"/>
        <v>31</v>
      </c>
      <c r="J148" s="219">
        <f t="shared" si="19"/>
        <v>0</v>
      </c>
    </row>
    <row r="149" spans="1:10" x14ac:dyDescent="0.35">
      <c r="A149" s="152">
        <f t="shared" si="20"/>
        <v>43405</v>
      </c>
      <c r="B149" s="152">
        <f t="shared" si="21"/>
        <v>43434</v>
      </c>
      <c r="C149" s="490"/>
      <c r="D149" s="214" t="s">
        <v>135</v>
      </c>
      <c r="E149" s="155">
        <f t="shared" si="16"/>
        <v>0</v>
      </c>
      <c r="F149" s="220">
        <v>0.19489999999999999</v>
      </c>
      <c r="G149" s="216">
        <v>0.29239999999999999</v>
      </c>
      <c r="H149" s="217">
        <f t="shared" si="18"/>
        <v>7.0298932362988786E-4</v>
      </c>
      <c r="I149" s="218">
        <f t="shared" si="15"/>
        <v>30</v>
      </c>
      <c r="J149" s="219">
        <f t="shared" si="19"/>
        <v>0</v>
      </c>
    </row>
    <row r="150" spans="1:10" x14ac:dyDescent="0.35">
      <c r="A150" s="152">
        <f t="shared" si="20"/>
        <v>43435</v>
      </c>
      <c r="B150" s="152">
        <f t="shared" si="21"/>
        <v>43465</v>
      </c>
      <c r="C150" s="490"/>
      <c r="D150" s="214" t="s">
        <v>136</v>
      </c>
      <c r="E150" s="155">
        <f t="shared" si="16"/>
        <v>0</v>
      </c>
      <c r="F150" s="220">
        <v>0.19400000000000001</v>
      </c>
      <c r="G150" s="216">
        <v>0.29099999999999998</v>
      </c>
      <c r="H150" s="217">
        <f t="shared" si="18"/>
        <v>7.0001780740103214E-4</v>
      </c>
      <c r="I150" s="218">
        <f t="shared" si="15"/>
        <v>31</v>
      </c>
      <c r="J150" s="219">
        <f t="shared" si="19"/>
        <v>0</v>
      </c>
    </row>
    <row r="151" spans="1:10" x14ac:dyDescent="0.35">
      <c r="A151" s="152">
        <f t="shared" si="20"/>
        <v>43466</v>
      </c>
      <c r="B151" s="152">
        <f t="shared" si="21"/>
        <v>43496</v>
      </c>
      <c r="C151" s="473">
        <v>2019</v>
      </c>
      <c r="D151" s="214" t="s">
        <v>125</v>
      </c>
      <c r="E151" s="155">
        <f t="shared" si="16"/>
        <v>0</v>
      </c>
      <c r="F151" s="220">
        <v>0.19159999999999999</v>
      </c>
      <c r="G151" s="216">
        <v>0.28739999999999999</v>
      </c>
      <c r="H151" s="217">
        <f t="shared" si="18"/>
        <v>6.9236198468725085E-4</v>
      </c>
      <c r="I151" s="218">
        <f t="shared" si="15"/>
        <v>31</v>
      </c>
      <c r="J151" s="219">
        <f t="shared" si="19"/>
        <v>0</v>
      </c>
    </row>
    <row r="152" spans="1:10" x14ac:dyDescent="0.35">
      <c r="A152" s="152">
        <f t="shared" si="20"/>
        <v>43497</v>
      </c>
      <c r="B152" s="152">
        <f t="shared" si="21"/>
        <v>43524</v>
      </c>
      <c r="C152" s="473"/>
      <c r="D152" s="214" t="s">
        <v>126</v>
      </c>
      <c r="E152" s="155">
        <f t="shared" si="16"/>
        <v>0</v>
      </c>
      <c r="F152" s="220">
        <v>0.19700000000000001</v>
      </c>
      <c r="G152" s="216">
        <v>0.29549999999999998</v>
      </c>
      <c r="H152" s="217">
        <f t="shared" si="18"/>
        <v>7.0955770203506852E-4</v>
      </c>
      <c r="I152" s="218">
        <f t="shared" si="15"/>
        <v>28</v>
      </c>
      <c r="J152" s="219">
        <f t="shared" si="19"/>
        <v>0</v>
      </c>
    </row>
    <row r="153" spans="1:10" x14ac:dyDescent="0.35">
      <c r="A153" s="152">
        <f t="shared" si="20"/>
        <v>43525</v>
      </c>
      <c r="B153" s="152">
        <f t="shared" si="21"/>
        <v>43555</v>
      </c>
      <c r="C153" s="473"/>
      <c r="D153" s="214" t="s">
        <v>127</v>
      </c>
      <c r="E153" s="155">
        <f t="shared" si="16"/>
        <v>0</v>
      </c>
      <c r="F153" s="220">
        <v>0.19370000000000001</v>
      </c>
      <c r="G153" s="216">
        <v>0.29060000000000002</v>
      </c>
      <c r="H153" s="217">
        <f t="shared" si="18"/>
        <v>6.9916821250104455E-4</v>
      </c>
      <c r="I153" s="218">
        <f t="shared" si="15"/>
        <v>31</v>
      </c>
      <c r="J153" s="219">
        <f t="shared" si="19"/>
        <v>0</v>
      </c>
    </row>
    <row r="154" spans="1:10" x14ac:dyDescent="0.35">
      <c r="A154" s="152">
        <f t="shared" si="20"/>
        <v>43556</v>
      </c>
      <c r="B154" s="152">
        <f t="shared" si="21"/>
        <v>43585</v>
      </c>
      <c r="C154" s="473"/>
      <c r="D154" s="214" t="s">
        <v>128</v>
      </c>
      <c r="E154" s="155">
        <f t="shared" si="16"/>
        <v>0</v>
      </c>
      <c r="F154" s="220">
        <v>0.19320000000000001</v>
      </c>
      <c r="G154" s="216">
        <v>0.2898</v>
      </c>
      <c r="H154" s="217">
        <f t="shared" si="18"/>
        <v>6.9746823462724095E-4</v>
      </c>
      <c r="I154" s="218">
        <f t="shared" si="15"/>
        <v>30</v>
      </c>
      <c r="J154" s="219">
        <f t="shared" si="19"/>
        <v>0</v>
      </c>
    </row>
    <row r="155" spans="1:10" x14ac:dyDescent="0.35">
      <c r="A155" s="152">
        <f t="shared" si="20"/>
        <v>43586</v>
      </c>
      <c r="B155" s="152">
        <f t="shared" si="21"/>
        <v>43616</v>
      </c>
      <c r="C155" s="473"/>
      <c r="D155" s="214" t="s">
        <v>129</v>
      </c>
      <c r="E155" s="155">
        <f t="shared" si="16"/>
        <v>0</v>
      </c>
      <c r="F155" s="220">
        <v>0.19339999999999999</v>
      </c>
      <c r="G155" s="216">
        <v>0.29010000000000002</v>
      </c>
      <c r="H155" s="217">
        <f t="shared" si="18"/>
        <v>6.9810584952367805E-4</v>
      </c>
      <c r="I155" s="218">
        <f t="shared" si="15"/>
        <v>31</v>
      </c>
      <c r="J155" s="219">
        <f t="shared" si="19"/>
        <v>0</v>
      </c>
    </row>
    <row r="156" spans="1:10" x14ac:dyDescent="0.35">
      <c r="A156" s="152">
        <f t="shared" si="20"/>
        <v>43617</v>
      </c>
      <c r="B156" s="152">
        <f t="shared" si="21"/>
        <v>43646</v>
      </c>
      <c r="C156" s="473"/>
      <c r="D156" s="214" t="s">
        <v>130</v>
      </c>
      <c r="E156" s="155">
        <f t="shared" si="16"/>
        <v>0</v>
      </c>
      <c r="F156" s="220">
        <v>0.193</v>
      </c>
      <c r="G156" s="216">
        <v>0.28949999999999998</v>
      </c>
      <c r="H156" s="217">
        <f t="shared" si="18"/>
        <v>6.9683047181468005E-4</v>
      </c>
      <c r="I156" s="218">
        <f t="shared" si="15"/>
        <v>30</v>
      </c>
      <c r="J156" s="219">
        <f t="shared" si="19"/>
        <v>0</v>
      </c>
    </row>
    <row r="157" spans="1:10" x14ac:dyDescent="0.35">
      <c r="A157" s="152">
        <f t="shared" si="20"/>
        <v>43647</v>
      </c>
      <c r="B157" s="152">
        <f t="shared" si="21"/>
        <v>43677</v>
      </c>
      <c r="C157" s="473"/>
      <c r="D157" s="214" t="s">
        <v>131</v>
      </c>
      <c r="E157" s="155">
        <f t="shared" si="16"/>
        <v>0</v>
      </c>
      <c r="F157" s="220">
        <v>0.1928</v>
      </c>
      <c r="G157" s="216">
        <v>0.28920000000000001</v>
      </c>
      <c r="H157" s="217">
        <f t="shared" si="18"/>
        <v>6.9619256101671745E-4</v>
      </c>
      <c r="I157" s="218">
        <f t="shared" si="15"/>
        <v>31</v>
      </c>
      <c r="J157" s="219">
        <f t="shared" si="19"/>
        <v>0</v>
      </c>
    </row>
    <row r="158" spans="1:10" x14ac:dyDescent="0.35">
      <c r="A158" s="152">
        <f t="shared" si="20"/>
        <v>43678</v>
      </c>
      <c r="B158" s="152">
        <f t="shared" si="21"/>
        <v>43708</v>
      </c>
      <c r="C158" s="473"/>
      <c r="D158" s="214" t="s">
        <v>132</v>
      </c>
      <c r="E158" s="155">
        <f t="shared" si="16"/>
        <v>0</v>
      </c>
      <c r="F158" s="220">
        <v>0.19320000000000001</v>
      </c>
      <c r="G158" s="216">
        <v>0.2898</v>
      </c>
      <c r="H158" s="217">
        <f t="shared" si="18"/>
        <v>6.9746823462724095E-4</v>
      </c>
      <c r="I158" s="218">
        <f t="shared" si="15"/>
        <v>31</v>
      </c>
      <c r="J158" s="219">
        <f t="shared" si="19"/>
        <v>0</v>
      </c>
    </row>
    <row r="159" spans="1:10" x14ac:dyDescent="0.35">
      <c r="A159" s="152">
        <f t="shared" si="20"/>
        <v>43709</v>
      </c>
      <c r="B159" s="152">
        <f t="shared" si="21"/>
        <v>43738</v>
      </c>
      <c r="C159" s="473"/>
      <c r="D159" s="214" t="s">
        <v>133</v>
      </c>
      <c r="E159" s="155">
        <f t="shared" si="16"/>
        <v>0</v>
      </c>
      <c r="F159" s="220">
        <v>0.19320000000000001</v>
      </c>
      <c r="G159" s="216">
        <v>0.2898</v>
      </c>
      <c r="H159" s="217">
        <f t="shared" si="18"/>
        <v>6.9746823462724095E-4</v>
      </c>
      <c r="I159" s="218">
        <f t="shared" si="15"/>
        <v>30</v>
      </c>
      <c r="J159" s="219">
        <f t="shared" si="19"/>
        <v>0</v>
      </c>
    </row>
    <row r="160" spans="1:10" x14ac:dyDescent="0.35">
      <c r="A160" s="152">
        <f t="shared" si="20"/>
        <v>43739</v>
      </c>
      <c r="B160" s="152">
        <f t="shared" si="21"/>
        <v>43769</v>
      </c>
      <c r="C160" s="473"/>
      <c r="D160" s="214" t="s">
        <v>134</v>
      </c>
      <c r="E160" s="155">
        <f t="shared" si="16"/>
        <v>0</v>
      </c>
      <c r="F160" s="220">
        <v>0.191</v>
      </c>
      <c r="G160" s="216">
        <v>0.28649999999999998</v>
      </c>
      <c r="H160" s="217">
        <f t="shared" si="18"/>
        <v>6.9044469314105683E-4</v>
      </c>
      <c r="I160" s="218">
        <f t="shared" si="15"/>
        <v>31</v>
      </c>
      <c r="J160" s="219">
        <f t="shared" si="19"/>
        <v>0</v>
      </c>
    </row>
    <row r="161" spans="1:10" x14ac:dyDescent="0.35">
      <c r="A161" s="152">
        <f t="shared" si="20"/>
        <v>43770</v>
      </c>
      <c r="B161" s="152">
        <f t="shared" si="21"/>
        <v>43799</v>
      </c>
      <c r="C161" s="473"/>
      <c r="D161" s="214" t="s">
        <v>135</v>
      </c>
      <c r="E161" s="155">
        <f t="shared" si="16"/>
        <v>0</v>
      </c>
      <c r="F161" s="220">
        <v>0.1903</v>
      </c>
      <c r="G161" s="216">
        <v>0.28549999999999998</v>
      </c>
      <c r="H161" s="217">
        <f t="shared" si="18"/>
        <v>6.8831279977077386E-4</v>
      </c>
      <c r="I161" s="218">
        <f t="shared" si="15"/>
        <v>30</v>
      </c>
      <c r="J161" s="219">
        <f t="shared" si="19"/>
        <v>0</v>
      </c>
    </row>
    <row r="162" spans="1:10" x14ac:dyDescent="0.35">
      <c r="A162" s="152">
        <f t="shared" si="20"/>
        <v>43800</v>
      </c>
      <c r="B162" s="152">
        <f t="shared" si="21"/>
        <v>43830</v>
      </c>
      <c r="C162" s="473"/>
      <c r="D162" s="214" t="s">
        <v>136</v>
      </c>
      <c r="E162" s="155">
        <f t="shared" si="16"/>
        <v>0</v>
      </c>
      <c r="F162" s="220">
        <v>0.18909999999999999</v>
      </c>
      <c r="G162" s="216">
        <v>0.28370000000000001</v>
      </c>
      <c r="H162" s="217">
        <f t="shared" si="18"/>
        <v>6.8447122059933641E-4</v>
      </c>
      <c r="I162" s="218">
        <f t="shared" si="15"/>
        <v>31</v>
      </c>
      <c r="J162" s="219">
        <f t="shared" si="19"/>
        <v>0</v>
      </c>
    </row>
    <row r="163" spans="1:10" x14ac:dyDescent="0.35">
      <c r="A163" s="152">
        <f t="shared" si="20"/>
        <v>43831</v>
      </c>
      <c r="B163" s="152">
        <f t="shared" si="21"/>
        <v>43861</v>
      </c>
      <c r="C163" s="473">
        <v>2020</v>
      </c>
      <c r="D163" s="214" t="s">
        <v>125</v>
      </c>
      <c r="E163" s="155">
        <f t="shared" si="16"/>
        <v>0</v>
      </c>
      <c r="F163" s="220">
        <v>0.18770000000000001</v>
      </c>
      <c r="G163" s="216">
        <v>0.28160000000000002</v>
      </c>
      <c r="H163" s="217">
        <f t="shared" ref="H163:H171" si="22">((1+G163)^(1/365)-1)</f>
        <v>6.7998258294688085E-4</v>
      </c>
      <c r="I163" s="218">
        <f t="shared" ref="I163:I171" si="23">_xlfn.DAYS(B163,A163)+1</f>
        <v>31</v>
      </c>
      <c r="J163" s="219">
        <f t="shared" si="19"/>
        <v>0</v>
      </c>
    </row>
    <row r="164" spans="1:10" x14ac:dyDescent="0.35">
      <c r="A164" s="152">
        <f t="shared" si="20"/>
        <v>43862</v>
      </c>
      <c r="B164" s="152">
        <f t="shared" si="21"/>
        <v>43890</v>
      </c>
      <c r="C164" s="473"/>
      <c r="D164" s="214" t="s">
        <v>126</v>
      </c>
      <c r="E164" s="155">
        <f t="shared" si="16"/>
        <v>0</v>
      </c>
      <c r="F164" s="220">
        <v>0.19059999999999999</v>
      </c>
      <c r="G164" s="216">
        <v>0.28589999999999999</v>
      </c>
      <c r="H164" s="217">
        <f t="shared" si="22"/>
        <v>6.8916575551658532E-4</v>
      </c>
      <c r="I164" s="218">
        <f t="shared" si="23"/>
        <v>29</v>
      </c>
      <c r="J164" s="219">
        <f t="shared" si="19"/>
        <v>0</v>
      </c>
    </row>
    <row r="165" spans="1:10" x14ac:dyDescent="0.35">
      <c r="A165" s="152">
        <f t="shared" si="20"/>
        <v>43891</v>
      </c>
      <c r="B165" s="152">
        <f t="shared" si="21"/>
        <v>43921</v>
      </c>
      <c r="C165" s="473"/>
      <c r="D165" s="214" t="s">
        <v>127</v>
      </c>
      <c r="E165" s="155">
        <f t="shared" si="16"/>
        <v>0</v>
      </c>
      <c r="F165" s="220">
        <v>0.1895</v>
      </c>
      <c r="G165" s="216">
        <v>0.2843</v>
      </c>
      <c r="H165" s="217">
        <f t="shared" si="22"/>
        <v>6.8575234354129044E-4</v>
      </c>
      <c r="I165" s="218">
        <f t="shared" si="23"/>
        <v>31</v>
      </c>
      <c r="J165" s="219">
        <f t="shared" si="19"/>
        <v>0</v>
      </c>
    </row>
    <row r="166" spans="1:10" x14ac:dyDescent="0.35">
      <c r="A166" s="152">
        <f t="shared" si="20"/>
        <v>43922</v>
      </c>
      <c r="B166" s="152">
        <f t="shared" si="21"/>
        <v>43951</v>
      </c>
      <c r="C166" s="473"/>
      <c r="D166" s="214" t="s">
        <v>128</v>
      </c>
      <c r="E166" s="155">
        <f t="shared" si="16"/>
        <v>0</v>
      </c>
      <c r="F166" s="220">
        <v>0.18690000000000001</v>
      </c>
      <c r="G166" s="216">
        <v>0.28039999999999998</v>
      </c>
      <c r="H166" s="217">
        <f t="shared" si="22"/>
        <v>6.7741435280566087E-4</v>
      </c>
      <c r="I166" s="218">
        <f t="shared" si="23"/>
        <v>30</v>
      </c>
      <c r="J166" s="219">
        <f t="shared" si="19"/>
        <v>0</v>
      </c>
    </row>
    <row r="167" spans="1:10" x14ac:dyDescent="0.35">
      <c r="A167" s="152">
        <f t="shared" si="20"/>
        <v>43952</v>
      </c>
      <c r="B167" s="152">
        <f t="shared" si="21"/>
        <v>43982</v>
      </c>
      <c r="C167" s="473"/>
      <c r="D167" s="214" t="s">
        <v>129</v>
      </c>
      <c r="E167" s="155">
        <f t="shared" si="16"/>
        <v>0</v>
      </c>
      <c r="F167" s="220">
        <v>0.18190000000000001</v>
      </c>
      <c r="G167" s="216">
        <v>0.27289999999999998</v>
      </c>
      <c r="H167" s="217">
        <f t="shared" si="22"/>
        <v>6.61308326610488E-4</v>
      </c>
      <c r="I167" s="218">
        <f t="shared" si="23"/>
        <v>31</v>
      </c>
      <c r="J167" s="219">
        <f t="shared" si="19"/>
        <v>0</v>
      </c>
    </row>
    <row r="168" spans="1:10" x14ac:dyDescent="0.35">
      <c r="A168" s="152">
        <f t="shared" si="20"/>
        <v>43983</v>
      </c>
      <c r="B168" s="152">
        <f t="shared" si="21"/>
        <v>44012</v>
      </c>
      <c r="C168" s="473"/>
      <c r="D168" s="214" t="s">
        <v>130</v>
      </c>
      <c r="E168" s="155">
        <f t="shared" si="16"/>
        <v>0</v>
      </c>
      <c r="F168" s="220">
        <v>0.1812</v>
      </c>
      <c r="G168" s="216">
        <v>0.27179999999999999</v>
      </c>
      <c r="H168" s="217">
        <f t="shared" si="22"/>
        <v>6.5893815469997286E-4</v>
      </c>
      <c r="I168" s="218">
        <f t="shared" si="23"/>
        <v>30</v>
      </c>
      <c r="J168" s="219">
        <f t="shared" si="19"/>
        <v>0</v>
      </c>
    </row>
    <row r="169" spans="1:10" x14ac:dyDescent="0.35">
      <c r="A169" s="152">
        <f t="shared" si="20"/>
        <v>44013</v>
      </c>
      <c r="B169" s="152">
        <f t="shared" si="21"/>
        <v>44043</v>
      </c>
      <c r="C169" s="473"/>
      <c r="D169" s="214" t="s">
        <v>131</v>
      </c>
      <c r="E169" s="155">
        <f t="shared" si="16"/>
        <v>0</v>
      </c>
      <c r="F169" s="220">
        <v>0.1812</v>
      </c>
      <c r="G169" s="216">
        <v>0.27179999999999999</v>
      </c>
      <c r="H169" s="217">
        <f t="shared" si="22"/>
        <v>6.5893815469997286E-4</v>
      </c>
      <c r="I169" s="218">
        <f t="shared" si="23"/>
        <v>31</v>
      </c>
      <c r="J169" s="219">
        <f t="shared" si="19"/>
        <v>0</v>
      </c>
    </row>
    <row r="170" spans="1:10" x14ac:dyDescent="0.35">
      <c r="A170" s="152">
        <f t="shared" si="20"/>
        <v>44044</v>
      </c>
      <c r="B170" s="152">
        <f t="shared" si="21"/>
        <v>44074</v>
      </c>
      <c r="C170" s="473"/>
      <c r="D170" s="222" t="s">
        <v>132</v>
      </c>
      <c r="E170" s="155">
        <f t="shared" si="16"/>
        <v>0</v>
      </c>
      <c r="F170" s="223">
        <v>0.18290000000000001</v>
      </c>
      <c r="G170" s="216">
        <v>0.27439999999999998</v>
      </c>
      <c r="H170" s="217">
        <f t="shared" si="22"/>
        <v>6.6453708950175994E-4</v>
      </c>
      <c r="I170" s="218">
        <f t="shared" si="23"/>
        <v>31</v>
      </c>
      <c r="J170" s="219">
        <f t="shared" si="19"/>
        <v>0</v>
      </c>
    </row>
    <row r="171" spans="1:10" x14ac:dyDescent="0.35">
      <c r="A171" s="152">
        <f t="shared" si="20"/>
        <v>44075</v>
      </c>
      <c r="B171" s="152">
        <f t="shared" si="21"/>
        <v>44104</v>
      </c>
      <c r="C171" s="473"/>
      <c r="D171" s="222" t="s">
        <v>133</v>
      </c>
      <c r="E171" s="155">
        <f t="shared" si="16"/>
        <v>0</v>
      </c>
      <c r="F171" s="223">
        <v>0.1835</v>
      </c>
      <c r="G171" s="216">
        <v>0.27529999999999999</v>
      </c>
      <c r="H171" s="217">
        <f t="shared" si="22"/>
        <v>6.6647252857121586E-4</v>
      </c>
      <c r="I171" s="218">
        <f t="shared" si="23"/>
        <v>30</v>
      </c>
      <c r="J171" s="219">
        <f t="shared" si="19"/>
        <v>0</v>
      </c>
    </row>
    <row r="172" spans="1:10" x14ac:dyDescent="0.35">
      <c r="A172" s="152">
        <f t="shared" si="20"/>
        <v>44120</v>
      </c>
      <c r="B172" s="152">
        <f t="shared" si="21"/>
        <v>44135</v>
      </c>
      <c r="C172" s="473"/>
      <c r="D172" s="214" t="s">
        <v>134</v>
      </c>
      <c r="E172" s="155">
        <f t="shared" si="16"/>
        <v>577226873.31355345</v>
      </c>
      <c r="F172" s="223">
        <v>0.18090000000000001</v>
      </c>
      <c r="G172" s="216">
        <f>F172*1.5</f>
        <v>0.27134999999999998</v>
      </c>
      <c r="H172" s="217">
        <f t="shared" ref="H172:H225" si="24">((1+G172)^(1/365)-1)</f>
        <v>6.5796794962613703E-4</v>
      </c>
      <c r="I172" s="218">
        <f t="shared" ref="I172:I225" si="25">_xlfn.DAYS(B172,A172)+1</f>
        <v>16</v>
      </c>
      <c r="J172" s="219">
        <f t="shared" si="19"/>
        <v>0</v>
      </c>
    </row>
    <row r="173" spans="1:10" x14ac:dyDescent="0.35">
      <c r="A173" s="152">
        <f t="shared" si="20"/>
        <v>44136</v>
      </c>
      <c r="B173" s="152">
        <f t="shared" si="21"/>
        <v>44165</v>
      </c>
      <c r="C173" s="473"/>
      <c r="D173" s="214" t="s">
        <v>135</v>
      </c>
      <c r="E173" s="155">
        <f t="shared" si="16"/>
        <v>577226873.31355345</v>
      </c>
      <c r="F173" s="223">
        <v>0.1784</v>
      </c>
      <c r="G173" s="216">
        <f t="shared" ref="G173:G225" si="26">F173*1.5</f>
        <v>0.2676</v>
      </c>
      <c r="H173" s="217">
        <f t="shared" si="24"/>
        <v>6.4986956374091243E-4</v>
      </c>
      <c r="I173" s="218">
        <f t="shared" si="25"/>
        <v>30</v>
      </c>
      <c r="J173" s="219">
        <f t="shared" si="19"/>
        <v>0</v>
      </c>
    </row>
    <row r="174" spans="1:10" x14ac:dyDescent="0.35">
      <c r="A174" s="152">
        <f t="shared" si="20"/>
        <v>44166</v>
      </c>
      <c r="B174" s="152">
        <f t="shared" si="21"/>
        <v>44196</v>
      </c>
      <c r="C174" s="473"/>
      <c r="D174" s="214" t="s">
        <v>136</v>
      </c>
      <c r="E174" s="155">
        <f t="shared" si="16"/>
        <v>577226873.31355345</v>
      </c>
      <c r="F174" s="223">
        <v>0.17460000000000001</v>
      </c>
      <c r="G174" s="216">
        <f t="shared" si="26"/>
        <v>0.26190000000000002</v>
      </c>
      <c r="H174" s="217">
        <f t="shared" si="24"/>
        <v>6.3751414410861962E-4</v>
      </c>
      <c r="I174" s="218">
        <f t="shared" si="25"/>
        <v>31</v>
      </c>
      <c r="J174" s="219">
        <f t="shared" si="19"/>
        <v>0</v>
      </c>
    </row>
    <row r="175" spans="1:10" x14ac:dyDescent="0.35">
      <c r="A175" s="152">
        <f t="shared" si="20"/>
        <v>44197</v>
      </c>
      <c r="B175" s="152">
        <f t="shared" si="21"/>
        <v>44227</v>
      </c>
      <c r="C175" s="486">
        <v>2021</v>
      </c>
      <c r="D175" s="224" t="s">
        <v>125</v>
      </c>
      <c r="E175" s="155">
        <f t="shared" si="16"/>
        <v>577226873.31355345</v>
      </c>
      <c r="F175" s="215">
        <v>0.17319999999999999</v>
      </c>
      <c r="G175" s="225">
        <f t="shared" si="26"/>
        <v>0.25979999999999998</v>
      </c>
      <c r="H175" s="226">
        <f t="shared" si="24"/>
        <v>6.3294811266723094E-4</v>
      </c>
      <c r="I175" s="227">
        <f t="shared" si="25"/>
        <v>31</v>
      </c>
      <c r="J175" s="219">
        <f t="shared" si="19"/>
        <v>0</v>
      </c>
    </row>
    <row r="176" spans="1:10" x14ac:dyDescent="0.35">
      <c r="A176" s="152">
        <f t="shared" si="20"/>
        <v>44228</v>
      </c>
      <c r="B176" s="152">
        <f t="shared" si="21"/>
        <v>44255</v>
      </c>
      <c r="C176" s="486"/>
      <c r="D176" s="224" t="s">
        <v>126</v>
      </c>
      <c r="E176" s="155">
        <f t="shared" si="16"/>
        <v>577226873.31355345</v>
      </c>
      <c r="F176" s="215">
        <v>0.1754</v>
      </c>
      <c r="G176" s="225">
        <f t="shared" si="26"/>
        <v>0.2631</v>
      </c>
      <c r="H176" s="226">
        <f t="shared" si="24"/>
        <v>6.4011990387169426E-4</v>
      </c>
      <c r="I176" s="227">
        <f t="shared" si="25"/>
        <v>28</v>
      </c>
      <c r="J176" s="219">
        <f t="shared" si="19"/>
        <v>0</v>
      </c>
    </row>
    <row r="177" spans="1:10" x14ac:dyDescent="0.35">
      <c r="A177" s="152">
        <f t="shared" si="20"/>
        <v>44256</v>
      </c>
      <c r="B177" s="152">
        <f t="shared" si="21"/>
        <v>44286</v>
      </c>
      <c r="C177" s="486"/>
      <c r="D177" s="224" t="s">
        <v>127</v>
      </c>
      <c r="E177" s="155">
        <f t="shared" si="16"/>
        <v>577226873.31355345</v>
      </c>
      <c r="F177" s="215">
        <v>0.1741</v>
      </c>
      <c r="G177" s="225">
        <f t="shared" si="26"/>
        <v>0.26114999999999999</v>
      </c>
      <c r="H177" s="226">
        <f t="shared" si="24"/>
        <v>6.3588428907812578E-4</v>
      </c>
      <c r="I177" s="227">
        <f t="shared" si="25"/>
        <v>31</v>
      </c>
      <c r="J177" s="219">
        <f t="shared" si="19"/>
        <v>0</v>
      </c>
    </row>
    <row r="178" spans="1:10" x14ac:dyDescent="0.35">
      <c r="A178" s="152">
        <f t="shared" si="20"/>
        <v>44287</v>
      </c>
      <c r="B178" s="152">
        <f t="shared" si="21"/>
        <v>44301</v>
      </c>
      <c r="C178" s="486"/>
      <c r="D178" s="224" t="s">
        <v>128</v>
      </c>
      <c r="E178" s="155">
        <f t="shared" si="16"/>
        <v>577226873.31355345</v>
      </c>
      <c r="F178" s="215">
        <v>0.1731</v>
      </c>
      <c r="G178" s="225">
        <f t="shared" si="26"/>
        <v>0.25964999999999999</v>
      </c>
      <c r="H178" s="226">
        <f t="shared" si="24"/>
        <v>6.326216771728177E-4</v>
      </c>
      <c r="I178" s="227">
        <f t="shared" si="25"/>
        <v>15</v>
      </c>
      <c r="J178" s="219">
        <f t="shared" si="19"/>
        <v>0</v>
      </c>
    </row>
    <row r="179" spans="1:10" x14ac:dyDescent="0.35">
      <c r="A179" s="152">
        <f t="shared" si="20"/>
        <v>44317</v>
      </c>
      <c r="B179" s="152">
        <f t="shared" si="21"/>
        <v>44347</v>
      </c>
      <c r="C179" s="486"/>
      <c r="D179" s="224" t="s">
        <v>129</v>
      </c>
      <c r="E179" s="155">
        <f t="shared" si="16"/>
        <v>0</v>
      </c>
      <c r="F179" s="215">
        <v>0.17219999999999999</v>
      </c>
      <c r="G179" s="225">
        <f t="shared" si="26"/>
        <v>0.25829999999999997</v>
      </c>
      <c r="H179" s="226">
        <f t="shared" si="24"/>
        <v>6.2968201205726437E-4</v>
      </c>
      <c r="I179" s="227">
        <f t="shared" si="25"/>
        <v>31</v>
      </c>
      <c r="J179" s="219">
        <f t="shared" si="19"/>
        <v>0</v>
      </c>
    </row>
    <row r="180" spans="1:10" x14ac:dyDescent="0.35">
      <c r="A180" s="152">
        <f t="shared" si="20"/>
        <v>44348</v>
      </c>
      <c r="B180" s="152">
        <f t="shared" si="21"/>
        <v>44377</v>
      </c>
      <c r="C180" s="486"/>
      <c r="D180" s="224" t="s">
        <v>130</v>
      </c>
      <c r="E180" s="155">
        <f t="shared" si="16"/>
        <v>0</v>
      </c>
      <c r="F180" s="215">
        <v>0.1721</v>
      </c>
      <c r="G180" s="225">
        <f t="shared" si="26"/>
        <v>0.25814999999999999</v>
      </c>
      <c r="H180" s="226">
        <f t="shared" si="24"/>
        <v>6.2935518846773952E-4</v>
      </c>
      <c r="I180" s="227">
        <f t="shared" si="25"/>
        <v>30</v>
      </c>
      <c r="J180" s="219">
        <f t="shared" si="19"/>
        <v>0</v>
      </c>
    </row>
    <row r="181" spans="1:10" x14ac:dyDescent="0.35">
      <c r="A181" s="152">
        <f t="shared" si="20"/>
        <v>44392</v>
      </c>
      <c r="B181" s="152">
        <f t="shared" si="21"/>
        <v>44408</v>
      </c>
      <c r="C181" s="486"/>
      <c r="D181" s="224" t="s">
        <v>131</v>
      </c>
      <c r="E181" s="155">
        <f t="shared" si="16"/>
        <v>577226873.31355345</v>
      </c>
      <c r="F181" s="215">
        <v>0.17180000000000001</v>
      </c>
      <c r="G181" s="225">
        <f t="shared" si="26"/>
        <v>0.25770000000000004</v>
      </c>
      <c r="H181" s="226">
        <f t="shared" si="24"/>
        <v>6.2837448450037137E-4</v>
      </c>
      <c r="I181" s="227">
        <f t="shared" si="25"/>
        <v>17</v>
      </c>
      <c r="J181" s="219">
        <f t="shared" si="19"/>
        <v>0</v>
      </c>
    </row>
    <row r="182" spans="1:10" x14ac:dyDescent="0.35">
      <c r="A182" s="152">
        <f t="shared" si="20"/>
        <v>44424</v>
      </c>
      <c r="B182" s="152">
        <f t="shared" si="21"/>
        <v>44439</v>
      </c>
      <c r="C182" s="486"/>
      <c r="D182" s="149" t="s">
        <v>132</v>
      </c>
      <c r="E182" s="155">
        <f t="shared" si="16"/>
        <v>577226873.31355345</v>
      </c>
      <c r="F182" s="215">
        <v>0.1724</v>
      </c>
      <c r="G182" s="225">
        <f t="shared" si="26"/>
        <v>0.2586</v>
      </c>
      <c r="H182" s="226">
        <f t="shared" si="24"/>
        <v>6.3033554269220637E-4</v>
      </c>
      <c r="I182" s="227">
        <f t="shared" si="25"/>
        <v>16</v>
      </c>
      <c r="J182" s="219">
        <f t="shared" si="19"/>
        <v>5821545.8311459869</v>
      </c>
    </row>
    <row r="183" spans="1:10" x14ac:dyDescent="0.35">
      <c r="A183" s="152">
        <f t="shared" si="20"/>
        <v>44440</v>
      </c>
      <c r="B183" s="152">
        <f t="shared" si="21"/>
        <v>44469</v>
      </c>
      <c r="C183" s="486"/>
      <c r="D183" s="149" t="s">
        <v>133</v>
      </c>
      <c r="E183" s="155">
        <f t="shared" si="16"/>
        <v>577226873.31355345</v>
      </c>
      <c r="F183" s="215">
        <v>0.1719</v>
      </c>
      <c r="G183" s="225">
        <f t="shared" si="26"/>
        <v>0.25785000000000002</v>
      </c>
      <c r="H183" s="226">
        <f t="shared" si="24"/>
        <v>6.2870142469861889E-4</v>
      </c>
      <c r="I183" s="227">
        <f t="shared" si="25"/>
        <v>30</v>
      </c>
      <c r="J183" s="219">
        <f t="shared" si="19"/>
        <v>10887100.728796808</v>
      </c>
    </row>
    <row r="184" spans="1:10" x14ac:dyDescent="0.35">
      <c r="A184" s="152">
        <f t="shared" si="20"/>
        <v>44470</v>
      </c>
      <c r="B184" s="152">
        <f t="shared" si="21"/>
        <v>44500</v>
      </c>
      <c r="C184" s="486"/>
      <c r="D184" s="224" t="s">
        <v>134</v>
      </c>
      <c r="E184" s="155">
        <f t="shared" si="16"/>
        <v>577226873.31355345</v>
      </c>
      <c r="F184" s="215">
        <v>0.17080000000000001</v>
      </c>
      <c r="G184" s="225">
        <f t="shared" si="26"/>
        <v>0.25619999999999998</v>
      </c>
      <c r="H184" s="226">
        <f t="shared" si="24"/>
        <v>6.2510294214179751E-4</v>
      </c>
      <c r="I184" s="227">
        <f t="shared" si="25"/>
        <v>31</v>
      </c>
      <c r="J184" s="219">
        <f t="shared" si="19"/>
        <v>11185612.72054</v>
      </c>
    </row>
    <row r="185" spans="1:10" x14ac:dyDescent="0.35">
      <c r="A185" s="152">
        <f t="shared" si="20"/>
        <v>44501</v>
      </c>
      <c r="B185" s="152">
        <f t="shared" si="21"/>
        <v>44530</v>
      </c>
      <c r="C185" s="486"/>
      <c r="D185" s="224" t="s">
        <v>135</v>
      </c>
      <c r="E185" s="155">
        <f t="shared" si="16"/>
        <v>577226873.31355345</v>
      </c>
      <c r="F185" s="215">
        <v>0.17269999999999999</v>
      </c>
      <c r="G185" s="225">
        <f t="shared" si="26"/>
        <v>0.25905</v>
      </c>
      <c r="H185" s="226">
        <f t="shared" si="24"/>
        <v>6.3131554742335005E-4</v>
      </c>
      <c r="I185" s="227">
        <f t="shared" si="25"/>
        <v>30</v>
      </c>
      <c r="J185" s="219">
        <f t="shared" si="19"/>
        <v>10932368.985402443</v>
      </c>
    </row>
    <row r="186" spans="1:10" x14ac:dyDescent="0.35">
      <c r="A186" s="152">
        <f t="shared" si="20"/>
        <v>44531</v>
      </c>
      <c r="B186" s="152">
        <f t="shared" si="21"/>
        <v>44561</v>
      </c>
      <c r="C186" s="486"/>
      <c r="D186" s="224" t="s">
        <v>136</v>
      </c>
      <c r="E186" s="155">
        <f t="shared" si="16"/>
        <v>577226873.31355345</v>
      </c>
      <c r="F186" s="215">
        <v>0.17460000000000001</v>
      </c>
      <c r="G186" s="225">
        <f t="shared" si="26"/>
        <v>0.26190000000000002</v>
      </c>
      <c r="H186" s="226">
        <f t="shared" si="24"/>
        <v>6.3751414410861962E-4</v>
      </c>
      <c r="I186" s="227">
        <f t="shared" si="25"/>
        <v>31</v>
      </c>
      <c r="J186" s="219">
        <f t="shared" si="19"/>
        <v>11407699.179006524</v>
      </c>
    </row>
    <row r="187" spans="1:10" x14ac:dyDescent="0.35">
      <c r="A187" s="152">
        <f t="shared" si="20"/>
        <v>44562</v>
      </c>
      <c r="B187" s="152">
        <f t="shared" si="21"/>
        <v>44592</v>
      </c>
      <c r="C187" s="486">
        <v>2022</v>
      </c>
      <c r="D187" s="224" t="s">
        <v>125</v>
      </c>
      <c r="E187" s="155">
        <f t="shared" si="16"/>
        <v>577226873.31355345</v>
      </c>
      <c r="F187" s="215">
        <v>0.17660000000000001</v>
      </c>
      <c r="G187" s="225">
        <f t="shared" si="26"/>
        <v>0.26490000000000002</v>
      </c>
      <c r="H187" s="226">
        <f t="shared" si="24"/>
        <v>6.4402391816376081E-4</v>
      </c>
      <c r="I187" s="227">
        <f t="shared" si="25"/>
        <v>31</v>
      </c>
      <c r="J187" s="219">
        <f t="shared" si="19"/>
        <v>11524185.291245157</v>
      </c>
    </row>
    <row r="188" spans="1:10" x14ac:dyDescent="0.35">
      <c r="A188" s="152">
        <f t="shared" si="20"/>
        <v>44593</v>
      </c>
      <c r="B188" s="152">
        <f t="shared" si="21"/>
        <v>44620</v>
      </c>
      <c r="C188" s="486"/>
      <c r="D188" s="224" t="s">
        <v>126</v>
      </c>
      <c r="E188" s="155">
        <f t="shared" si="16"/>
        <v>577226873.31355345</v>
      </c>
      <c r="F188" s="215">
        <v>0.183</v>
      </c>
      <c r="G188" s="225">
        <f t="shared" si="26"/>
        <v>0.27449999999999997</v>
      </c>
      <c r="H188" s="226">
        <f t="shared" si="24"/>
        <v>6.6475220558892545E-4</v>
      </c>
      <c r="I188" s="227">
        <f t="shared" si="25"/>
        <v>28</v>
      </c>
      <c r="J188" s="219">
        <f t="shared" si="19"/>
        <v>10743959.440490751</v>
      </c>
    </row>
    <row r="189" spans="1:10" x14ac:dyDescent="0.35">
      <c r="A189" s="152">
        <f t="shared" si="20"/>
        <v>44621</v>
      </c>
      <c r="B189" s="152">
        <f t="shared" si="21"/>
        <v>44634</v>
      </c>
      <c r="C189" s="486"/>
      <c r="D189" s="224" t="s">
        <v>127</v>
      </c>
      <c r="E189" s="155">
        <f t="shared" si="16"/>
        <v>577226873.31355345</v>
      </c>
      <c r="F189" s="215">
        <v>0.1847</v>
      </c>
      <c r="G189" s="225">
        <f t="shared" si="26"/>
        <v>0.27705000000000002</v>
      </c>
      <c r="H189" s="226">
        <f t="shared" si="24"/>
        <v>6.7023198611315671E-4</v>
      </c>
      <c r="I189" s="227">
        <f t="shared" si="25"/>
        <v>14</v>
      </c>
      <c r="J189" s="219">
        <f t="shared" si="19"/>
        <v>5416262.7923436258</v>
      </c>
    </row>
    <row r="190" spans="1:10" x14ac:dyDescent="0.35">
      <c r="A190" s="152">
        <f t="shared" si="20"/>
        <v>44652</v>
      </c>
      <c r="B190" s="152">
        <f t="shared" si="21"/>
        <v>44681</v>
      </c>
      <c r="C190" s="486"/>
      <c r="D190" s="224" t="s">
        <v>128</v>
      </c>
      <c r="E190" s="155">
        <f t="shared" si="16"/>
        <v>0</v>
      </c>
      <c r="F190" s="215">
        <v>0.1905</v>
      </c>
      <c r="G190" s="225">
        <f t="shared" si="26"/>
        <v>0.28575</v>
      </c>
      <c r="H190" s="226">
        <f t="shared" si="24"/>
        <v>6.8884592812357148E-4</v>
      </c>
      <c r="I190" s="227">
        <f t="shared" si="25"/>
        <v>30</v>
      </c>
      <c r="J190" s="219">
        <f t="shared" si="19"/>
        <v>0</v>
      </c>
    </row>
    <row r="191" spans="1:10" x14ac:dyDescent="0.35">
      <c r="A191" s="152">
        <f t="shared" si="20"/>
        <v>44682</v>
      </c>
      <c r="B191" s="152">
        <f t="shared" si="21"/>
        <v>44712</v>
      </c>
      <c r="C191" s="486"/>
      <c r="D191" s="224" t="s">
        <v>129</v>
      </c>
      <c r="E191" s="155">
        <f t="shared" si="16"/>
        <v>0</v>
      </c>
      <c r="F191" s="215">
        <v>0.1971</v>
      </c>
      <c r="G191" s="225">
        <f t="shared" si="26"/>
        <v>0.29564999999999997</v>
      </c>
      <c r="H191" s="226">
        <f t="shared" si="24"/>
        <v>7.0987512909947981E-4</v>
      </c>
      <c r="I191" s="227">
        <f t="shared" si="25"/>
        <v>31</v>
      </c>
      <c r="J191" s="219">
        <f t="shared" si="19"/>
        <v>0</v>
      </c>
    </row>
    <row r="192" spans="1:10" x14ac:dyDescent="0.35">
      <c r="A192" s="152">
        <f t="shared" si="20"/>
        <v>44713</v>
      </c>
      <c r="B192" s="152">
        <f t="shared" si="21"/>
        <v>44742</v>
      </c>
      <c r="C192" s="486"/>
      <c r="D192" s="224" t="s">
        <v>130</v>
      </c>
      <c r="E192" s="155">
        <f t="shared" si="16"/>
        <v>0</v>
      </c>
      <c r="F192" s="215">
        <v>0.20399999999999999</v>
      </c>
      <c r="G192" s="225">
        <f t="shared" si="26"/>
        <v>0.30599999999999999</v>
      </c>
      <c r="H192" s="226">
        <f t="shared" si="24"/>
        <v>7.3168955664093538E-4</v>
      </c>
      <c r="I192" s="227">
        <f t="shared" si="25"/>
        <v>30</v>
      </c>
      <c r="J192" s="219">
        <f t="shared" si="19"/>
        <v>0</v>
      </c>
    </row>
    <row r="193" spans="1:10" x14ac:dyDescent="0.35">
      <c r="A193" s="152">
        <f t="shared" si="20"/>
        <v>44743</v>
      </c>
      <c r="B193" s="152">
        <f t="shared" si="21"/>
        <v>44773</v>
      </c>
      <c r="C193" s="486"/>
      <c r="D193" s="224" t="s">
        <v>131</v>
      </c>
      <c r="E193" s="155">
        <f t="shared" si="16"/>
        <v>0</v>
      </c>
      <c r="F193" s="215">
        <v>0.21279999999999999</v>
      </c>
      <c r="G193" s="225">
        <f t="shared" si="26"/>
        <v>0.31919999999999998</v>
      </c>
      <c r="H193" s="226">
        <f t="shared" si="24"/>
        <v>7.5926204501630679E-4</v>
      </c>
      <c r="I193" s="227">
        <f t="shared" si="25"/>
        <v>31</v>
      </c>
      <c r="J193" s="219">
        <f t="shared" si="19"/>
        <v>0</v>
      </c>
    </row>
    <row r="194" spans="1:10" x14ac:dyDescent="0.35">
      <c r="A194" s="152">
        <f t="shared" si="20"/>
        <v>44774</v>
      </c>
      <c r="B194" s="152">
        <f t="shared" si="21"/>
        <v>44804</v>
      </c>
      <c r="C194" s="486"/>
      <c r="D194" s="149" t="s">
        <v>132</v>
      </c>
      <c r="E194" s="155">
        <f t="shared" si="16"/>
        <v>0</v>
      </c>
      <c r="F194" s="215">
        <v>0.22209999999999999</v>
      </c>
      <c r="G194" s="225">
        <f t="shared" si="26"/>
        <v>0.33315</v>
      </c>
      <c r="H194" s="226">
        <f t="shared" si="24"/>
        <v>7.8810371394433254E-4</v>
      </c>
      <c r="I194" s="227">
        <f t="shared" si="25"/>
        <v>31</v>
      </c>
      <c r="J194" s="219">
        <f t="shared" si="19"/>
        <v>0</v>
      </c>
    </row>
    <row r="195" spans="1:10" x14ac:dyDescent="0.35">
      <c r="A195" s="152">
        <f t="shared" si="20"/>
        <v>44805</v>
      </c>
      <c r="B195" s="152">
        <f t="shared" si="21"/>
        <v>44834</v>
      </c>
      <c r="C195" s="486"/>
      <c r="D195" s="149" t="s">
        <v>133</v>
      </c>
      <c r="E195" s="155">
        <f t="shared" si="16"/>
        <v>0</v>
      </c>
      <c r="F195" s="215">
        <v>0.23499999999999999</v>
      </c>
      <c r="G195" s="225">
        <f t="shared" si="26"/>
        <v>0.35249999999999998</v>
      </c>
      <c r="H195" s="226">
        <f t="shared" si="24"/>
        <v>8.2761552252574866E-4</v>
      </c>
      <c r="I195" s="227">
        <f t="shared" si="25"/>
        <v>30</v>
      </c>
      <c r="J195" s="219">
        <f t="shared" si="19"/>
        <v>0</v>
      </c>
    </row>
    <row r="196" spans="1:10" x14ac:dyDescent="0.35">
      <c r="A196" s="152">
        <f t="shared" si="20"/>
        <v>44835</v>
      </c>
      <c r="B196" s="152">
        <f t="shared" si="21"/>
        <v>44865</v>
      </c>
      <c r="C196" s="486"/>
      <c r="D196" s="224" t="s">
        <v>134</v>
      </c>
      <c r="E196" s="155">
        <f t="shared" si="16"/>
        <v>0</v>
      </c>
      <c r="F196" s="215">
        <v>0.24610000000000001</v>
      </c>
      <c r="G196" s="225">
        <f t="shared" si="26"/>
        <v>0.36915000000000003</v>
      </c>
      <c r="H196" s="226">
        <f t="shared" si="24"/>
        <v>8.611654102768096E-4</v>
      </c>
      <c r="I196" s="227">
        <f t="shared" si="25"/>
        <v>31</v>
      </c>
      <c r="J196" s="219">
        <f t="shared" si="19"/>
        <v>0</v>
      </c>
    </row>
    <row r="197" spans="1:10" x14ac:dyDescent="0.35">
      <c r="A197" s="152">
        <f t="shared" si="20"/>
        <v>44866</v>
      </c>
      <c r="B197" s="152">
        <f t="shared" si="21"/>
        <v>44895</v>
      </c>
      <c r="C197" s="486"/>
      <c r="D197" s="224" t="s">
        <v>135</v>
      </c>
      <c r="E197" s="155">
        <f t="shared" si="16"/>
        <v>0</v>
      </c>
      <c r="F197" s="215">
        <v>0.25779999999999997</v>
      </c>
      <c r="G197" s="225">
        <f t="shared" si="26"/>
        <v>0.38669999999999993</v>
      </c>
      <c r="H197" s="226">
        <f t="shared" si="24"/>
        <v>8.9609117817124329E-4</v>
      </c>
      <c r="I197" s="227">
        <f t="shared" si="25"/>
        <v>30</v>
      </c>
      <c r="J197" s="219">
        <f t="shared" si="19"/>
        <v>0</v>
      </c>
    </row>
    <row r="198" spans="1:10" x14ac:dyDescent="0.35">
      <c r="A198" s="152">
        <f t="shared" si="20"/>
        <v>44896</v>
      </c>
      <c r="B198" s="152">
        <f t="shared" si="21"/>
        <v>44926</v>
      </c>
      <c r="C198" s="486"/>
      <c r="D198" s="224" t="s">
        <v>136</v>
      </c>
      <c r="E198" s="155">
        <f t="shared" si="16"/>
        <v>0</v>
      </c>
      <c r="F198" s="215">
        <v>0.27639999999999998</v>
      </c>
      <c r="G198" s="225">
        <f t="shared" si="26"/>
        <v>0.41459999999999997</v>
      </c>
      <c r="H198" s="226">
        <f t="shared" si="24"/>
        <v>9.5071686592063109E-4</v>
      </c>
      <c r="I198" s="227">
        <f t="shared" si="25"/>
        <v>31</v>
      </c>
      <c r="J198" s="219">
        <f t="shared" si="19"/>
        <v>0</v>
      </c>
    </row>
    <row r="199" spans="1:10" x14ac:dyDescent="0.35">
      <c r="A199" s="152">
        <f t="shared" si="20"/>
        <v>44927</v>
      </c>
      <c r="B199" s="152">
        <f t="shared" si="21"/>
        <v>44957</v>
      </c>
      <c r="C199" s="486">
        <v>2023</v>
      </c>
      <c r="D199" s="224" t="s">
        <v>125</v>
      </c>
      <c r="E199" s="155">
        <f t="shared" si="16"/>
        <v>0</v>
      </c>
      <c r="F199" s="215">
        <v>0.28839999999999999</v>
      </c>
      <c r="G199" s="225">
        <f t="shared" si="26"/>
        <v>0.43259999999999998</v>
      </c>
      <c r="H199" s="226">
        <f t="shared" si="24"/>
        <v>9.8539196132163553E-4</v>
      </c>
      <c r="I199" s="227">
        <f t="shared" si="25"/>
        <v>31</v>
      </c>
      <c r="J199" s="219">
        <f t="shared" si="19"/>
        <v>0</v>
      </c>
    </row>
    <row r="200" spans="1:10" x14ac:dyDescent="0.35">
      <c r="A200" s="152">
        <f t="shared" si="20"/>
        <v>44958</v>
      </c>
      <c r="B200" s="152">
        <f t="shared" si="21"/>
        <v>44985</v>
      </c>
      <c r="C200" s="486"/>
      <c r="D200" s="224" t="s">
        <v>126</v>
      </c>
      <c r="E200" s="155">
        <f t="shared" ref="E200:E225" si="27">IF(AND(OR(A200&gt;=$E$4,B200&lt;=$E$3), AND(A200&gt;=$E$1,B200&lt;=$E$2)),+$E$5,0)</f>
        <v>0</v>
      </c>
      <c r="F200" s="215">
        <v>0.30180000000000001</v>
      </c>
      <c r="G200" s="225">
        <f t="shared" si="26"/>
        <v>0.45269999999999999</v>
      </c>
      <c r="H200" s="226">
        <f t="shared" si="24"/>
        <v>1.0236026853662761E-3</v>
      </c>
      <c r="I200" s="227">
        <f t="shared" si="25"/>
        <v>28</v>
      </c>
      <c r="J200" s="219">
        <f t="shared" ref="J200:J225" si="28">IF(AND(OR(A200&gt;=$E$4,B200&lt;=$E$3), AND(A200&gt;=$E$1,B200&lt;=$E$2),OR(A200&lt;$E$1,B200&gt;$J$1)),(E200*H200*I200),0)</f>
        <v>0</v>
      </c>
    </row>
    <row r="201" spans="1:10" x14ac:dyDescent="0.35">
      <c r="A201" s="152">
        <f t="shared" ref="A201:A225" si="29">IF(
    AND(
        YEAR(B200)=YEAR(DATE(YEAR($E$1),MONTH($E$1)-1,1)),
        MONTH(B200)=MONTH(DATE(YEAR($E$1),MONTH($E$1)-1,1))
    ),
    $E$1,
    IF(
        AND(
            YEAR(B200)=YEAR(DATE(YEAR($J$1),MONTH($J$1)-1,1)),
            MONTH(B200)=MONTH(DATE(YEAR($J$1),MONTH($J$1)-1,1))
        ),
        $J$1,
        IF(
            $E$4="",
            DATE(YEAR(B200),MONTH(B200)+1,1),
            IF(
                AND(
                    YEAR(B200)=YEAR(DATE(YEAR($E$4),MONTH($E$4)-1,1)),
                    MONTH(B200)=MONTH(DATE(YEAR($E$4),MONTH($E$4)-1,1))
                ),
                $E$4,
                DATE(YEAR(B200),MONTH(B200)+1,1)
            )
        )
    )
)</f>
        <v>44986</v>
      </c>
      <c r="B201" s="152">
        <f t="shared" ref="B201:B225" si="30">IF(
AND(
YEAR(B200)=YEAR(DATE(YEAR($E$2),MONTH($E$2)-1,1)),
MONTH(B200)=MONTH(DATE(YEAR($E$2),MONTH($E$2)-1,1))
),
$E$2,
IF(
$E$3="",
EOMONTH(B200,1),
IF(
AND(
YEAR(B200)=YEAR(DATE(YEAR($E$3),MONTH($E$3)-1,1)),
MONTH(B200)=MONTH(DATE(YEAR($E$3),MONTH($E$3)-1,1))
),
$E$3,
EOMONTH(B200,1)
)))</f>
        <v>45016</v>
      </c>
      <c r="C201" s="486"/>
      <c r="D201" s="224" t="s">
        <v>127</v>
      </c>
      <c r="E201" s="155">
        <f t="shared" si="27"/>
        <v>0</v>
      </c>
      <c r="F201" s="215">
        <v>0.30840000000000001</v>
      </c>
      <c r="G201" s="225">
        <f t="shared" si="26"/>
        <v>0.46260000000000001</v>
      </c>
      <c r="H201" s="226">
        <f t="shared" si="24"/>
        <v>1.0422295217955568E-3</v>
      </c>
      <c r="I201" s="227">
        <f t="shared" si="25"/>
        <v>31</v>
      </c>
      <c r="J201" s="219">
        <f t="shared" si="28"/>
        <v>0</v>
      </c>
    </row>
    <row r="202" spans="1:10" x14ac:dyDescent="0.35">
      <c r="A202" s="152">
        <f t="shared" si="29"/>
        <v>45017</v>
      </c>
      <c r="B202" s="152">
        <f t="shared" si="30"/>
        <v>45046</v>
      </c>
      <c r="C202" s="486"/>
      <c r="D202" s="224" t="s">
        <v>128</v>
      </c>
      <c r="E202" s="155">
        <f t="shared" si="27"/>
        <v>0</v>
      </c>
      <c r="F202" s="215">
        <v>0.31390000000000001</v>
      </c>
      <c r="G202" s="225">
        <f t="shared" si="26"/>
        <v>0.47084999999999999</v>
      </c>
      <c r="H202" s="226">
        <f t="shared" si="24"/>
        <v>1.0576560884423269E-3</v>
      </c>
      <c r="I202" s="227">
        <f t="shared" si="25"/>
        <v>30</v>
      </c>
      <c r="J202" s="219">
        <f t="shared" si="28"/>
        <v>0</v>
      </c>
    </row>
    <row r="203" spans="1:10" x14ac:dyDescent="0.35">
      <c r="A203" s="152">
        <f t="shared" si="29"/>
        <v>45047</v>
      </c>
      <c r="B203" s="152">
        <f t="shared" si="30"/>
        <v>45077</v>
      </c>
      <c r="C203" s="486"/>
      <c r="D203" s="224" t="s">
        <v>129</v>
      </c>
      <c r="E203" s="155">
        <f t="shared" si="27"/>
        <v>0</v>
      </c>
      <c r="F203" s="215">
        <v>0.30270000000000002</v>
      </c>
      <c r="G203" s="225">
        <f t="shared" si="26"/>
        <v>0.45405000000000006</v>
      </c>
      <c r="H203" s="226">
        <f t="shared" si="24"/>
        <v>1.0261501497454972E-3</v>
      </c>
      <c r="I203" s="227">
        <f t="shared" si="25"/>
        <v>31</v>
      </c>
      <c r="J203" s="219">
        <f t="shared" si="28"/>
        <v>0</v>
      </c>
    </row>
    <row r="204" spans="1:10" x14ac:dyDescent="0.35">
      <c r="A204" s="152">
        <f t="shared" si="29"/>
        <v>45078</v>
      </c>
      <c r="B204" s="152">
        <f t="shared" si="30"/>
        <v>45107</v>
      </c>
      <c r="C204" s="486"/>
      <c r="D204" s="224" t="s">
        <v>130</v>
      </c>
      <c r="E204" s="155">
        <f t="shared" si="27"/>
        <v>0</v>
      </c>
      <c r="F204" s="215">
        <v>0.29759999999999998</v>
      </c>
      <c r="G204" s="225">
        <f t="shared" si="26"/>
        <v>0.44639999999999996</v>
      </c>
      <c r="H204" s="226">
        <f t="shared" si="24"/>
        <v>1.0116832165891765E-3</v>
      </c>
      <c r="I204" s="227">
        <f t="shared" si="25"/>
        <v>30</v>
      </c>
      <c r="J204" s="219">
        <f t="shared" si="28"/>
        <v>0</v>
      </c>
    </row>
    <row r="205" spans="1:10" x14ac:dyDescent="0.35">
      <c r="A205" s="152">
        <f t="shared" si="29"/>
        <v>45108</v>
      </c>
      <c r="B205" s="152">
        <f t="shared" si="30"/>
        <v>45138</v>
      </c>
      <c r="C205" s="486"/>
      <c r="D205" s="224" t="s">
        <v>131</v>
      </c>
      <c r="E205" s="155">
        <f t="shared" si="27"/>
        <v>0</v>
      </c>
      <c r="F205" s="215">
        <v>0.29360000000000003</v>
      </c>
      <c r="G205" s="225">
        <f t="shared" si="26"/>
        <v>0.44040000000000001</v>
      </c>
      <c r="H205" s="226">
        <f t="shared" si="24"/>
        <v>1.0002831081175056E-3</v>
      </c>
      <c r="I205" s="227">
        <f t="shared" si="25"/>
        <v>31</v>
      </c>
      <c r="J205" s="219">
        <f t="shared" si="28"/>
        <v>0</v>
      </c>
    </row>
    <row r="206" spans="1:10" x14ac:dyDescent="0.35">
      <c r="A206" s="152">
        <f t="shared" si="29"/>
        <v>45139</v>
      </c>
      <c r="B206" s="152">
        <f t="shared" si="30"/>
        <v>45169</v>
      </c>
      <c r="C206" s="486"/>
      <c r="D206" s="224" t="s">
        <v>132</v>
      </c>
      <c r="E206" s="155">
        <f t="shared" si="27"/>
        <v>0</v>
      </c>
      <c r="F206" s="215">
        <v>0.28749999999999998</v>
      </c>
      <c r="G206" s="225">
        <f t="shared" si="26"/>
        <v>0.43124999999999997</v>
      </c>
      <c r="H206" s="226">
        <f t="shared" si="24"/>
        <v>9.8280644166792719E-4</v>
      </c>
      <c r="I206" s="227">
        <f t="shared" si="25"/>
        <v>31</v>
      </c>
      <c r="J206" s="219">
        <f t="shared" si="28"/>
        <v>0</v>
      </c>
    </row>
    <row r="207" spans="1:10" x14ac:dyDescent="0.35">
      <c r="A207" s="152">
        <f t="shared" si="29"/>
        <v>45170</v>
      </c>
      <c r="B207" s="152">
        <f t="shared" si="30"/>
        <v>45199</v>
      </c>
      <c r="C207" s="486"/>
      <c r="D207" s="224" t="s">
        <v>133</v>
      </c>
      <c r="E207" s="155">
        <f t="shared" si="27"/>
        <v>0</v>
      </c>
      <c r="F207" s="215">
        <v>0.28029999999999999</v>
      </c>
      <c r="G207" s="225">
        <f t="shared" si="26"/>
        <v>0.42044999999999999</v>
      </c>
      <c r="H207" s="226">
        <f t="shared" si="24"/>
        <v>9.6203430176178273E-4</v>
      </c>
      <c r="I207" s="227">
        <f t="shared" si="25"/>
        <v>30</v>
      </c>
      <c r="J207" s="219">
        <f t="shared" si="28"/>
        <v>0</v>
      </c>
    </row>
    <row r="208" spans="1:10" x14ac:dyDescent="0.35">
      <c r="A208" s="152">
        <f t="shared" si="29"/>
        <v>45200</v>
      </c>
      <c r="B208" s="152">
        <f t="shared" si="30"/>
        <v>45230</v>
      </c>
      <c r="C208" s="486"/>
      <c r="D208" s="224" t="s">
        <v>134</v>
      </c>
      <c r="E208" s="155">
        <f t="shared" si="27"/>
        <v>0</v>
      </c>
      <c r="F208" s="215">
        <v>0.26529999999999998</v>
      </c>
      <c r="G208" s="225">
        <f t="shared" si="26"/>
        <v>0.39794999999999997</v>
      </c>
      <c r="H208" s="226">
        <f t="shared" si="24"/>
        <v>9.1824839459819785E-4</v>
      </c>
      <c r="I208" s="227">
        <f t="shared" si="25"/>
        <v>31</v>
      </c>
      <c r="J208" s="219">
        <f t="shared" si="28"/>
        <v>0</v>
      </c>
    </row>
    <row r="209" spans="1:10" x14ac:dyDescent="0.35">
      <c r="A209" s="152">
        <f t="shared" si="29"/>
        <v>45231</v>
      </c>
      <c r="B209" s="152">
        <f t="shared" si="30"/>
        <v>45260</v>
      </c>
      <c r="C209" s="486"/>
      <c r="D209" s="224" t="s">
        <v>135</v>
      </c>
      <c r="E209" s="155">
        <f t="shared" si="27"/>
        <v>0</v>
      </c>
      <c r="F209" s="215">
        <v>0.25519999999999998</v>
      </c>
      <c r="G209" s="225">
        <f t="shared" si="26"/>
        <v>0.38279999999999997</v>
      </c>
      <c r="H209" s="226">
        <f t="shared" si="24"/>
        <v>8.8836814369663841E-4</v>
      </c>
      <c r="I209" s="227">
        <f t="shared" si="25"/>
        <v>30</v>
      </c>
      <c r="J209" s="219">
        <f t="shared" si="28"/>
        <v>0</v>
      </c>
    </row>
    <row r="210" spans="1:10" x14ac:dyDescent="0.35">
      <c r="A210" s="152">
        <f t="shared" si="29"/>
        <v>45261</v>
      </c>
      <c r="B210" s="152">
        <f t="shared" si="30"/>
        <v>45291</v>
      </c>
      <c r="C210" s="486"/>
      <c r="D210" s="224" t="s">
        <v>136</v>
      </c>
      <c r="E210" s="155">
        <f t="shared" si="27"/>
        <v>0</v>
      </c>
      <c r="F210" s="215">
        <v>0.25040000000000001</v>
      </c>
      <c r="G210" s="225">
        <f t="shared" si="26"/>
        <v>0.37560000000000004</v>
      </c>
      <c r="H210" s="226">
        <f t="shared" si="24"/>
        <v>8.7405299359555322E-4</v>
      </c>
      <c r="I210" s="227">
        <f t="shared" si="25"/>
        <v>31</v>
      </c>
      <c r="J210" s="219">
        <f t="shared" si="28"/>
        <v>0</v>
      </c>
    </row>
    <row r="211" spans="1:10" x14ac:dyDescent="0.35">
      <c r="A211" s="152">
        <f t="shared" si="29"/>
        <v>45292</v>
      </c>
      <c r="B211" s="152">
        <f t="shared" si="30"/>
        <v>45322</v>
      </c>
      <c r="C211" s="481">
        <v>2024</v>
      </c>
      <c r="D211" s="224" t="s">
        <v>125</v>
      </c>
      <c r="E211" s="155">
        <f t="shared" si="27"/>
        <v>0</v>
      </c>
      <c r="F211" s="215">
        <v>0.23319999999999999</v>
      </c>
      <c r="G211" s="225">
        <f t="shared" si="26"/>
        <v>0.3498</v>
      </c>
      <c r="H211" s="226">
        <f t="shared" si="24"/>
        <v>8.2213621633542289E-4</v>
      </c>
      <c r="I211" s="227">
        <f t="shared" si="25"/>
        <v>31</v>
      </c>
      <c r="J211" s="219">
        <f t="shared" si="28"/>
        <v>0</v>
      </c>
    </row>
    <row r="212" spans="1:10" x14ac:dyDescent="0.35">
      <c r="A212" s="152">
        <f t="shared" si="29"/>
        <v>45323</v>
      </c>
      <c r="B212" s="152">
        <f t="shared" si="30"/>
        <v>45351</v>
      </c>
      <c r="C212" s="482"/>
      <c r="D212" s="224" t="s">
        <v>126</v>
      </c>
      <c r="E212" s="155">
        <f t="shared" si="27"/>
        <v>0</v>
      </c>
      <c r="F212" s="215">
        <v>0.2331</v>
      </c>
      <c r="G212" s="225">
        <f t="shared" si="26"/>
        <v>0.34965000000000002</v>
      </c>
      <c r="H212" s="226">
        <f t="shared" si="24"/>
        <v>8.2183149003478562E-4</v>
      </c>
      <c r="I212" s="227">
        <f t="shared" si="25"/>
        <v>29</v>
      </c>
      <c r="J212" s="219">
        <f t="shared" si="28"/>
        <v>0</v>
      </c>
    </row>
    <row r="213" spans="1:10" x14ac:dyDescent="0.35">
      <c r="A213" s="152">
        <f t="shared" si="29"/>
        <v>45352</v>
      </c>
      <c r="B213" s="152">
        <f t="shared" si="30"/>
        <v>45382</v>
      </c>
      <c r="C213" s="482"/>
      <c r="D213" s="224" t="s">
        <v>127</v>
      </c>
      <c r="E213" s="155">
        <f t="shared" si="27"/>
        <v>0</v>
      </c>
      <c r="F213" s="215">
        <v>0.222</v>
      </c>
      <c r="G213" s="225">
        <f t="shared" si="26"/>
        <v>0.33300000000000002</v>
      </c>
      <c r="H213" s="226">
        <f t="shared" si="24"/>
        <v>7.8779519212868188E-4</v>
      </c>
      <c r="I213" s="227">
        <f t="shared" si="25"/>
        <v>31</v>
      </c>
      <c r="J213" s="219">
        <f t="shared" si="28"/>
        <v>0</v>
      </c>
    </row>
    <row r="214" spans="1:10" x14ac:dyDescent="0.35">
      <c r="A214" s="152">
        <f t="shared" si="29"/>
        <v>45383</v>
      </c>
      <c r="B214" s="152">
        <f t="shared" si="30"/>
        <v>45412</v>
      </c>
      <c r="C214" s="482"/>
      <c r="D214" s="224" t="s">
        <v>128</v>
      </c>
      <c r="E214" s="155">
        <f t="shared" si="27"/>
        <v>0</v>
      </c>
      <c r="F214" s="215">
        <v>0.22059999999999999</v>
      </c>
      <c r="G214" s="225">
        <f t="shared" si="26"/>
        <v>0.33089999999999997</v>
      </c>
      <c r="H214" s="226">
        <f t="shared" si="24"/>
        <v>7.8347224762276291E-4</v>
      </c>
      <c r="I214" s="227">
        <f t="shared" si="25"/>
        <v>30</v>
      </c>
      <c r="J214" s="219">
        <f t="shared" si="28"/>
        <v>0</v>
      </c>
    </row>
    <row r="215" spans="1:10" x14ac:dyDescent="0.35">
      <c r="A215" s="152">
        <f t="shared" si="29"/>
        <v>45413</v>
      </c>
      <c r="B215" s="152">
        <f t="shared" si="30"/>
        <v>45443</v>
      </c>
      <c r="C215" s="482"/>
      <c r="D215" s="224" t="s">
        <v>129</v>
      </c>
      <c r="E215" s="155">
        <f t="shared" si="27"/>
        <v>0</v>
      </c>
      <c r="F215" s="215">
        <v>0.2102</v>
      </c>
      <c r="G215" s="225">
        <f t="shared" si="26"/>
        <v>0.31530000000000002</v>
      </c>
      <c r="H215" s="226">
        <f t="shared" si="24"/>
        <v>7.5114436909107241E-4</v>
      </c>
      <c r="I215" s="227">
        <f t="shared" si="25"/>
        <v>31</v>
      </c>
      <c r="J215" s="219">
        <f t="shared" si="28"/>
        <v>0</v>
      </c>
    </row>
    <row r="216" spans="1:10" x14ac:dyDescent="0.35">
      <c r="A216" s="152">
        <f t="shared" si="29"/>
        <v>45444</v>
      </c>
      <c r="B216" s="152">
        <f t="shared" si="30"/>
        <v>45473</v>
      </c>
      <c r="C216" s="482"/>
      <c r="D216" s="224" t="s">
        <v>130</v>
      </c>
      <c r="E216" s="155">
        <f t="shared" si="27"/>
        <v>0</v>
      </c>
      <c r="F216" s="215">
        <v>0.2056</v>
      </c>
      <c r="G216" s="225">
        <f t="shared" si="26"/>
        <v>0.30840000000000001</v>
      </c>
      <c r="H216" s="226">
        <f t="shared" si="24"/>
        <v>7.3672334792984628E-4</v>
      </c>
      <c r="I216" s="227">
        <f t="shared" si="25"/>
        <v>30</v>
      </c>
      <c r="J216" s="219">
        <f t="shared" si="28"/>
        <v>0</v>
      </c>
    </row>
    <row r="217" spans="1:10" x14ac:dyDescent="0.35">
      <c r="A217" s="152">
        <f t="shared" si="29"/>
        <v>45474</v>
      </c>
      <c r="B217" s="152">
        <f t="shared" si="30"/>
        <v>45504</v>
      </c>
      <c r="C217" s="482"/>
      <c r="D217" s="224" t="s">
        <v>131</v>
      </c>
      <c r="E217" s="155">
        <f t="shared" si="27"/>
        <v>0</v>
      </c>
      <c r="F217" s="215">
        <v>0.1966</v>
      </c>
      <c r="G217" s="225">
        <f t="shared" si="26"/>
        <v>0.2949</v>
      </c>
      <c r="H217" s="226">
        <f t="shared" si="24"/>
        <v>7.0828762714469917E-4</v>
      </c>
      <c r="I217" s="227">
        <f t="shared" si="25"/>
        <v>31</v>
      </c>
      <c r="J217" s="219">
        <f t="shared" si="28"/>
        <v>0</v>
      </c>
    </row>
    <row r="218" spans="1:10" x14ac:dyDescent="0.35">
      <c r="A218" s="152">
        <f t="shared" si="29"/>
        <v>45505</v>
      </c>
      <c r="B218" s="152">
        <f t="shared" si="30"/>
        <v>45535</v>
      </c>
      <c r="C218" s="482"/>
      <c r="D218" s="224" t="s">
        <v>132</v>
      </c>
      <c r="E218" s="155">
        <f t="shared" si="27"/>
        <v>0</v>
      </c>
      <c r="F218" s="215">
        <v>0.19470000000000001</v>
      </c>
      <c r="G218" s="225">
        <f t="shared" si="26"/>
        <v>0.29205000000000003</v>
      </c>
      <c r="H218" s="226">
        <f t="shared" si="24"/>
        <v>7.0224674562768818E-4</v>
      </c>
      <c r="I218" s="227">
        <f t="shared" si="25"/>
        <v>31</v>
      </c>
      <c r="J218" s="219">
        <f t="shared" si="28"/>
        <v>0</v>
      </c>
    </row>
    <row r="219" spans="1:10" x14ac:dyDescent="0.35">
      <c r="A219" s="152">
        <f t="shared" si="29"/>
        <v>45536</v>
      </c>
      <c r="B219" s="152">
        <f t="shared" si="30"/>
        <v>45565</v>
      </c>
      <c r="C219" s="482"/>
      <c r="D219" s="224" t="s">
        <v>133</v>
      </c>
      <c r="E219" s="155">
        <f t="shared" si="27"/>
        <v>0</v>
      </c>
      <c r="F219" s="215">
        <v>0.1923</v>
      </c>
      <c r="G219" s="225">
        <f t="shared" si="26"/>
        <v>0.28844999999999998</v>
      </c>
      <c r="H219" s="226">
        <f t="shared" si="24"/>
        <v>6.9459713613584384E-4</v>
      </c>
      <c r="I219" s="227">
        <f t="shared" si="25"/>
        <v>30</v>
      </c>
      <c r="J219" s="219">
        <f t="shared" si="28"/>
        <v>0</v>
      </c>
    </row>
    <row r="220" spans="1:10" x14ac:dyDescent="0.35">
      <c r="A220" s="152">
        <f t="shared" si="29"/>
        <v>45566</v>
      </c>
      <c r="B220" s="152">
        <f t="shared" si="30"/>
        <v>45596</v>
      </c>
      <c r="C220" s="482"/>
      <c r="D220" s="224" t="s">
        <v>134</v>
      </c>
      <c r="E220" s="155">
        <f t="shared" si="27"/>
        <v>0</v>
      </c>
      <c r="F220" s="215">
        <v>0.18779999999999999</v>
      </c>
      <c r="G220" s="225">
        <f t="shared" si="26"/>
        <v>0.28170000000000001</v>
      </c>
      <c r="H220" s="226">
        <f t="shared" si="24"/>
        <v>6.8019649386563685E-4</v>
      </c>
      <c r="I220" s="227">
        <f t="shared" si="25"/>
        <v>31</v>
      </c>
      <c r="J220" s="219">
        <f t="shared" si="28"/>
        <v>0</v>
      </c>
    </row>
    <row r="221" spans="1:10" x14ac:dyDescent="0.35">
      <c r="A221" s="152">
        <f t="shared" si="29"/>
        <v>45597</v>
      </c>
      <c r="B221" s="152">
        <f t="shared" si="30"/>
        <v>45626</v>
      </c>
      <c r="C221" s="482"/>
      <c r="D221" s="224" t="s">
        <v>135</v>
      </c>
      <c r="E221" s="155">
        <f t="shared" si="27"/>
        <v>0</v>
      </c>
      <c r="F221" s="215">
        <v>0.186</v>
      </c>
      <c r="G221" s="225">
        <f t="shared" si="26"/>
        <v>0.27900000000000003</v>
      </c>
      <c r="H221" s="226">
        <f t="shared" si="24"/>
        <v>6.7441504877296943E-4</v>
      </c>
      <c r="I221" s="227">
        <f t="shared" si="25"/>
        <v>30</v>
      </c>
      <c r="J221" s="219">
        <f t="shared" si="28"/>
        <v>0</v>
      </c>
    </row>
    <row r="222" spans="1:10" x14ac:dyDescent="0.35">
      <c r="A222" s="152">
        <f t="shared" si="29"/>
        <v>45627</v>
      </c>
      <c r="B222" s="152">
        <f t="shared" si="30"/>
        <v>45657</v>
      </c>
      <c r="C222" s="483"/>
      <c r="D222" s="224" t="s">
        <v>136</v>
      </c>
      <c r="E222" s="155">
        <f t="shared" si="27"/>
        <v>0</v>
      </c>
      <c r="F222" s="215">
        <v>0.1759</v>
      </c>
      <c r="G222" s="225">
        <f t="shared" si="26"/>
        <v>0.26385000000000003</v>
      </c>
      <c r="H222" s="226">
        <f t="shared" si="24"/>
        <v>6.417472503310595E-4</v>
      </c>
      <c r="I222" s="227">
        <f t="shared" si="25"/>
        <v>31</v>
      </c>
      <c r="J222" s="219">
        <f t="shared" si="28"/>
        <v>0</v>
      </c>
    </row>
    <row r="223" spans="1:10" x14ac:dyDescent="0.35">
      <c r="A223" s="152">
        <f t="shared" si="29"/>
        <v>45658</v>
      </c>
      <c r="B223" s="152">
        <f t="shared" si="30"/>
        <v>45688</v>
      </c>
      <c r="C223" s="481">
        <v>2025</v>
      </c>
      <c r="D223" s="224" t="s">
        <v>125</v>
      </c>
      <c r="E223" s="155">
        <f t="shared" si="27"/>
        <v>0</v>
      </c>
      <c r="F223" s="215">
        <v>0.16589999999999999</v>
      </c>
      <c r="G223" s="225">
        <f t="shared" si="26"/>
        <v>0.24884999999999999</v>
      </c>
      <c r="H223" s="226">
        <f t="shared" si="24"/>
        <v>6.0901586217232406E-4</v>
      </c>
      <c r="I223" s="227">
        <f t="shared" si="25"/>
        <v>31</v>
      </c>
      <c r="J223" s="219">
        <f t="shared" si="28"/>
        <v>0</v>
      </c>
    </row>
    <row r="224" spans="1:10" x14ac:dyDescent="0.35">
      <c r="A224" s="152">
        <f t="shared" si="29"/>
        <v>45689</v>
      </c>
      <c r="B224" s="152">
        <f t="shared" si="30"/>
        <v>45716</v>
      </c>
      <c r="C224" s="482"/>
      <c r="D224" s="224" t="s">
        <v>126</v>
      </c>
      <c r="E224" s="155">
        <f t="shared" si="27"/>
        <v>0</v>
      </c>
      <c r="F224" s="215">
        <v>0.17530000000000001</v>
      </c>
      <c r="G224" s="225">
        <f t="shared" si="26"/>
        <v>0.26295000000000002</v>
      </c>
      <c r="H224" s="226">
        <f t="shared" si="24"/>
        <v>6.3979431894600758E-4</v>
      </c>
      <c r="I224" s="227">
        <f t="shared" si="25"/>
        <v>28</v>
      </c>
      <c r="J224" s="219">
        <f t="shared" si="28"/>
        <v>0</v>
      </c>
    </row>
    <row r="225" spans="1:10" x14ac:dyDescent="0.35">
      <c r="A225" s="152">
        <f t="shared" si="29"/>
        <v>45717</v>
      </c>
      <c r="B225" s="152">
        <f t="shared" si="30"/>
        <v>45747</v>
      </c>
      <c r="C225" s="483"/>
      <c r="D225" s="224" t="s">
        <v>127</v>
      </c>
      <c r="E225" s="155">
        <f t="shared" si="27"/>
        <v>0</v>
      </c>
      <c r="F225" s="215">
        <v>0.1661</v>
      </c>
      <c r="G225" s="225">
        <f t="shared" si="26"/>
        <v>0.24914999999999998</v>
      </c>
      <c r="H225" s="226">
        <f t="shared" si="24"/>
        <v>6.0967432385661269E-4</v>
      </c>
      <c r="I225" s="227">
        <f t="shared" si="25"/>
        <v>31</v>
      </c>
      <c r="J225" s="219">
        <f t="shared" si="28"/>
        <v>0</v>
      </c>
    </row>
    <row r="226" spans="1:10" ht="15" thickBot="1" x14ac:dyDescent="0.4">
      <c r="A226" s="165"/>
      <c r="B226" s="165"/>
      <c r="C226" s="165"/>
      <c r="D226" s="165"/>
      <c r="E226" s="165"/>
      <c r="F226" s="165"/>
      <c r="G226" s="165"/>
      <c r="H226" s="165"/>
      <c r="I226" s="165"/>
      <c r="J226" s="165"/>
    </row>
    <row r="227" spans="1:10" ht="15" thickBot="1" x14ac:dyDescent="0.4">
      <c r="A227" s="484" t="s">
        <v>145</v>
      </c>
      <c r="B227" s="485"/>
      <c r="C227" s="485"/>
      <c r="D227" s="485"/>
      <c r="E227" s="485"/>
      <c r="F227" s="485"/>
      <c r="G227" s="485"/>
      <c r="H227" s="485"/>
      <c r="I227" s="485"/>
      <c r="J227" s="230">
        <f>SUM(J7:J226)</f>
        <v>77918734.968971297</v>
      </c>
    </row>
    <row r="228" spans="1:10" x14ac:dyDescent="0.35">
      <c r="A228" s="231"/>
      <c r="B228" s="232"/>
      <c r="C228" s="233"/>
      <c r="D228" s="232"/>
      <c r="E228" s="228"/>
      <c r="F228" s="234"/>
      <c r="G228" s="235"/>
      <c r="H228" s="236"/>
      <c r="I228" s="237"/>
      <c r="J228" s="238"/>
    </row>
    <row r="229" spans="1:10" x14ac:dyDescent="0.35">
      <c r="A229" s="231"/>
      <c r="B229" s="232"/>
      <c r="C229" s="233"/>
      <c r="D229" s="232"/>
      <c r="E229" s="228"/>
      <c r="F229" s="234"/>
      <c r="G229" s="235"/>
      <c r="H229" s="236"/>
      <c r="I229" s="237"/>
      <c r="J229" s="238"/>
    </row>
    <row r="230" spans="1:10" x14ac:dyDescent="0.35">
      <c r="A230" s="231"/>
      <c r="B230" s="232"/>
      <c r="C230" s="233"/>
      <c r="D230" s="232"/>
      <c r="E230" s="228"/>
      <c r="F230" s="234"/>
      <c r="G230" s="235"/>
      <c r="H230" s="236"/>
      <c r="I230" s="237"/>
      <c r="J230" s="238"/>
    </row>
    <row r="231" spans="1:10" x14ac:dyDescent="0.35">
      <c r="A231" s="231"/>
      <c r="B231" s="232"/>
      <c r="C231" s="233"/>
      <c r="D231" s="232"/>
      <c r="E231" s="228"/>
      <c r="F231" s="234"/>
      <c r="G231" s="235"/>
      <c r="H231" s="236"/>
      <c r="I231" s="237"/>
      <c r="J231" s="238"/>
    </row>
    <row r="232" spans="1:10" x14ac:dyDescent="0.35">
      <c r="A232" s="231"/>
      <c r="B232" s="232"/>
      <c r="C232" s="233"/>
      <c r="D232" s="232"/>
      <c r="E232" s="228"/>
      <c r="F232" s="234"/>
      <c r="G232" s="235"/>
      <c r="H232" s="236"/>
      <c r="I232" s="237"/>
      <c r="J232" s="238"/>
    </row>
    <row r="233" spans="1:10" x14ac:dyDescent="0.35">
      <c r="A233" s="231"/>
      <c r="B233" s="232"/>
      <c r="C233" s="233"/>
      <c r="D233" s="232"/>
      <c r="E233" s="228"/>
      <c r="F233" s="234"/>
      <c r="G233" s="235"/>
      <c r="H233" s="236"/>
      <c r="I233" s="237"/>
      <c r="J233" s="238"/>
    </row>
    <row r="234" spans="1:10" x14ac:dyDescent="0.35">
      <c r="A234" s="231"/>
      <c r="B234" s="232"/>
      <c r="C234" s="233"/>
      <c r="D234" s="232"/>
      <c r="E234" s="228"/>
      <c r="F234" s="234"/>
      <c r="G234" s="235"/>
      <c r="H234" s="236"/>
      <c r="I234" s="237"/>
      <c r="J234" s="238"/>
    </row>
    <row r="235" spans="1:10" x14ac:dyDescent="0.35">
      <c r="A235" s="231"/>
      <c r="B235" s="232"/>
      <c r="C235" s="233"/>
      <c r="D235" s="232"/>
      <c r="E235" s="228"/>
      <c r="F235" s="234"/>
      <c r="G235" s="235"/>
      <c r="H235" s="236"/>
      <c r="I235" s="237"/>
      <c r="J235" s="238"/>
    </row>
    <row r="236" spans="1:10" x14ac:dyDescent="0.35">
      <c r="A236" s="231"/>
      <c r="B236" s="232"/>
      <c r="C236" s="233"/>
      <c r="D236" s="232"/>
      <c r="E236" s="228"/>
      <c r="F236" s="234"/>
      <c r="G236" s="235"/>
      <c r="H236" s="236"/>
      <c r="I236" s="237"/>
      <c r="J236" s="238"/>
    </row>
    <row r="237" spans="1:10" x14ac:dyDescent="0.35">
      <c r="A237" s="231"/>
      <c r="B237" s="232"/>
      <c r="C237" s="233"/>
      <c r="D237" s="232"/>
      <c r="E237" s="228"/>
      <c r="F237" s="234"/>
      <c r="G237" s="235"/>
      <c r="H237" s="236"/>
      <c r="I237" s="237"/>
      <c r="J237" s="238"/>
    </row>
    <row r="238" spans="1:10" x14ac:dyDescent="0.35">
      <c r="A238" s="231"/>
      <c r="B238" s="232"/>
      <c r="C238" s="233"/>
      <c r="D238" s="232"/>
      <c r="E238" s="228"/>
      <c r="F238" s="234"/>
      <c r="G238" s="235"/>
      <c r="H238" s="236"/>
      <c r="I238" s="237"/>
      <c r="J238" s="238"/>
    </row>
    <row r="239" spans="1:10" x14ac:dyDescent="0.35">
      <c r="A239" s="231"/>
      <c r="B239" s="232"/>
      <c r="C239" s="233"/>
      <c r="D239" s="232"/>
      <c r="E239" s="228"/>
      <c r="F239" s="234"/>
      <c r="G239" s="235"/>
      <c r="H239" s="236"/>
      <c r="I239" s="237"/>
      <c r="J239" s="238"/>
    </row>
    <row r="240" spans="1:10" x14ac:dyDescent="0.35">
      <c r="A240" s="231"/>
      <c r="B240" s="232"/>
      <c r="C240" s="233"/>
      <c r="D240" s="232"/>
      <c r="E240" s="228"/>
      <c r="F240" s="234"/>
      <c r="G240" s="235"/>
      <c r="H240" s="236"/>
      <c r="I240" s="237"/>
      <c r="J240" s="238"/>
    </row>
    <row r="241" spans="1:10" x14ac:dyDescent="0.35">
      <c r="A241" s="231"/>
      <c r="B241" s="232"/>
      <c r="C241" s="233"/>
      <c r="D241" s="232"/>
      <c r="E241" s="228"/>
      <c r="F241" s="234"/>
      <c r="G241" s="235"/>
      <c r="H241" s="236"/>
      <c r="I241" s="237"/>
      <c r="J241" s="238"/>
    </row>
    <row r="242" spans="1:10" x14ac:dyDescent="0.35">
      <c r="A242" s="231"/>
      <c r="B242" s="232"/>
      <c r="C242" s="233"/>
      <c r="D242" s="232"/>
      <c r="E242" s="228"/>
      <c r="F242" s="234"/>
      <c r="G242" s="235"/>
      <c r="H242" s="236"/>
      <c r="I242" s="237"/>
      <c r="J242" s="238"/>
    </row>
    <row r="243" spans="1:10" x14ac:dyDescent="0.35">
      <c r="A243" s="231"/>
      <c r="B243" s="232"/>
      <c r="C243" s="233"/>
      <c r="D243" s="232"/>
      <c r="E243" s="228"/>
      <c r="F243" s="234"/>
      <c r="G243" s="235"/>
      <c r="H243" s="236"/>
      <c r="I243" s="237"/>
      <c r="J243" s="238"/>
    </row>
    <row r="244" spans="1:10" x14ac:dyDescent="0.35">
      <c r="A244" s="231"/>
      <c r="B244" s="232"/>
      <c r="C244" s="233"/>
      <c r="D244" s="232"/>
      <c r="E244" s="228"/>
      <c r="F244" s="234"/>
      <c r="G244" s="235"/>
      <c r="H244" s="236"/>
      <c r="I244" s="237"/>
      <c r="J244" s="238"/>
    </row>
    <row r="245" spans="1:10" x14ac:dyDescent="0.35">
      <c r="A245" s="231"/>
      <c r="B245" s="232"/>
      <c r="C245" s="233"/>
      <c r="D245" s="232"/>
      <c r="E245" s="228"/>
      <c r="F245" s="234"/>
      <c r="G245" s="235"/>
      <c r="H245" s="236"/>
      <c r="I245" s="237"/>
      <c r="J245" s="238"/>
    </row>
    <row r="246" spans="1:10" x14ac:dyDescent="0.35">
      <c r="A246" s="231"/>
      <c r="B246" s="232"/>
      <c r="C246" s="233"/>
      <c r="D246" s="232"/>
      <c r="E246" s="228"/>
      <c r="F246" s="234"/>
      <c r="G246" s="235"/>
      <c r="H246" s="236"/>
      <c r="I246" s="237"/>
      <c r="J246" s="238"/>
    </row>
    <row r="247" spans="1:10" x14ac:dyDescent="0.35">
      <c r="A247" s="231"/>
      <c r="B247" s="232"/>
      <c r="C247" s="233"/>
      <c r="D247" s="232"/>
      <c r="E247" s="228"/>
      <c r="F247" s="234"/>
      <c r="G247" s="235"/>
      <c r="H247" s="236"/>
      <c r="I247" s="237"/>
      <c r="J247" s="238"/>
    </row>
    <row r="248" spans="1:10" x14ac:dyDescent="0.35">
      <c r="A248" s="231"/>
      <c r="B248" s="232"/>
      <c r="C248" s="233"/>
      <c r="D248" s="232"/>
      <c r="E248" s="228"/>
      <c r="F248" s="234"/>
      <c r="G248" s="235"/>
      <c r="H248" s="236"/>
      <c r="I248" s="237"/>
      <c r="J248" s="238"/>
    </row>
    <row r="249" spans="1:10" x14ac:dyDescent="0.35">
      <c r="A249" s="231"/>
      <c r="B249" s="232"/>
      <c r="C249" s="233"/>
      <c r="D249" s="232"/>
      <c r="E249" s="228"/>
      <c r="F249" s="234"/>
      <c r="G249" s="235"/>
      <c r="H249" s="236"/>
      <c r="I249" s="237"/>
      <c r="J249" s="238"/>
    </row>
    <row r="250" spans="1:10" x14ac:dyDescent="0.35">
      <c r="A250" s="231"/>
      <c r="B250" s="232"/>
      <c r="C250" s="233"/>
      <c r="D250" s="232"/>
      <c r="E250" s="228"/>
      <c r="F250" s="234"/>
      <c r="G250" s="235"/>
      <c r="H250" s="236"/>
      <c r="I250" s="237"/>
      <c r="J250" s="238"/>
    </row>
    <row r="251" spans="1:10" x14ac:dyDescent="0.35">
      <c r="A251" s="231"/>
      <c r="B251" s="232"/>
      <c r="C251" s="233"/>
      <c r="D251" s="232"/>
      <c r="E251" s="228"/>
      <c r="F251" s="234"/>
      <c r="G251" s="235"/>
      <c r="H251" s="236"/>
      <c r="I251" s="237"/>
      <c r="J251" s="238"/>
    </row>
    <row r="252" spans="1:10" x14ac:dyDescent="0.35">
      <c r="A252" s="231"/>
      <c r="B252" s="232"/>
      <c r="C252" s="233"/>
      <c r="D252" s="232"/>
      <c r="E252" s="228"/>
      <c r="F252" s="234"/>
      <c r="G252" s="235"/>
      <c r="H252" s="236"/>
      <c r="I252" s="237"/>
      <c r="J252" s="238"/>
    </row>
  </sheetData>
  <mergeCells count="25">
    <mergeCell ref="A1:D1"/>
    <mergeCell ref="A2:D2"/>
    <mergeCell ref="A3:D3"/>
    <mergeCell ref="A4:D4"/>
    <mergeCell ref="C199:C210"/>
    <mergeCell ref="C127:C138"/>
    <mergeCell ref="A5:D5"/>
    <mergeCell ref="C7:C18"/>
    <mergeCell ref="C19:C30"/>
    <mergeCell ref="C31:C42"/>
    <mergeCell ref="C43:C54"/>
    <mergeCell ref="C115:C126"/>
    <mergeCell ref="C139:C150"/>
    <mergeCell ref="C55:C66"/>
    <mergeCell ref="C67:C78"/>
    <mergeCell ref="C79:C90"/>
    <mergeCell ref="C91:C102"/>
    <mergeCell ref="C103:C114"/>
    <mergeCell ref="C211:C222"/>
    <mergeCell ref="C223:C225"/>
    <mergeCell ref="A227:I227"/>
    <mergeCell ref="C151:C162"/>
    <mergeCell ref="C175:C186"/>
    <mergeCell ref="C163:C174"/>
    <mergeCell ref="C187:C198"/>
  </mergeCells>
  <pageMargins left="0.7" right="0.7" top="0.75" bottom="0.75" header="0.3" footer="0.3"/>
  <pageSetup paperSize="14"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3"/>
  <sheetViews>
    <sheetView zoomScale="140" zoomScaleNormal="140" workbookViewId="0">
      <pane xSplit="7" ySplit="3" topLeftCell="H262" activePane="bottomRight" state="frozen"/>
      <selection pane="topRight" activeCell="E1" sqref="E1"/>
      <selection pane="bottomLeft" activeCell="A3" sqref="A3"/>
      <selection pane="bottomRight" activeCell="F278" sqref="F278"/>
    </sheetView>
  </sheetViews>
  <sheetFormatPr baseColWidth="10" defaultColWidth="11.453125" defaultRowHeight="14.5" x14ac:dyDescent="0.35"/>
  <cols>
    <col min="1" max="1" width="5.1796875" style="77" bestFit="1" customWidth="1"/>
    <col min="2" max="2" width="23.54296875" style="77" customWidth="1"/>
    <col min="3" max="3" width="7.54296875" style="77" bestFit="1" customWidth="1"/>
    <col min="4" max="4" width="11" style="77" bestFit="1" customWidth="1"/>
    <col min="5" max="5" width="9.54296875" style="77" bestFit="1" customWidth="1"/>
    <col min="6" max="6" width="14.26953125" style="77" bestFit="1" customWidth="1"/>
    <col min="7" max="7" width="15.453125" style="77" bestFit="1" customWidth="1"/>
    <col min="8" max="8" width="72.453125" style="74" customWidth="1"/>
    <col min="9" max="9" width="34.7265625" style="74" customWidth="1"/>
  </cols>
  <sheetData>
    <row r="1" spans="1:7" ht="15" thickBot="1" x14ac:dyDescent="0.4">
      <c r="A1" s="502" t="s">
        <v>116</v>
      </c>
      <c r="B1" s="502"/>
      <c r="C1" s="502"/>
      <c r="D1" s="94" t="s">
        <v>146</v>
      </c>
      <c r="E1" s="170">
        <f>SABANA!C14+DAY(1)</f>
        <v>44120</v>
      </c>
    </row>
    <row r="2" spans="1:7" ht="15" customHeight="1" thickBot="1" x14ac:dyDescent="0.4">
      <c r="A2" s="503" t="s">
        <v>147</v>
      </c>
      <c r="B2" s="503"/>
      <c r="C2" s="503"/>
      <c r="D2" s="94" t="s">
        <v>148</v>
      </c>
      <c r="E2" s="170">
        <f>SABANA!C17</f>
        <v>44635</v>
      </c>
      <c r="F2" s="77" t="s">
        <v>149</v>
      </c>
    </row>
    <row r="3" spans="1:7" x14ac:dyDescent="0.35">
      <c r="A3" s="254" t="s">
        <v>66</v>
      </c>
      <c r="B3" s="145" t="s">
        <v>85</v>
      </c>
      <c r="C3" s="145" t="s">
        <v>86</v>
      </c>
      <c r="D3" s="145" t="s">
        <v>150</v>
      </c>
      <c r="E3" s="266" t="s">
        <v>87</v>
      </c>
      <c r="F3" s="255" t="s">
        <v>89</v>
      </c>
      <c r="G3" s="256" t="s">
        <v>151</v>
      </c>
    </row>
    <row r="4" spans="1:7" x14ac:dyDescent="0.35">
      <c r="A4" s="257">
        <v>2006</v>
      </c>
      <c r="B4" s="257"/>
      <c r="C4" s="257"/>
      <c r="D4" s="257"/>
      <c r="E4" s="81" t="s">
        <v>108</v>
      </c>
      <c r="F4" s="258">
        <f>IF(AND(B4&gt;=$E$1,EOMONTH(C4,0)&lt;=EOMONTH($E$2,0)),((VLOOKUP(YEAR(C4),'DIF MES'!A$2:E$38,5)*D4)/30),0)</f>
        <v>0</v>
      </c>
      <c r="G4" s="259">
        <f>IF(E4="adicional",F4,F4-((F4*12)/100))</f>
        <v>0</v>
      </c>
    </row>
    <row r="5" spans="1:7" x14ac:dyDescent="0.35">
      <c r="A5" s="504">
        <v>2007</v>
      </c>
      <c r="B5" s="152">
        <f>IF(
AND(YEAR(C5)=YEAR(DATE(YEAR($E$1),MONTH($E$1),1)),
MONTH(C5)=MONTH(DATE(YEAR($E$1),MONTH($E$1),1))),
$E$1,
DATE(YEAR(C5),MONTH(C5),1))</f>
        <v>39083</v>
      </c>
      <c r="C5" s="152">
        <v>39113</v>
      </c>
      <c r="D5" s="260">
        <f>DAYS360(B5,C5+1)</f>
        <v>30</v>
      </c>
      <c r="E5" s="81" t="s">
        <v>96</v>
      </c>
      <c r="F5" s="258">
        <f>IF(AND(B5&gt;=$E$1,EOMONTH(C5,0)&lt;=EOMONTH($E$2,0)),((VLOOKUP(YEAR(C5),'DIF MES'!A$2:E$38,5)*D5)/30),0)</f>
        <v>0</v>
      </c>
      <c r="G5" s="259">
        <f t="shared" ref="G5:G68" si="0">IF(E5="adicional",F5,F5-((F5*12)/100))</f>
        <v>0</v>
      </c>
    </row>
    <row r="6" spans="1:7" x14ac:dyDescent="0.35">
      <c r="A6" s="505"/>
      <c r="B6" s="152">
        <f>IF(
AND(YEAR(C5)=YEAR(DATE(YEAR($E$1),MONTH($E$1)-1,1)),
MONTH(C5)=MONTH(DATE(YEAR($E$1),MONTH($E$1)-1,1))),
$E$1,
DATE(YEAR(C5),MONTH(C5)+1,1))</f>
        <v>39114</v>
      </c>
      <c r="C6" s="152">
        <f>IF(
AND(
YEAR(C5)=YEAR(DATE(YEAR($E$2),MONTH($E$2)-1,1)),
MONTH(C5)=MONTH(DATE(YEAR($E$2),MONTH($E$2)-1,1))
),
$E$2,
EOMONTH(C5,1)
)</f>
        <v>39141</v>
      </c>
      <c r="D6" s="260">
        <f t="shared" ref="D6:D69" si="1">DAYS360(B6,C6+1)</f>
        <v>30</v>
      </c>
      <c r="E6" s="81" t="s">
        <v>97</v>
      </c>
      <c r="F6" s="258">
        <f>IF(AND(B6&gt;=$E$1,EOMONTH(C6,0)&lt;=EOMONTH($E$2,0)),((VLOOKUP(YEAR(C6),'DIF MES'!A$2:E$38,5)*D6)/30),0)</f>
        <v>0</v>
      </c>
      <c r="G6" s="259">
        <f t="shared" si="0"/>
        <v>0</v>
      </c>
    </row>
    <row r="7" spans="1:7" x14ac:dyDescent="0.35">
      <c r="A7" s="505"/>
      <c r="B7" s="152">
        <f t="shared" ref="B7:B16" si="2">IF(
AND(YEAR(C6)=YEAR(DATE(YEAR($E$1),MONTH($E$1)-1,1)),
MONTH(C6)=MONTH(DATE(YEAR($E$1),MONTH($E$1)-1,1))),
$E$1,
DATE(YEAR(C6),MONTH(C6)+1,1))</f>
        <v>39142</v>
      </c>
      <c r="C7" s="152">
        <f t="shared" ref="C7:C16" si="3">IF(
AND(
YEAR(C6)=YEAR(DATE(YEAR($E$2),MONTH($E$2)-1,1)),
MONTH(C6)=MONTH(DATE(YEAR($E$2),MONTH($E$2)-1,1))
),
$E$2,
EOMONTH(C6,1)
)</f>
        <v>39172</v>
      </c>
      <c r="D7" s="260">
        <f t="shared" si="1"/>
        <v>30</v>
      </c>
      <c r="E7" s="81" t="s">
        <v>98</v>
      </c>
      <c r="F7" s="258">
        <f>IF(AND(B7&gt;=$E$1,EOMONTH(C7,0)&lt;=EOMONTH($E$2,0)),((VLOOKUP(YEAR(C7),'DIF MES'!A$2:E$38,5)*D7)/30),0)</f>
        <v>0</v>
      </c>
      <c r="G7" s="259">
        <f t="shared" si="0"/>
        <v>0</v>
      </c>
    </row>
    <row r="8" spans="1:7" x14ac:dyDescent="0.35">
      <c r="A8" s="505"/>
      <c r="B8" s="152">
        <f t="shared" si="2"/>
        <v>39173</v>
      </c>
      <c r="C8" s="152">
        <f t="shared" si="3"/>
        <v>39202</v>
      </c>
      <c r="D8" s="260">
        <f t="shared" si="1"/>
        <v>30</v>
      </c>
      <c r="E8" s="81" t="s">
        <v>99</v>
      </c>
      <c r="F8" s="258">
        <f>IF(AND(B8&gt;=$E$1,EOMONTH(C8,0)&lt;=EOMONTH($E$2,0)),((VLOOKUP(YEAR(C8),'DIF MES'!A$2:E$38,5)*D8)/30),0)</f>
        <v>0</v>
      </c>
      <c r="G8" s="259">
        <f t="shared" si="0"/>
        <v>0</v>
      </c>
    </row>
    <row r="9" spans="1:7" x14ac:dyDescent="0.35">
      <c r="A9" s="505"/>
      <c r="B9" s="152">
        <f t="shared" si="2"/>
        <v>39203</v>
      </c>
      <c r="C9" s="152">
        <f t="shared" si="3"/>
        <v>39233</v>
      </c>
      <c r="D9" s="260">
        <f t="shared" si="1"/>
        <v>30</v>
      </c>
      <c r="E9" s="81" t="s">
        <v>100</v>
      </c>
      <c r="F9" s="258">
        <f>IF(AND(B9&gt;=$E$1,EOMONTH(C9,0)&lt;=EOMONTH($E$2,0)),((VLOOKUP(YEAR(C9),'DIF MES'!A$2:E$38,5)*D9)/30),0)</f>
        <v>0</v>
      </c>
      <c r="G9" s="259">
        <f t="shared" si="0"/>
        <v>0</v>
      </c>
    </row>
    <row r="10" spans="1:7" x14ac:dyDescent="0.35">
      <c r="A10" s="505"/>
      <c r="B10" s="156">
        <f>B11</f>
        <v>39234</v>
      </c>
      <c r="C10" s="156">
        <f>C11</f>
        <v>39263</v>
      </c>
      <c r="D10" s="260">
        <f t="shared" si="1"/>
        <v>30</v>
      </c>
      <c r="E10" s="261" t="s">
        <v>101</v>
      </c>
      <c r="F10" s="258">
        <f>IF(AND(B10&gt;=$E$1,EOMONTH(C10,0)&lt;=EOMONTH($E$2,0)),((VLOOKUP(YEAR(C10),'DIF MES'!A$2:E$38,5)*D10)/30),0)</f>
        <v>0</v>
      </c>
      <c r="G10" s="262">
        <f>IF(E10="adicional",F10,F10-((F10*12)/100))</f>
        <v>0</v>
      </c>
    </row>
    <row r="11" spans="1:7" x14ac:dyDescent="0.35">
      <c r="A11" s="505"/>
      <c r="B11" s="152">
        <f>IF(
AND(YEAR(C9)=YEAR(DATE(YEAR($E$1),MONTH($E$1)-1,1)),
MONTH(C9)=MONTH(DATE(YEAR($E$1),MONTH($E$1)-1,1))),
$E$1,
DATE(YEAR(C9),MONTH(C9)+1,1))</f>
        <v>39234</v>
      </c>
      <c r="C11" s="152">
        <f>IF(
AND(
YEAR(C9)=YEAR(DATE(YEAR($E$2),MONTH($E$2)-1,1)),
MONTH(C9)=MONTH(DATE(YEAR($E$2),MONTH($E$2)-1,1))
),
$E$2,
EOMONTH(C9,1)
)</f>
        <v>39263</v>
      </c>
      <c r="D11" s="260">
        <f t="shared" si="1"/>
        <v>30</v>
      </c>
      <c r="E11" s="81" t="s">
        <v>102</v>
      </c>
      <c r="F11" s="258">
        <f>IF(AND(B11&gt;=$E$1,EOMONTH(C11,0)&lt;=EOMONTH($E$2,0)),((VLOOKUP(YEAR(C11),'DIF MES'!A$2:E$38,5)*D11)/30),0)</f>
        <v>0</v>
      </c>
      <c r="G11" s="259">
        <f>IF(E11="adicional",F11,F11-((F11*12)/100))</f>
        <v>0</v>
      </c>
    </row>
    <row r="12" spans="1:7" x14ac:dyDescent="0.35">
      <c r="A12" s="505"/>
      <c r="B12" s="152">
        <f t="shared" si="2"/>
        <v>39264</v>
      </c>
      <c r="C12" s="152">
        <f t="shared" si="3"/>
        <v>39294</v>
      </c>
      <c r="D12" s="260">
        <f t="shared" si="1"/>
        <v>30</v>
      </c>
      <c r="E12" s="81" t="s">
        <v>103</v>
      </c>
      <c r="F12" s="258">
        <f>IF(AND(B12&gt;=$E$1,EOMONTH(C12,0)&lt;=EOMONTH($E$2,0)),((VLOOKUP(YEAR(C12),'DIF MES'!A$2:E$38,5)*D12)/30),0)</f>
        <v>0</v>
      </c>
      <c r="G12" s="259">
        <f t="shared" si="0"/>
        <v>0</v>
      </c>
    </row>
    <row r="13" spans="1:7" x14ac:dyDescent="0.35">
      <c r="A13" s="505"/>
      <c r="B13" s="152">
        <f t="shared" si="2"/>
        <v>39295</v>
      </c>
      <c r="C13" s="152">
        <f t="shared" si="3"/>
        <v>39325</v>
      </c>
      <c r="D13" s="260">
        <f t="shared" si="1"/>
        <v>30</v>
      </c>
      <c r="E13" s="81" t="s">
        <v>104</v>
      </c>
      <c r="F13" s="258">
        <f>IF(AND(B13&gt;=$E$1,EOMONTH(C13,0)&lt;=EOMONTH($E$2,0)),((VLOOKUP(YEAR(C13),'DIF MES'!A$2:E$38,5)*D13)/30),0)</f>
        <v>0</v>
      </c>
      <c r="G13" s="259">
        <f t="shared" si="0"/>
        <v>0</v>
      </c>
    </row>
    <row r="14" spans="1:7" x14ac:dyDescent="0.35">
      <c r="A14" s="505"/>
      <c r="B14" s="152">
        <f t="shared" si="2"/>
        <v>39326</v>
      </c>
      <c r="C14" s="152">
        <f t="shared" si="3"/>
        <v>39355</v>
      </c>
      <c r="D14" s="260">
        <f t="shared" si="1"/>
        <v>30</v>
      </c>
      <c r="E14" s="81" t="s">
        <v>105</v>
      </c>
      <c r="F14" s="258">
        <f>IF(AND(B14&gt;=$E$1,EOMONTH(C14,0)&lt;=EOMONTH($E$2,0)),((VLOOKUP(YEAR(C14),'DIF MES'!A$2:E$38,5)*D14)/30),0)</f>
        <v>0</v>
      </c>
      <c r="G14" s="259">
        <f t="shared" si="0"/>
        <v>0</v>
      </c>
    </row>
    <row r="15" spans="1:7" x14ac:dyDescent="0.35">
      <c r="A15" s="505"/>
      <c r="B15" s="152">
        <f t="shared" si="2"/>
        <v>39356</v>
      </c>
      <c r="C15" s="152">
        <f t="shared" si="3"/>
        <v>39386</v>
      </c>
      <c r="D15" s="260">
        <f t="shared" si="1"/>
        <v>30</v>
      </c>
      <c r="E15" s="81" t="s">
        <v>106</v>
      </c>
      <c r="F15" s="258">
        <f>IF(AND(B15&gt;=$E$1,EOMONTH(C15,0)&lt;=EOMONTH($E$2,0)),((VLOOKUP(YEAR(C15),'DIF MES'!A$2:E$38,5)*D15)/30),0)</f>
        <v>0</v>
      </c>
      <c r="G15" s="259">
        <f t="shared" si="0"/>
        <v>0</v>
      </c>
    </row>
    <row r="16" spans="1:7" x14ac:dyDescent="0.35">
      <c r="A16" s="505"/>
      <c r="B16" s="152">
        <f t="shared" si="2"/>
        <v>39387</v>
      </c>
      <c r="C16" s="152">
        <f t="shared" si="3"/>
        <v>39416</v>
      </c>
      <c r="D16" s="260">
        <f t="shared" si="1"/>
        <v>30</v>
      </c>
      <c r="E16" s="81" t="s">
        <v>107</v>
      </c>
      <c r="F16" s="258">
        <f>IF(AND(B16&gt;=$E$1,EOMONTH(C16,0)&lt;=EOMONTH($E$2,0)),((VLOOKUP(YEAR(C16),'DIF MES'!A$2:E$38,5)*D16)/30),0)</f>
        <v>0</v>
      </c>
      <c r="G16" s="259">
        <f t="shared" si="0"/>
        <v>0</v>
      </c>
    </row>
    <row r="17" spans="1:7" x14ac:dyDescent="0.35">
      <c r="A17" s="505"/>
      <c r="B17" s="156">
        <f>B16</f>
        <v>39387</v>
      </c>
      <c r="C17" s="156">
        <f>C16</f>
        <v>39416</v>
      </c>
      <c r="D17" s="260">
        <f t="shared" si="1"/>
        <v>30</v>
      </c>
      <c r="E17" s="261" t="s">
        <v>101</v>
      </c>
      <c r="F17" s="258">
        <f>IF(AND(B17&gt;=$E$1,EOMONTH(C17,0)&lt;=EOMONTH($E$2,0)),((VLOOKUP(YEAR(C17),'DIF MES'!A$2:E$38,5)*D17)/30),0)</f>
        <v>0</v>
      </c>
      <c r="G17" s="262">
        <f t="shared" si="0"/>
        <v>0</v>
      </c>
    </row>
    <row r="18" spans="1:7" x14ac:dyDescent="0.35">
      <c r="A18" s="506"/>
      <c r="B18" s="152">
        <f>IF(
AND(YEAR(C16)=YEAR(DATE(YEAR($E$1),MONTH($E$1)-1,1)),
MONTH(C16)=MONTH(DATE(YEAR($E$1),MONTH($E$1)-1,1))),
$E$1,
DATE(YEAR(C16),MONTH(C16)+1,1))</f>
        <v>39417</v>
      </c>
      <c r="C18" s="152">
        <f>IF(
AND(
YEAR(C16)=YEAR(DATE(YEAR($E$2),MONTH($E$2)-1,1)),
MONTH(C16)=MONTH(DATE(YEAR($E$2),MONTH($E$2)-1,1))
),
$E$2,
EOMONTH(C16,1)
)</f>
        <v>39447</v>
      </c>
      <c r="D18" s="260">
        <f t="shared" si="1"/>
        <v>30</v>
      </c>
      <c r="E18" s="81" t="s">
        <v>108</v>
      </c>
      <c r="F18" s="258">
        <f>IF(AND(B18&gt;=$E$1,EOMONTH(C18,0)&lt;=EOMONTH($E$2,0)),((VLOOKUP(YEAR(C18),'DIF MES'!A$2:E$38,5)*D18)/30),0)</f>
        <v>0</v>
      </c>
      <c r="G18" s="259">
        <f t="shared" si="0"/>
        <v>0</v>
      </c>
    </row>
    <row r="19" spans="1:7" x14ac:dyDescent="0.35">
      <c r="A19" s="504">
        <v>2008</v>
      </c>
      <c r="B19" s="152">
        <f t="shared" ref="B19:B23" si="4">IF(
AND(YEAR(C18)=YEAR(DATE(YEAR($E$1),MONTH($E$1)-1,1)),
MONTH(C18)=MONTH(DATE(YEAR($E$1),MONTH($E$1)-1,1))),
$E$1,
DATE(YEAR(C18),MONTH(C18)+1,1))</f>
        <v>39448</v>
      </c>
      <c r="C19" s="152">
        <f t="shared" ref="C19:C23" si="5">IF(
AND(
YEAR(C18)=YEAR(DATE(YEAR($E$2),MONTH($E$2)-1,1)),
MONTH(C18)=MONTH(DATE(YEAR($E$2),MONTH($E$2)-1,1))
),
$E$2,
EOMONTH(C18,1)
)</f>
        <v>39478</v>
      </c>
      <c r="D19" s="260">
        <f t="shared" si="1"/>
        <v>30</v>
      </c>
      <c r="E19" s="81" t="s">
        <v>96</v>
      </c>
      <c r="F19" s="258">
        <f>IF(AND(B19&gt;=$E$1,EOMONTH(C19,0)&lt;=EOMONTH($E$2,0)),((VLOOKUP(YEAR(C19),'DIF MES'!A$2:E$38,5)*D19)/30),0)</f>
        <v>0</v>
      </c>
      <c r="G19" s="259">
        <f t="shared" si="0"/>
        <v>0</v>
      </c>
    </row>
    <row r="20" spans="1:7" x14ac:dyDescent="0.35">
      <c r="A20" s="505"/>
      <c r="B20" s="152">
        <f t="shared" si="4"/>
        <v>39479</v>
      </c>
      <c r="C20" s="152">
        <f t="shared" si="5"/>
        <v>39507</v>
      </c>
      <c r="D20" s="260">
        <f t="shared" si="1"/>
        <v>30</v>
      </c>
      <c r="E20" s="81" t="s">
        <v>97</v>
      </c>
      <c r="F20" s="258">
        <f>IF(AND(B20&gt;=$E$1,EOMONTH(C20,0)&lt;=EOMONTH($E$2,0)),((VLOOKUP(YEAR(C20),'DIF MES'!A$2:E$38,5)*D20)/30),0)</f>
        <v>0</v>
      </c>
      <c r="G20" s="259">
        <f t="shared" si="0"/>
        <v>0</v>
      </c>
    </row>
    <row r="21" spans="1:7" x14ac:dyDescent="0.35">
      <c r="A21" s="505"/>
      <c r="B21" s="152">
        <f t="shared" si="4"/>
        <v>39508</v>
      </c>
      <c r="C21" s="152">
        <f t="shared" si="5"/>
        <v>39538</v>
      </c>
      <c r="D21" s="260">
        <f t="shared" si="1"/>
        <v>30</v>
      </c>
      <c r="E21" s="81" t="s">
        <v>98</v>
      </c>
      <c r="F21" s="258">
        <f>IF(AND(B21&gt;=$E$1,EOMONTH(C21,0)&lt;=EOMONTH($E$2,0)),((VLOOKUP(YEAR(C21),'DIF MES'!A$2:E$38,5)*D21)/30),0)</f>
        <v>0</v>
      </c>
      <c r="G21" s="259">
        <f t="shared" si="0"/>
        <v>0</v>
      </c>
    </row>
    <row r="22" spans="1:7" x14ac:dyDescent="0.35">
      <c r="A22" s="505"/>
      <c r="B22" s="152">
        <f t="shared" si="4"/>
        <v>39539</v>
      </c>
      <c r="C22" s="152">
        <f t="shared" si="5"/>
        <v>39568</v>
      </c>
      <c r="D22" s="260">
        <f t="shared" si="1"/>
        <v>30</v>
      </c>
      <c r="E22" s="81" t="s">
        <v>99</v>
      </c>
      <c r="F22" s="258">
        <f>IF(AND(B22&gt;=$E$1,EOMONTH(C22,0)&lt;=EOMONTH($E$2,0)),((VLOOKUP(YEAR(C22),'DIF MES'!A$2:E$38,5)*D22)/30),0)</f>
        <v>0</v>
      </c>
      <c r="G22" s="259">
        <f t="shared" si="0"/>
        <v>0</v>
      </c>
    </row>
    <row r="23" spans="1:7" x14ac:dyDescent="0.35">
      <c r="A23" s="505"/>
      <c r="B23" s="152">
        <f t="shared" si="4"/>
        <v>39569</v>
      </c>
      <c r="C23" s="152">
        <f t="shared" si="5"/>
        <v>39599</v>
      </c>
      <c r="D23" s="260">
        <f t="shared" si="1"/>
        <v>30</v>
      </c>
      <c r="E23" s="81" t="s">
        <v>100</v>
      </c>
      <c r="F23" s="258">
        <f>IF(AND(B23&gt;=$E$1,EOMONTH(C23,0)&lt;=EOMONTH($E$2,0)),((VLOOKUP(YEAR(C23),'DIF MES'!A$2:E$38,5)*D23)/30),0)</f>
        <v>0</v>
      </c>
      <c r="G23" s="259">
        <f t="shared" si="0"/>
        <v>0</v>
      </c>
    </row>
    <row r="24" spans="1:7" x14ac:dyDescent="0.35">
      <c r="A24" s="505"/>
      <c r="B24" s="156">
        <f>B25</f>
        <v>39600</v>
      </c>
      <c r="C24" s="156">
        <f>C25</f>
        <v>39629</v>
      </c>
      <c r="D24" s="260">
        <f t="shared" si="1"/>
        <v>30</v>
      </c>
      <c r="E24" s="261" t="s">
        <v>101</v>
      </c>
      <c r="F24" s="258">
        <f>IF(AND(B24&gt;=$E$1,EOMONTH(C24,0)&lt;=EOMONTH($E$2,0)),((VLOOKUP(YEAR(C24),'DIF MES'!A$2:E$38,5)*D24)/30),0)</f>
        <v>0</v>
      </c>
      <c r="G24" s="262">
        <f>IF(E24="adicional",F24,F24-((F24*12)/100))</f>
        <v>0</v>
      </c>
    </row>
    <row r="25" spans="1:7" x14ac:dyDescent="0.35">
      <c r="A25" s="505"/>
      <c r="B25" s="152">
        <f>IF(
AND(YEAR(C23)=YEAR(DATE(YEAR($E$1),MONTH($E$1)-1,1)),
MONTH(C23)=MONTH(DATE(YEAR($E$1),MONTH($E$1)-1,1))),
$E$1,
DATE(YEAR(C23),MONTH(C23)+1,1))</f>
        <v>39600</v>
      </c>
      <c r="C25" s="152">
        <f>IF(
AND(
YEAR(C23)=YEAR(DATE(YEAR($E$2),MONTH($E$2)-1,1)),
MONTH(C23)=MONTH(DATE(YEAR($E$2),MONTH($E$2)-1,1))
),
$E$2,
EOMONTH(C23,1)
)</f>
        <v>39629</v>
      </c>
      <c r="D25" s="260">
        <f t="shared" si="1"/>
        <v>30</v>
      </c>
      <c r="E25" s="81" t="s">
        <v>102</v>
      </c>
      <c r="F25" s="258">
        <f>IF(AND(B25&gt;=$E$1,EOMONTH(C25,0)&lt;=EOMONTH($E$2,0)),((VLOOKUP(YEAR(C25),'DIF MES'!A$2:E$38,5)*D25)/30),0)</f>
        <v>0</v>
      </c>
      <c r="G25" s="259">
        <f>IF(E25="adicional",F25,F25-((F25*12)/100))</f>
        <v>0</v>
      </c>
    </row>
    <row r="26" spans="1:7" x14ac:dyDescent="0.35">
      <c r="A26" s="505"/>
      <c r="B26" s="152">
        <f t="shared" ref="B26:B30" si="6">IF(
AND(YEAR(C25)=YEAR(DATE(YEAR($E$1),MONTH($E$1)-1,1)),
MONTH(C25)=MONTH(DATE(YEAR($E$1),MONTH($E$1)-1,1))),
$E$1,
DATE(YEAR(C25),MONTH(C25)+1,1))</f>
        <v>39630</v>
      </c>
      <c r="C26" s="152">
        <f t="shared" ref="C26:C30" si="7">IF(
AND(
YEAR(C25)=YEAR(DATE(YEAR($E$2),MONTH($E$2)-1,1)),
MONTH(C25)=MONTH(DATE(YEAR($E$2),MONTH($E$2)-1,1))
),
$E$2,
EOMONTH(C25,1)
)</f>
        <v>39660</v>
      </c>
      <c r="D26" s="260">
        <f t="shared" si="1"/>
        <v>30</v>
      </c>
      <c r="E26" s="81" t="s">
        <v>103</v>
      </c>
      <c r="F26" s="258">
        <f>IF(AND(B26&gt;=$E$1,EOMONTH(C26,0)&lt;=EOMONTH($E$2,0)),((VLOOKUP(YEAR(C26),'DIF MES'!A$2:E$38,5)*D26)/30),0)</f>
        <v>0</v>
      </c>
      <c r="G26" s="259">
        <f t="shared" si="0"/>
        <v>0</v>
      </c>
    </row>
    <row r="27" spans="1:7" x14ac:dyDescent="0.35">
      <c r="A27" s="505"/>
      <c r="B27" s="152">
        <f t="shared" si="6"/>
        <v>39661</v>
      </c>
      <c r="C27" s="152">
        <f t="shared" si="7"/>
        <v>39691</v>
      </c>
      <c r="D27" s="260">
        <f t="shared" si="1"/>
        <v>30</v>
      </c>
      <c r="E27" s="81" t="s">
        <v>104</v>
      </c>
      <c r="F27" s="258">
        <f>IF(AND(B27&gt;=$E$1,EOMONTH(C27,0)&lt;=EOMONTH($E$2,0)),((VLOOKUP(YEAR(C27),'DIF MES'!A$2:E$38,5)*D27)/30),0)</f>
        <v>0</v>
      </c>
      <c r="G27" s="259">
        <f t="shared" si="0"/>
        <v>0</v>
      </c>
    </row>
    <row r="28" spans="1:7" x14ac:dyDescent="0.35">
      <c r="A28" s="505"/>
      <c r="B28" s="152">
        <f t="shared" si="6"/>
        <v>39692</v>
      </c>
      <c r="C28" s="152">
        <f t="shared" si="7"/>
        <v>39721</v>
      </c>
      <c r="D28" s="260">
        <f t="shared" si="1"/>
        <v>30</v>
      </c>
      <c r="E28" s="81" t="s">
        <v>105</v>
      </c>
      <c r="F28" s="258">
        <f>IF(AND(B28&gt;=$E$1,EOMONTH(C28,0)&lt;=EOMONTH($E$2,0)),((VLOOKUP(YEAR(C28),'DIF MES'!A$2:E$38,5)*D28)/30),0)</f>
        <v>0</v>
      </c>
      <c r="G28" s="259">
        <f t="shared" si="0"/>
        <v>0</v>
      </c>
    </row>
    <row r="29" spans="1:7" x14ac:dyDescent="0.35">
      <c r="A29" s="505"/>
      <c r="B29" s="152">
        <f t="shared" si="6"/>
        <v>39722</v>
      </c>
      <c r="C29" s="152">
        <f t="shared" si="7"/>
        <v>39752</v>
      </c>
      <c r="D29" s="260">
        <f t="shared" si="1"/>
        <v>30</v>
      </c>
      <c r="E29" s="81" t="s">
        <v>106</v>
      </c>
      <c r="F29" s="258">
        <f>IF(AND(B29&gt;=$E$1,EOMONTH(C29,0)&lt;=EOMONTH($E$2,0)),((VLOOKUP(YEAR(C29),'DIF MES'!A$2:E$38,5)*D29)/30),0)</f>
        <v>0</v>
      </c>
      <c r="G29" s="259">
        <f t="shared" si="0"/>
        <v>0</v>
      </c>
    </row>
    <row r="30" spans="1:7" x14ac:dyDescent="0.35">
      <c r="A30" s="505"/>
      <c r="B30" s="152">
        <f t="shared" si="6"/>
        <v>39753</v>
      </c>
      <c r="C30" s="152">
        <f t="shared" si="7"/>
        <v>39782</v>
      </c>
      <c r="D30" s="260">
        <f t="shared" si="1"/>
        <v>30</v>
      </c>
      <c r="E30" s="81" t="s">
        <v>107</v>
      </c>
      <c r="F30" s="258">
        <f>IF(AND(B30&gt;=$E$1,EOMONTH(C30,0)&lt;=EOMONTH($E$2,0)),((VLOOKUP(YEAR(C30),'DIF MES'!A$2:E$38,5)*D30)/30),0)</f>
        <v>0</v>
      </c>
      <c r="G30" s="259">
        <f t="shared" si="0"/>
        <v>0</v>
      </c>
    </row>
    <row r="31" spans="1:7" x14ac:dyDescent="0.35">
      <c r="A31" s="505"/>
      <c r="B31" s="156">
        <f>B30</f>
        <v>39753</v>
      </c>
      <c r="C31" s="156">
        <f>C30</f>
        <v>39782</v>
      </c>
      <c r="D31" s="260">
        <f t="shared" si="1"/>
        <v>30</v>
      </c>
      <c r="E31" s="261" t="s">
        <v>101</v>
      </c>
      <c r="F31" s="258">
        <f>IF(AND(B31&gt;=$E$1,EOMONTH(C31,0)&lt;=EOMONTH($E$2,0)),((VLOOKUP(YEAR(C31),'DIF MES'!A$2:E$38,5)*D31)/30),0)</f>
        <v>0</v>
      </c>
      <c r="G31" s="262">
        <f t="shared" si="0"/>
        <v>0</v>
      </c>
    </row>
    <row r="32" spans="1:7" x14ac:dyDescent="0.35">
      <c r="A32" s="506"/>
      <c r="B32" s="152">
        <f>IF(
AND(YEAR(C30)=YEAR(DATE(YEAR($E$1),MONTH($E$1)-1,1)),
MONTH(C30)=MONTH(DATE(YEAR($E$1),MONTH($E$1)-1,1))),
$E$1,
DATE(YEAR(C30),MONTH(C30)+1,1))</f>
        <v>39783</v>
      </c>
      <c r="C32" s="152">
        <f>IF(
AND(
YEAR(C30)=YEAR(DATE(YEAR($E$2),MONTH($E$2)-1,1)),
MONTH(C30)=MONTH(DATE(YEAR($E$2),MONTH($E$2)-1,1))
),
$E$2,
EOMONTH(C30,1)
)</f>
        <v>39813</v>
      </c>
      <c r="D32" s="260">
        <f t="shared" si="1"/>
        <v>30</v>
      </c>
      <c r="E32" s="81" t="s">
        <v>108</v>
      </c>
      <c r="F32" s="258">
        <f>IF(AND(B32&gt;=$E$1,EOMONTH(C32,0)&lt;=EOMONTH($E$2,0)),((VLOOKUP(YEAR(C32),'DIF MES'!A$2:E$38,5)*D32)/30),0)</f>
        <v>0</v>
      </c>
      <c r="G32" s="259">
        <f t="shared" si="0"/>
        <v>0</v>
      </c>
    </row>
    <row r="33" spans="1:7" x14ac:dyDescent="0.35">
      <c r="A33" s="504">
        <v>2009</v>
      </c>
      <c r="B33" s="152">
        <f t="shared" ref="B33:B93" si="8">IF(
AND(YEAR(C32)=YEAR(DATE(YEAR($E$1),MONTH($E$1)-1,1)),
MONTH(C32)=MONTH(DATE(YEAR($E$1),MONTH($E$1)-1,1))),
$E$1,
DATE(YEAR(C32),MONTH(C32)+1,1))</f>
        <v>39814</v>
      </c>
      <c r="C33" s="152">
        <f t="shared" ref="C33:C93" si="9">IF(
AND(
YEAR(C32)=YEAR(DATE(YEAR($E$2),MONTH($E$2)-1,1)),
MONTH(C32)=MONTH(DATE(YEAR($E$2),MONTH($E$2)-1,1))
),
$E$2,
EOMONTH(C32,1)
)</f>
        <v>39844</v>
      </c>
      <c r="D33" s="260">
        <f t="shared" si="1"/>
        <v>30</v>
      </c>
      <c r="E33" s="81" t="s">
        <v>96</v>
      </c>
      <c r="F33" s="258">
        <f>IF(AND(B33&gt;=$E$1,EOMONTH(C33,0)&lt;=EOMONTH($E$2,0)),((VLOOKUP(YEAR(C33),'DIF MES'!A$2:E$38,5)*D33)/30),0)</f>
        <v>0</v>
      </c>
      <c r="G33" s="259">
        <f t="shared" si="0"/>
        <v>0</v>
      </c>
    </row>
    <row r="34" spans="1:7" x14ac:dyDescent="0.35">
      <c r="A34" s="505"/>
      <c r="B34" s="152">
        <f t="shared" si="8"/>
        <v>39845</v>
      </c>
      <c r="C34" s="152">
        <f t="shared" si="9"/>
        <v>39872</v>
      </c>
      <c r="D34" s="260">
        <f t="shared" si="1"/>
        <v>30</v>
      </c>
      <c r="E34" s="81" t="s">
        <v>97</v>
      </c>
      <c r="F34" s="258">
        <f>IF(AND(B34&gt;=$E$1,EOMONTH(C34,0)&lt;=EOMONTH($E$2,0)),((VLOOKUP(YEAR(C34),'DIF MES'!A$2:E$38,5)*D34)/30),0)</f>
        <v>0</v>
      </c>
      <c r="G34" s="259">
        <f t="shared" si="0"/>
        <v>0</v>
      </c>
    </row>
    <row r="35" spans="1:7" x14ac:dyDescent="0.35">
      <c r="A35" s="505"/>
      <c r="B35" s="152">
        <f t="shared" si="8"/>
        <v>39873</v>
      </c>
      <c r="C35" s="152">
        <f t="shared" si="9"/>
        <v>39903</v>
      </c>
      <c r="D35" s="260">
        <f t="shared" si="1"/>
        <v>30</v>
      </c>
      <c r="E35" s="81" t="s">
        <v>98</v>
      </c>
      <c r="F35" s="258">
        <f>IF(AND(B35&gt;=$E$1,EOMONTH(C35,0)&lt;=EOMONTH($E$2,0)),((VLOOKUP(YEAR(C35),'DIF MES'!A$2:E$38,5)*D35)/30),0)</f>
        <v>0</v>
      </c>
      <c r="G35" s="259">
        <f t="shared" si="0"/>
        <v>0</v>
      </c>
    </row>
    <row r="36" spans="1:7" x14ac:dyDescent="0.35">
      <c r="A36" s="505"/>
      <c r="B36" s="152">
        <f t="shared" si="8"/>
        <v>39904</v>
      </c>
      <c r="C36" s="152">
        <f t="shared" si="9"/>
        <v>39933</v>
      </c>
      <c r="D36" s="260">
        <f t="shared" si="1"/>
        <v>30</v>
      </c>
      <c r="E36" s="81" t="s">
        <v>99</v>
      </c>
      <c r="F36" s="258">
        <f>IF(AND(B36&gt;=$E$1,EOMONTH(C36,0)&lt;=EOMONTH($E$2,0)),((VLOOKUP(YEAR(C36),'DIF MES'!A$2:E$38,5)*D36)/30),0)</f>
        <v>0</v>
      </c>
      <c r="G36" s="259">
        <f t="shared" si="0"/>
        <v>0</v>
      </c>
    </row>
    <row r="37" spans="1:7" x14ac:dyDescent="0.35">
      <c r="A37" s="505"/>
      <c r="B37" s="152">
        <f t="shared" si="8"/>
        <v>39934</v>
      </c>
      <c r="C37" s="152">
        <f t="shared" si="9"/>
        <v>39964</v>
      </c>
      <c r="D37" s="260">
        <f t="shared" si="1"/>
        <v>30</v>
      </c>
      <c r="E37" s="81" t="s">
        <v>100</v>
      </c>
      <c r="F37" s="258">
        <f>IF(AND(B37&gt;=$E$1,EOMONTH(C37,0)&lt;=EOMONTH($E$2,0)),((VLOOKUP(YEAR(C37),'DIF MES'!A$2:E$38,5)*D37)/30),0)</f>
        <v>0</v>
      </c>
      <c r="G37" s="259">
        <f t="shared" si="0"/>
        <v>0</v>
      </c>
    </row>
    <row r="38" spans="1:7" x14ac:dyDescent="0.35">
      <c r="A38" s="505"/>
      <c r="B38" s="156">
        <f t="shared" ref="B38" si="10">B39</f>
        <v>39965</v>
      </c>
      <c r="C38" s="156">
        <f t="shared" ref="C38" si="11">C39</f>
        <v>39994</v>
      </c>
      <c r="D38" s="260">
        <f t="shared" si="1"/>
        <v>30</v>
      </c>
      <c r="E38" s="261" t="s">
        <v>101</v>
      </c>
      <c r="F38" s="258">
        <f>IF(AND(B38&gt;=$E$1,EOMONTH(C38,0)&lt;=EOMONTH($E$2,0)),((VLOOKUP(YEAR(C38),'DIF MES'!A$2:E$38,5)*D38)/30),0)</f>
        <v>0</v>
      </c>
      <c r="G38" s="262">
        <f>IF(E38="adicional",F38,F38-((F38*12)/100))</f>
        <v>0</v>
      </c>
    </row>
    <row r="39" spans="1:7" x14ac:dyDescent="0.35">
      <c r="A39" s="505"/>
      <c r="B39" s="152">
        <f t="shared" ref="B39" si="12">IF(
AND(YEAR(C37)=YEAR(DATE(YEAR($E$1),MONTH($E$1)-1,1)),
MONTH(C37)=MONTH(DATE(YEAR($E$1),MONTH($E$1)-1,1))),
$E$1,
DATE(YEAR(C37),MONTH(C37)+1,1))</f>
        <v>39965</v>
      </c>
      <c r="C39" s="152">
        <f t="shared" ref="C39" si="13">IF(
AND(
YEAR(C37)=YEAR(DATE(YEAR($E$2),MONTH($E$2)-1,1)),
MONTH(C37)=MONTH(DATE(YEAR($E$2),MONTH($E$2)-1,1))
),
$E$2,
EOMONTH(C37,1)
)</f>
        <v>39994</v>
      </c>
      <c r="D39" s="260">
        <f t="shared" si="1"/>
        <v>30</v>
      </c>
      <c r="E39" s="81" t="s">
        <v>102</v>
      </c>
      <c r="F39" s="258">
        <f>IF(AND(B39&gt;=$E$1,EOMONTH(C39,0)&lt;=EOMONTH($E$2,0)),((VLOOKUP(YEAR(C39),'DIF MES'!A$2:E$38,5)*D39)/30),0)</f>
        <v>0</v>
      </c>
      <c r="G39" s="259">
        <f>IF(E39="adicional",F39,F39-((F39*12)/100))</f>
        <v>0</v>
      </c>
    </row>
    <row r="40" spans="1:7" x14ac:dyDescent="0.35">
      <c r="A40" s="505"/>
      <c r="B40" s="152">
        <f t="shared" ref="B40:B100" si="14">IF(
AND(YEAR(C39)=YEAR(DATE(YEAR($E$1),MONTH($E$1)-1,1)),
MONTH(C39)=MONTH(DATE(YEAR($E$1),MONTH($E$1)-1,1))),
$E$1,
DATE(YEAR(C39),MONTH(C39)+1,1))</f>
        <v>39995</v>
      </c>
      <c r="C40" s="152">
        <f t="shared" ref="C40:C100" si="15">IF(
AND(
YEAR(C39)=YEAR(DATE(YEAR($E$2),MONTH($E$2)-1,1)),
MONTH(C39)=MONTH(DATE(YEAR($E$2),MONTH($E$2)-1,1))
),
$E$2,
EOMONTH(C39,1)
)</f>
        <v>40025</v>
      </c>
      <c r="D40" s="260">
        <f t="shared" si="1"/>
        <v>30</v>
      </c>
      <c r="E40" s="81" t="s">
        <v>103</v>
      </c>
      <c r="F40" s="258">
        <f>IF(AND(B40&gt;=$E$1,EOMONTH(C40,0)&lt;=EOMONTH($E$2,0)),((VLOOKUP(YEAR(C40),'DIF MES'!A$2:E$38,5)*D40)/30),0)</f>
        <v>0</v>
      </c>
      <c r="G40" s="259">
        <f t="shared" si="0"/>
        <v>0</v>
      </c>
    </row>
    <row r="41" spans="1:7" x14ac:dyDescent="0.35">
      <c r="A41" s="505"/>
      <c r="B41" s="152">
        <f t="shared" si="14"/>
        <v>40026</v>
      </c>
      <c r="C41" s="152">
        <f t="shared" si="15"/>
        <v>40056</v>
      </c>
      <c r="D41" s="260">
        <f t="shared" si="1"/>
        <v>30</v>
      </c>
      <c r="E41" s="81" t="s">
        <v>104</v>
      </c>
      <c r="F41" s="258">
        <f>IF(AND(B41&gt;=$E$1,EOMONTH(C41,0)&lt;=EOMONTH($E$2,0)),((VLOOKUP(YEAR(C41),'DIF MES'!A$2:E$38,5)*D41)/30),0)</f>
        <v>0</v>
      </c>
      <c r="G41" s="259">
        <f t="shared" si="0"/>
        <v>0</v>
      </c>
    </row>
    <row r="42" spans="1:7" x14ac:dyDescent="0.35">
      <c r="A42" s="505"/>
      <c r="B42" s="152">
        <f t="shared" si="14"/>
        <v>40057</v>
      </c>
      <c r="C42" s="152">
        <f t="shared" si="15"/>
        <v>40086</v>
      </c>
      <c r="D42" s="260">
        <f t="shared" si="1"/>
        <v>30</v>
      </c>
      <c r="E42" s="81" t="s">
        <v>105</v>
      </c>
      <c r="F42" s="258">
        <f>IF(AND(B42&gt;=$E$1,EOMONTH(C42,0)&lt;=EOMONTH($E$2,0)),((VLOOKUP(YEAR(C42),'DIF MES'!A$2:E$38,5)*D42)/30),0)</f>
        <v>0</v>
      </c>
      <c r="G42" s="259">
        <f t="shared" si="0"/>
        <v>0</v>
      </c>
    </row>
    <row r="43" spans="1:7" x14ac:dyDescent="0.35">
      <c r="A43" s="505"/>
      <c r="B43" s="152">
        <f t="shared" si="14"/>
        <v>40087</v>
      </c>
      <c r="C43" s="152">
        <f t="shared" si="15"/>
        <v>40117</v>
      </c>
      <c r="D43" s="260">
        <f t="shared" si="1"/>
        <v>30</v>
      </c>
      <c r="E43" s="81" t="s">
        <v>106</v>
      </c>
      <c r="F43" s="258">
        <f>IF(AND(B43&gt;=$E$1,EOMONTH(C43,0)&lt;=EOMONTH($E$2,0)),((VLOOKUP(YEAR(C43),'DIF MES'!A$2:E$38,5)*D43)/30),0)</f>
        <v>0</v>
      </c>
      <c r="G43" s="259">
        <f t="shared" si="0"/>
        <v>0</v>
      </c>
    </row>
    <row r="44" spans="1:7" x14ac:dyDescent="0.35">
      <c r="A44" s="505"/>
      <c r="B44" s="152">
        <f t="shared" si="14"/>
        <v>40118</v>
      </c>
      <c r="C44" s="152">
        <f t="shared" si="15"/>
        <v>40147</v>
      </c>
      <c r="D44" s="260">
        <f t="shared" si="1"/>
        <v>30</v>
      </c>
      <c r="E44" s="81" t="s">
        <v>107</v>
      </c>
      <c r="F44" s="258">
        <f>IF(AND(B44&gt;=$E$1,EOMONTH(C44,0)&lt;=EOMONTH($E$2,0)),((VLOOKUP(YEAR(C44),'DIF MES'!A$2:E$38,5)*D44)/30),0)</f>
        <v>0</v>
      </c>
      <c r="G44" s="259">
        <f t="shared" si="0"/>
        <v>0</v>
      </c>
    </row>
    <row r="45" spans="1:7" x14ac:dyDescent="0.35">
      <c r="A45" s="505"/>
      <c r="B45" s="156">
        <f t="shared" ref="B45" si="16">B44</f>
        <v>40118</v>
      </c>
      <c r="C45" s="156">
        <f t="shared" ref="C45" si="17">C44</f>
        <v>40147</v>
      </c>
      <c r="D45" s="260">
        <f t="shared" si="1"/>
        <v>30</v>
      </c>
      <c r="E45" s="261" t="s">
        <v>101</v>
      </c>
      <c r="F45" s="258">
        <f>IF(AND(B45&gt;=$E$1,EOMONTH(C45,0)&lt;=EOMONTH($E$2,0)),((VLOOKUP(YEAR(C45),'DIF MES'!A$2:E$38,5)*D45)/30),0)</f>
        <v>0</v>
      </c>
      <c r="G45" s="262">
        <f t="shared" si="0"/>
        <v>0</v>
      </c>
    </row>
    <row r="46" spans="1:7" x14ac:dyDescent="0.35">
      <c r="A46" s="506"/>
      <c r="B46" s="152">
        <f t="shared" ref="B46" si="18">IF(
AND(YEAR(C44)=YEAR(DATE(YEAR($E$1),MONTH($E$1)-1,1)),
MONTH(C44)=MONTH(DATE(YEAR($E$1),MONTH($E$1)-1,1))),
$E$1,
DATE(YEAR(C44),MONTH(C44)+1,1))</f>
        <v>40148</v>
      </c>
      <c r="C46" s="152">
        <f t="shared" ref="C46" si="19">IF(
AND(
YEAR(C44)=YEAR(DATE(YEAR($E$2),MONTH($E$2)-1,1)),
MONTH(C44)=MONTH(DATE(YEAR($E$2),MONTH($E$2)-1,1))
),
$E$2,
EOMONTH(C44,1)
)</f>
        <v>40178</v>
      </c>
      <c r="D46" s="260">
        <f t="shared" si="1"/>
        <v>30</v>
      </c>
      <c r="E46" s="81" t="s">
        <v>108</v>
      </c>
      <c r="F46" s="258">
        <f>IF(AND(B46&gt;=$E$1,EOMONTH(C46,0)&lt;=EOMONTH($E$2,0)),((VLOOKUP(YEAR(C46),'DIF MES'!A$2:E$38,5)*D46)/30),0)</f>
        <v>0</v>
      </c>
      <c r="G46" s="259">
        <f t="shared" si="0"/>
        <v>0</v>
      </c>
    </row>
    <row r="47" spans="1:7" x14ac:dyDescent="0.35">
      <c r="A47" s="504">
        <v>2010</v>
      </c>
      <c r="B47" s="152">
        <f t="shared" si="8"/>
        <v>40179</v>
      </c>
      <c r="C47" s="152">
        <f t="shared" si="9"/>
        <v>40209</v>
      </c>
      <c r="D47" s="260">
        <f t="shared" si="1"/>
        <v>30</v>
      </c>
      <c r="E47" s="81" t="s">
        <v>96</v>
      </c>
      <c r="F47" s="258">
        <f>IF(AND(B47&gt;=$E$1,EOMONTH(C47,0)&lt;=EOMONTH($E$2,0)),((VLOOKUP(YEAR(C47),'DIF MES'!A$2:E$38,5)*D47)/30),0)</f>
        <v>0</v>
      </c>
      <c r="G47" s="259">
        <f t="shared" si="0"/>
        <v>0</v>
      </c>
    </row>
    <row r="48" spans="1:7" x14ac:dyDescent="0.35">
      <c r="A48" s="505"/>
      <c r="B48" s="152">
        <f t="shared" si="8"/>
        <v>40210</v>
      </c>
      <c r="C48" s="152">
        <f t="shared" si="9"/>
        <v>40237</v>
      </c>
      <c r="D48" s="260">
        <f t="shared" si="1"/>
        <v>30</v>
      </c>
      <c r="E48" s="81" t="s">
        <v>97</v>
      </c>
      <c r="F48" s="258">
        <f>IF(AND(B48&gt;=$E$1,EOMONTH(C48,0)&lt;=EOMONTH($E$2,0)),((VLOOKUP(YEAR(C48),'DIF MES'!A$2:E$38,5)*D48)/30),0)</f>
        <v>0</v>
      </c>
      <c r="G48" s="259">
        <f t="shared" si="0"/>
        <v>0</v>
      </c>
    </row>
    <row r="49" spans="1:7" x14ac:dyDescent="0.35">
      <c r="A49" s="505"/>
      <c r="B49" s="152">
        <f t="shared" si="8"/>
        <v>40238</v>
      </c>
      <c r="C49" s="152">
        <f t="shared" si="9"/>
        <v>40268</v>
      </c>
      <c r="D49" s="260">
        <f t="shared" si="1"/>
        <v>30</v>
      </c>
      <c r="E49" s="81" t="s">
        <v>98</v>
      </c>
      <c r="F49" s="258">
        <f>IF(AND(B49&gt;=$E$1,EOMONTH(C49,0)&lt;=EOMONTH($E$2,0)),((VLOOKUP(YEAR(C49),'DIF MES'!A$2:E$38,5)*D49)/30),0)</f>
        <v>0</v>
      </c>
      <c r="G49" s="259">
        <f t="shared" si="0"/>
        <v>0</v>
      </c>
    </row>
    <row r="50" spans="1:7" x14ac:dyDescent="0.35">
      <c r="A50" s="505"/>
      <c r="B50" s="152">
        <f t="shared" si="8"/>
        <v>40269</v>
      </c>
      <c r="C50" s="152">
        <f t="shared" si="9"/>
        <v>40298</v>
      </c>
      <c r="D50" s="260">
        <f t="shared" si="1"/>
        <v>30</v>
      </c>
      <c r="E50" s="81" t="s">
        <v>99</v>
      </c>
      <c r="F50" s="258">
        <f>IF(AND(B50&gt;=$E$1,EOMONTH(C50,0)&lt;=EOMONTH($E$2,0)),((VLOOKUP(YEAR(C50),'DIF MES'!A$2:E$38,5)*D50)/30),0)</f>
        <v>0</v>
      </c>
      <c r="G50" s="259">
        <f t="shared" si="0"/>
        <v>0</v>
      </c>
    </row>
    <row r="51" spans="1:7" x14ac:dyDescent="0.35">
      <c r="A51" s="505"/>
      <c r="B51" s="152">
        <f t="shared" si="8"/>
        <v>40299</v>
      </c>
      <c r="C51" s="152">
        <f t="shared" si="9"/>
        <v>40329</v>
      </c>
      <c r="D51" s="260">
        <f t="shared" si="1"/>
        <v>30</v>
      </c>
      <c r="E51" s="81" t="s">
        <v>100</v>
      </c>
      <c r="F51" s="258">
        <f>IF(AND(B51&gt;=$E$1,EOMONTH(C51,0)&lt;=EOMONTH($E$2,0)),((VLOOKUP(YEAR(C51),'DIF MES'!A$2:E$38,5)*D51)/30),0)</f>
        <v>0</v>
      </c>
      <c r="G51" s="259">
        <f t="shared" si="0"/>
        <v>0</v>
      </c>
    </row>
    <row r="52" spans="1:7" x14ac:dyDescent="0.35">
      <c r="A52" s="505"/>
      <c r="B52" s="156">
        <f t="shared" ref="B52" si="20">B53</f>
        <v>40330</v>
      </c>
      <c r="C52" s="156">
        <f t="shared" ref="C52" si="21">C53</f>
        <v>40359</v>
      </c>
      <c r="D52" s="260">
        <f t="shared" si="1"/>
        <v>30</v>
      </c>
      <c r="E52" s="261" t="s">
        <v>101</v>
      </c>
      <c r="F52" s="258">
        <f>IF(AND(B52&gt;=$E$1,EOMONTH(C52,0)&lt;=EOMONTH($E$2,0)),((VLOOKUP(YEAR(C52),'DIF MES'!A$2:E$38,5)*D52)/30),0)</f>
        <v>0</v>
      </c>
      <c r="G52" s="262">
        <f>IF(E52="adicional",F52,F52-((F52*12)/100))</f>
        <v>0</v>
      </c>
    </row>
    <row r="53" spans="1:7" x14ac:dyDescent="0.35">
      <c r="A53" s="505"/>
      <c r="B53" s="152">
        <f t="shared" ref="B53" si="22">IF(
AND(YEAR(C51)=YEAR(DATE(YEAR($E$1),MONTH($E$1)-1,1)),
MONTH(C51)=MONTH(DATE(YEAR($E$1),MONTH($E$1)-1,1))),
$E$1,
DATE(YEAR(C51),MONTH(C51)+1,1))</f>
        <v>40330</v>
      </c>
      <c r="C53" s="152">
        <f t="shared" ref="C53" si="23">IF(
AND(
YEAR(C51)=YEAR(DATE(YEAR($E$2),MONTH($E$2)-1,1)),
MONTH(C51)=MONTH(DATE(YEAR($E$2),MONTH($E$2)-1,1))
),
$E$2,
EOMONTH(C51,1)
)</f>
        <v>40359</v>
      </c>
      <c r="D53" s="260">
        <f t="shared" si="1"/>
        <v>30</v>
      </c>
      <c r="E53" s="81" t="s">
        <v>102</v>
      </c>
      <c r="F53" s="258">
        <f>IF(AND(B53&gt;=$E$1,EOMONTH(C53,0)&lt;=EOMONTH($E$2,0)),((VLOOKUP(YEAR(C53),'DIF MES'!A$2:E$38,5)*D53)/30),0)</f>
        <v>0</v>
      </c>
      <c r="G53" s="259">
        <f>IF(E53="adicional",F53,F53-((F53*12)/100))</f>
        <v>0</v>
      </c>
    </row>
    <row r="54" spans="1:7" x14ac:dyDescent="0.35">
      <c r="A54" s="505"/>
      <c r="B54" s="152">
        <f t="shared" si="14"/>
        <v>40360</v>
      </c>
      <c r="C54" s="152">
        <f t="shared" si="15"/>
        <v>40390</v>
      </c>
      <c r="D54" s="260">
        <f t="shared" si="1"/>
        <v>30</v>
      </c>
      <c r="E54" s="81" t="s">
        <v>103</v>
      </c>
      <c r="F54" s="258">
        <f>IF(AND(B54&gt;=$E$1,EOMONTH(C54,0)&lt;=EOMONTH($E$2,0)),((VLOOKUP(YEAR(C54),'DIF MES'!A$2:E$38,5)*D54)/30),0)</f>
        <v>0</v>
      </c>
      <c r="G54" s="259">
        <f t="shared" si="0"/>
        <v>0</v>
      </c>
    </row>
    <row r="55" spans="1:7" x14ac:dyDescent="0.35">
      <c r="A55" s="505"/>
      <c r="B55" s="152">
        <f t="shared" si="14"/>
        <v>40391</v>
      </c>
      <c r="C55" s="152">
        <f t="shared" si="15"/>
        <v>40421</v>
      </c>
      <c r="D55" s="260">
        <f t="shared" si="1"/>
        <v>30</v>
      </c>
      <c r="E55" s="81" t="s">
        <v>104</v>
      </c>
      <c r="F55" s="258">
        <f>IF(AND(B55&gt;=$E$1,EOMONTH(C55,0)&lt;=EOMONTH($E$2,0)),((VLOOKUP(YEAR(C55),'DIF MES'!A$2:E$38,5)*D55)/30),0)</f>
        <v>0</v>
      </c>
      <c r="G55" s="259">
        <f t="shared" si="0"/>
        <v>0</v>
      </c>
    </row>
    <row r="56" spans="1:7" x14ac:dyDescent="0.35">
      <c r="A56" s="505"/>
      <c r="B56" s="152">
        <f t="shared" si="14"/>
        <v>40422</v>
      </c>
      <c r="C56" s="152">
        <f t="shared" si="15"/>
        <v>40451</v>
      </c>
      <c r="D56" s="260">
        <f t="shared" si="1"/>
        <v>30</v>
      </c>
      <c r="E56" s="81" t="s">
        <v>105</v>
      </c>
      <c r="F56" s="258">
        <f>IF(AND(B56&gt;=$E$1,EOMONTH(C56,0)&lt;=EOMONTH($E$2,0)),((VLOOKUP(YEAR(C56),'DIF MES'!A$2:E$38,5)*D56)/30),0)</f>
        <v>0</v>
      </c>
      <c r="G56" s="259">
        <f t="shared" si="0"/>
        <v>0</v>
      </c>
    </row>
    <row r="57" spans="1:7" x14ac:dyDescent="0.35">
      <c r="A57" s="505"/>
      <c r="B57" s="152">
        <f t="shared" si="14"/>
        <v>40452</v>
      </c>
      <c r="C57" s="152">
        <f t="shared" si="15"/>
        <v>40482</v>
      </c>
      <c r="D57" s="260">
        <f t="shared" si="1"/>
        <v>30</v>
      </c>
      <c r="E57" s="81" t="s">
        <v>106</v>
      </c>
      <c r="F57" s="258">
        <f>IF(AND(B57&gt;=$E$1,EOMONTH(C57,0)&lt;=EOMONTH($E$2,0)),((VLOOKUP(YEAR(C57),'DIF MES'!A$2:E$38,5)*D57)/30),0)</f>
        <v>0</v>
      </c>
      <c r="G57" s="259">
        <f t="shared" si="0"/>
        <v>0</v>
      </c>
    </row>
    <row r="58" spans="1:7" x14ac:dyDescent="0.35">
      <c r="A58" s="505"/>
      <c r="B58" s="152">
        <f t="shared" si="14"/>
        <v>40483</v>
      </c>
      <c r="C58" s="152">
        <f t="shared" si="15"/>
        <v>40512</v>
      </c>
      <c r="D58" s="260">
        <f t="shared" si="1"/>
        <v>30</v>
      </c>
      <c r="E58" s="81" t="s">
        <v>107</v>
      </c>
      <c r="F58" s="258">
        <f>IF(AND(B58&gt;=$E$1,EOMONTH(C58,0)&lt;=EOMONTH($E$2,0)),((VLOOKUP(YEAR(C58),'DIF MES'!A$2:E$38,5)*D58)/30),0)</f>
        <v>0</v>
      </c>
      <c r="G58" s="259">
        <f t="shared" si="0"/>
        <v>0</v>
      </c>
    </row>
    <row r="59" spans="1:7" x14ac:dyDescent="0.35">
      <c r="A59" s="505"/>
      <c r="B59" s="156">
        <f t="shared" ref="B59" si="24">B58</f>
        <v>40483</v>
      </c>
      <c r="C59" s="156">
        <f t="shared" ref="C59" si="25">C58</f>
        <v>40512</v>
      </c>
      <c r="D59" s="260">
        <f t="shared" si="1"/>
        <v>30</v>
      </c>
      <c r="E59" s="261" t="s">
        <v>101</v>
      </c>
      <c r="F59" s="258">
        <f>IF(AND(B59&gt;=$E$1,EOMONTH(C59,0)&lt;=EOMONTH($E$2,0)),((VLOOKUP(YEAR(C59),'DIF MES'!A$2:E$38,5)*D59)/30),0)</f>
        <v>0</v>
      </c>
      <c r="G59" s="262">
        <f t="shared" si="0"/>
        <v>0</v>
      </c>
    </row>
    <row r="60" spans="1:7" x14ac:dyDescent="0.35">
      <c r="A60" s="506"/>
      <c r="B60" s="152">
        <f t="shared" ref="B60" si="26">IF(
AND(YEAR(C58)=YEAR(DATE(YEAR($E$1),MONTH($E$1)-1,1)),
MONTH(C58)=MONTH(DATE(YEAR($E$1),MONTH($E$1)-1,1))),
$E$1,
DATE(YEAR(C58),MONTH(C58)+1,1))</f>
        <v>40513</v>
      </c>
      <c r="C60" s="152">
        <f t="shared" ref="C60" si="27">IF(
AND(
YEAR(C58)=YEAR(DATE(YEAR($E$2),MONTH($E$2)-1,1)),
MONTH(C58)=MONTH(DATE(YEAR($E$2),MONTH($E$2)-1,1))
),
$E$2,
EOMONTH(C58,1)
)</f>
        <v>40543</v>
      </c>
      <c r="D60" s="260">
        <f t="shared" si="1"/>
        <v>30</v>
      </c>
      <c r="E60" s="81" t="s">
        <v>108</v>
      </c>
      <c r="F60" s="258">
        <f>IF(AND(B60&gt;=$E$1,EOMONTH(C60,0)&lt;=EOMONTH($E$2,0)),((VLOOKUP(YEAR(C60),'DIF MES'!A$2:E$38,5)*D60)/30),0)</f>
        <v>0</v>
      </c>
      <c r="G60" s="259">
        <f t="shared" si="0"/>
        <v>0</v>
      </c>
    </row>
    <row r="61" spans="1:7" x14ac:dyDescent="0.35">
      <c r="A61" s="497">
        <v>2011</v>
      </c>
      <c r="B61" s="152">
        <f t="shared" si="8"/>
        <v>40544</v>
      </c>
      <c r="C61" s="152">
        <f t="shared" si="9"/>
        <v>40574</v>
      </c>
      <c r="D61" s="260">
        <f t="shared" si="1"/>
        <v>30</v>
      </c>
      <c r="E61" s="81" t="s">
        <v>96</v>
      </c>
      <c r="F61" s="258">
        <f>IF(AND(B61&gt;=$E$1,EOMONTH(C61,0)&lt;=EOMONTH($E$2,0)),((VLOOKUP(YEAR(C61),'DIF MES'!A$2:E$38,5)*D61)/30),0)</f>
        <v>0</v>
      </c>
      <c r="G61" s="259">
        <f t="shared" si="0"/>
        <v>0</v>
      </c>
    </row>
    <row r="62" spans="1:7" x14ac:dyDescent="0.35">
      <c r="A62" s="497"/>
      <c r="B62" s="152">
        <f t="shared" si="8"/>
        <v>40575</v>
      </c>
      <c r="C62" s="152">
        <f t="shared" si="9"/>
        <v>40602</v>
      </c>
      <c r="D62" s="260">
        <f t="shared" si="1"/>
        <v>30</v>
      </c>
      <c r="E62" s="81" t="s">
        <v>97</v>
      </c>
      <c r="F62" s="258">
        <f>IF(AND(B62&gt;=$E$1,EOMONTH(C62,0)&lt;=EOMONTH($E$2,0)),((VLOOKUP(YEAR(C62),'DIF MES'!A$2:E$38,5)*D62)/30),0)</f>
        <v>0</v>
      </c>
      <c r="G62" s="259">
        <f t="shared" si="0"/>
        <v>0</v>
      </c>
    </row>
    <row r="63" spans="1:7" x14ac:dyDescent="0.35">
      <c r="A63" s="497"/>
      <c r="B63" s="152">
        <f t="shared" si="8"/>
        <v>40603</v>
      </c>
      <c r="C63" s="152">
        <f t="shared" si="9"/>
        <v>40633</v>
      </c>
      <c r="D63" s="260">
        <f t="shared" si="1"/>
        <v>30</v>
      </c>
      <c r="E63" s="81" t="s">
        <v>98</v>
      </c>
      <c r="F63" s="258">
        <f>IF(AND(B63&gt;=$E$1,EOMONTH(C63,0)&lt;=EOMONTH($E$2,0)),((VLOOKUP(YEAR(C63),'DIF MES'!A$2:E$38,5)*D63)/30),0)</f>
        <v>0</v>
      </c>
      <c r="G63" s="259">
        <f t="shared" si="0"/>
        <v>0</v>
      </c>
    </row>
    <row r="64" spans="1:7" x14ac:dyDescent="0.35">
      <c r="A64" s="497"/>
      <c r="B64" s="152">
        <f t="shared" si="8"/>
        <v>40634</v>
      </c>
      <c r="C64" s="152">
        <f t="shared" si="9"/>
        <v>40663</v>
      </c>
      <c r="D64" s="260">
        <f t="shared" si="1"/>
        <v>30</v>
      </c>
      <c r="E64" s="81" t="s">
        <v>99</v>
      </c>
      <c r="F64" s="258">
        <f>IF(AND(B64&gt;=$E$1,EOMONTH(C64,0)&lt;=EOMONTH($E$2,0)),((VLOOKUP(YEAR(C64),'DIF MES'!A$2:E$38,5)*D64)/30),0)</f>
        <v>0</v>
      </c>
      <c r="G64" s="259">
        <f t="shared" si="0"/>
        <v>0</v>
      </c>
    </row>
    <row r="65" spans="1:7" x14ac:dyDescent="0.35">
      <c r="A65" s="497"/>
      <c r="B65" s="152">
        <f t="shared" si="8"/>
        <v>40664</v>
      </c>
      <c r="C65" s="152">
        <f t="shared" si="9"/>
        <v>40694</v>
      </c>
      <c r="D65" s="260">
        <f t="shared" si="1"/>
        <v>30</v>
      </c>
      <c r="E65" s="81" t="s">
        <v>100</v>
      </c>
      <c r="F65" s="258">
        <f>IF(AND(B65&gt;=$E$1,EOMONTH(C65,0)&lt;=EOMONTH($E$2,0)),((VLOOKUP(YEAR(C65),'DIF MES'!A$2:E$38,5)*D65)/30),0)</f>
        <v>0</v>
      </c>
      <c r="G65" s="259">
        <f t="shared" si="0"/>
        <v>0</v>
      </c>
    </row>
    <row r="66" spans="1:7" x14ac:dyDescent="0.35">
      <c r="A66" s="497"/>
      <c r="B66" s="156">
        <f t="shared" ref="B66" si="28">B67</f>
        <v>40695</v>
      </c>
      <c r="C66" s="156">
        <f t="shared" ref="C66" si="29">C67</f>
        <v>40724</v>
      </c>
      <c r="D66" s="260">
        <f t="shared" si="1"/>
        <v>30</v>
      </c>
      <c r="E66" s="261" t="s">
        <v>101</v>
      </c>
      <c r="F66" s="258">
        <f>IF(AND(B66&gt;=$E$1,EOMONTH(C66,0)&lt;=EOMONTH($E$2,0)),((VLOOKUP(YEAR(C66),'DIF MES'!A$2:E$38,5)*D66)/30),0)</f>
        <v>0</v>
      </c>
      <c r="G66" s="262">
        <f>IF(E66="adicional",F66,F66-((F66*12)/100))</f>
        <v>0</v>
      </c>
    </row>
    <row r="67" spans="1:7" x14ac:dyDescent="0.35">
      <c r="A67" s="497"/>
      <c r="B67" s="152">
        <f t="shared" ref="B67" si="30">IF(
AND(YEAR(C65)=YEAR(DATE(YEAR($E$1),MONTH($E$1)-1,1)),
MONTH(C65)=MONTH(DATE(YEAR($E$1),MONTH($E$1)-1,1))),
$E$1,
DATE(YEAR(C65),MONTH(C65)+1,1))</f>
        <v>40695</v>
      </c>
      <c r="C67" s="152">
        <f t="shared" ref="C67" si="31">IF(
AND(
YEAR(C65)=YEAR(DATE(YEAR($E$2),MONTH($E$2)-1,1)),
MONTH(C65)=MONTH(DATE(YEAR($E$2),MONTH($E$2)-1,1))
),
$E$2,
EOMONTH(C65,1)
)</f>
        <v>40724</v>
      </c>
      <c r="D67" s="260">
        <f t="shared" si="1"/>
        <v>30</v>
      </c>
      <c r="E67" s="81" t="s">
        <v>102</v>
      </c>
      <c r="F67" s="258">
        <f>IF(AND(B67&gt;=$E$1,EOMONTH(C67,0)&lt;=EOMONTH($E$2,0)),((VLOOKUP(YEAR(C67),'DIF MES'!A$2:E$38,5)*D67)/30),0)</f>
        <v>0</v>
      </c>
      <c r="G67" s="259">
        <f>IF(E67="adicional",F67,F67-((F67*12)/100))</f>
        <v>0</v>
      </c>
    </row>
    <row r="68" spans="1:7" x14ac:dyDescent="0.35">
      <c r="A68" s="497"/>
      <c r="B68" s="152">
        <f t="shared" si="14"/>
        <v>40725</v>
      </c>
      <c r="C68" s="152">
        <f t="shared" si="15"/>
        <v>40755</v>
      </c>
      <c r="D68" s="260">
        <f t="shared" si="1"/>
        <v>30</v>
      </c>
      <c r="E68" s="81" t="s">
        <v>103</v>
      </c>
      <c r="F68" s="258">
        <f>IF(AND(B68&gt;=$E$1,EOMONTH(C68,0)&lt;=EOMONTH($E$2,0)),((VLOOKUP(YEAR(C68),'DIF MES'!A$2:E$38,5)*D68)/30),0)</f>
        <v>0</v>
      </c>
      <c r="G68" s="259">
        <f t="shared" si="0"/>
        <v>0</v>
      </c>
    </row>
    <row r="69" spans="1:7" x14ac:dyDescent="0.35">
      <c r="A69" s="497"/>
      <c r="B69" s="152">
        <f t="shared" si="14"/>
        <v>40756</v>
      </c>
      <c r="C69" s="152">
        <f t="shared" si="15"/>
        <v>40786</v>
      </c>
      <c r="D69" s="260">
        <f t="shared" si="1"/>
        <v>30</v>
      </c>
      <c r="E69" s="81" t="s">
        <v>104</v>
      </c>
      <c r="F69" s="258">
        <f>IF(AND(B69&gt;=$E$1,EOMONTH(C69,0)&lt;=EOMONTH($E$2,0)),((VLOOKUP(YEAR(C69),'DIF MES'!A$2:E$38,5)*D69)/30),0)</f>
        <v>0</v>
      </c>
      <c r="G69" s="259">
        <f t="shared" ref="G69:G132" si="32">IF(E69="adicional",F69,F69-((F69*12)/100))</f>
        <v>0</v>
      </c>
    </row>
    <row r="70" spans="1:7" x14ac:dyDescent="0.35">
      <c r="A70" s="497"/>
      <c r="B70" s="152">
        <f t="shared" si="14"/>
        <v>40787</v>
      </c>
      <c r="C70" s="152">
        <f t="shared" si="15"/>
        <v>40816</v>
      </c>
      <c r="D70" s="260">
        <f t="shared" ref="D70:D133" si="33">DAYS360(B70,C70+1)</f>
        <v>30</v>
      </c>
      <c r="E70" s="81" t="s">
        <v>105</v>
      </c>
      <c r="F70" s="258">
        <f>IF(AND(B70&gt;=$E$1,EOMONTH(C70,0)&lt;=EOMONTH($E$2,0)),((VLOOKUP(YEAR(C70),'DIF MES'!A$2:E$38,5)*D70)/30),0)</f>
        <v>0</v>
      </c>
      <c r="G70" s="259">
        <f t="shared" si="32"/>
        <v>0</v>
      </c>
    </row>
    <row r="71" spans="1:7" x14ac:dyDescent="0.35">
      <c r="A71" s="497"/>
      <c r="B71" s="152">
        <f t="shared" si="14"/>
        <v>40817</v>
      </c>
      <c r="C71" s="152">
        <f t="shared" si="15"/>
        <v>40847</v>
      </c>
      <c r="D71" s="260">
        <f t="shared" si="33"/>
        <v>30</v>
      </c>
      <c r="E71" s="81" t="s">
        <v>106</v>
      </c>
      <c r="F71" s="258">
        <f>IF(AND(B71&gt;=$E$1,EOMONTH(C71,0)&lt;=EOMONTH($E$2,0)),((VLOOKUP(YEAR(C71),'DIF MES'!A$2:E$38,5)*D71)/30),0)</f>
        <v>0</v>
      </c>
      <c r="G71" s="259">
        <f t="shared" si="32"/>
        <v>0</v>
      </c>
    </row>
    <row r="72" spans="1:7" x14ac:dyDescent="0.35">
      <c r="A72" s="497"/>
      <c r="B72" s="152">
        <f t="shared" si="14"/>
        <v>40848</v>
      </c>
      <c r="C72" s="152">
        <f t="shared" si="15"/>
        <v>40877</v>
      </c>
      <c r="D72" s="260">
        <f t="shared" si="33"/>
        <v>30</v>
      </c>
      <c r="E72" s="81" t="s">
        <v>107</v>
      </c>
      <c r="F72" s="258">
        <f>IF(AND(B72&gt;=$E$1,EOMONTH(C72,0)&lt;=EOMONTH($E$2,0)),((VLOOKUP(YEAR(C72),'DIF MES'!A$2:E$38,5)*D72)/30),0)</f>
        <v>0</v>
      </c>
      <c r="G72" s="259">
        <f t="shared" si="32"/>
        <v>0</v>
      </c>
    </row>
    <row r="73" spans="1:7" x14ac:dyDescent="0.35">
      <c r="A73" s="497"/>
      <c r="B73" s="156">
        <f t="shared" ref="B73" si="34">B72</f>
        <v>40848</v>
      </c>
      <c r="C73" s="156">
        <f t="shared" ref="C73" si="35">C72</f>
        <v>40877</v>
      </c>
      <c r="D73" s="260">
        <f t="shared" si="33"/>
        <v>30</v>
      </c>
      <c r="E73" s="261" t="s">
        <v>101</v>
      </c>
      <c r="F73" s="258">
        <f>IF(AND(B73&gt;=$E$1,EOMONTH(C73,0)&lt;=EOMONTH($E$2,0)),((VLOOKUP(YEAR(C73),'DIF MES'!A$2:E$38,5)*D73)/30),0)</f>
        <v>0</v>
      </c>
      <c r="G73" s="262">
        <f t="shared" si="32"/>
        <v>0</v>
      </c>
    </row>
    <row r="74" spans="1:7" x14ac:dyDescent="0.35">
      <c r="A74" s="497"/>
      <c r="B74" s="152">
        <f t="shared" ref="B74" si="36">IF(
AND(YEAR(C72)=YEAR(DATE(YEAR($E$1),MONTH($E$1)-1,1)),
MONTH(C72)=MONTH(DATE(YEAR($E$1),MONTH($E$1)-1,1))),
$E$1,
DATE(YEAR(C72),MONTH(C72)+1,1))</f>
        <v>40878</v>
      </c>
      <c r="C74" s="152">
        <f t="shared" ref="C74" si="37">IF(
AND(
YEAR(C72)=YEAR(DATE(YEAR($E$2),MONTH($E$2)-1,1)),
MONTH(C72)=MONTH(DATE(YEAR($E$2),MONTH($E$2)-1,1))
),
$E$2,
EOMONTH(C72,1)
)</f>
        <v>40908</v>
      </c>
      <c r="D74" s="260">
        <f t="shared" si="33"/>
        <v>30</v>
      </c>
      <c r="E74" s="81" t="s">
        <v>108</v>
      </c>
      <c r="F74" s="258">
        <f>IF(AND(B74&gt;=$E$1,EOMONTH(C74,0)&lt;=EOMONTH($E$2,0)),((VLOOKUP(YEAR(C74),'DIF MES'!A$2:E$38,5)*D74)/30),0)</f>
        <v>0</v>
      </c>
      <c r="G74" s="259">
        <f t="shared" si="32"/>
        <v>0</v>
      </c>
    </row>
    <row r="75" spans="1:7" x14ac:dyDescent="0.35">
      <c r="A75" s="497">
        <v>2012</v>
      </c>
      <c r="B75" s="152">
        <f t="shared" si="8"/>
        <v>40909</v>
      </c>
      <c r="C75" s="152">
        <f t="shared" si="9"/>
        <v>40939</v>
      </c>
      <c r="D75" s="260">
        <f t="shared" si="33"/>
        <v>30</v>
      </c>
      <c r="E75" s="81" t="s">
        <v>96</v>
      </c>
      <c r="F75" s="258">
        <f>IF(AND(B75&gt;=$E$1,EOMONTH(C75,0)&lt;=EOMONTH($E$2,0)),((VLOOKUP(YEAR(C75),'DIF MES'!A$2:E$38,5)*D75)/30),0)</f>
        <v>0</v>
      </c>
      <c r="G75" s="259">
        <f t="shared" si="32"/>
        <v>0</v>
      </c>
    </row>
    <row r="76" spans="1:7" x14ac:dyDescent="0.35">
      <c r="A76" s="497"/>
      <c r="B76" s="152">
        <f t="shared" si="8"/>
        <v>40940</v>
      </c>
      <c r="C76" s="152">
        <f t="shared" si="9"/>
        <v>40968</v>
      </c>
      <c r="D76" s="260">
        <f t="shared" si="33"/>
        <v>30</v>
      </c>
      <c r="E76" s="81" t="s">
        <v>97</v>
      </c>
      <c r="F76" s="258">
        <f>IF(AND(B76&gt;=$E$1,EOMONTH(C76,0)&lt;=EOMONTH($E$2,0)),((VLOOKUP(YEAR(C76),'DIF MES'!A$2:E$38,5)*D76)/30),0)</f>
        <v>0</v>
      </c>
      <c r="G76" s="259">
        <f t="shared" si="32"/>
        <v>0</v>
      </c>
    </row>
    <row r="77" spans="1:7" x14ac:dyDescent="0.35">
      <c r="A77" s="497"/>
      <c r="B77" s="152">
        <f t="shared" si="8"/>
        <v>40969</v>
      </c>
      <c r="C77" s="152">
        <f t="shared" si="9"/>
        <v>40999</v>
      </c>
      <c r="D77" s="260">
        <f t="shared" si="33"/>
        <v>30</v>
      </c>
      <c r="E77" s="81" t="s">
        <v>98</v>
      </c>
      <c r="F77" s="258">
        <f>IF(AND(B77&gt;=$E$1,EOMONTH(C77,0)&lt;=EOMONTH($E$2,0)),((VLOOKUP(YEAR(C77),'DIF MES'!A$2:E$38,5)*D77)/30),0)</f>
        <v>0</v>
      </c>
      <c r="G77" s="259">
        <f t="shared" si="32"/>
        <v>0</v>
      </c>
    </row>
    <row r="78" spans="1:7" x14ac:dyDescent="0.35">
      <c r="A78" s="497"/>
      <c r="B78" s="152">
        <f t="shared" si="8"/>
        <v>41000</v>
      </c>
      <c r="C78" s="152">
        <f t="shared" si="9"/>
        <v>41029</v>
      </c>
      <c r="D78" s="260">
        <f t="shared" si="33"/>
        <v>30</v>
      </c>
      <c r="E78" s="81" t="s">
        <v>99</v>
      </c>
      <c r="F78" s="258">
        <f>IF(AND(B78&gt;=$E$1,EOMONTH(C78,0)&lt;=EOMONTH($E$2,0)),((VLOOKUP(YEAR(C78),'DIF MES'!A$2:E$38,5)*D78)/30),0)</f>
        <v>0</v>
      </c>
      <c r="G78" s="259">
        <f t="shared" si="32"/>
        <v>0</v>
      </c>
    </row>
    <row r="79" spans="1:7" x14ac:dyDescent="0.35">
      <c r="A79" s="497"/>
      <c r="B79" s="152">
        <f t="shared" si="8"/>
        <v>41030</v>
      </c>
      <c r="C79" s="152">
        <f t="shared" si="9"/>
        <v>41060</v>
      </c>
      <c r="D79" s="260">
        <f t="shared" si="33"/>
        <v>30</v>
      </c>
      <c r="E79" s="81" t="s">
        <v>100</v>
      </c>
      <c r="F79" s="258">
        <f>IF(AND(B79&gt;=$E$1,EOMONTH(C79,0)&lt;=EOMONTH($E$2,0)),((VLOOKUP(YEAR(C79),'DIF MES'!A$2:E$38,5)*D79)/30),0)</f>
        <v>0</v>
      </c>
      <c r="G79" s="259">
        <f t="shared" si="32"/>
        <v>0</v>
      </c>
    </row>
    <row r="80" spans="1:7" x14ac:dyDescent="0.35">
      <c r="A80" s="497"/>
      <c r="B80" s="156">
        <f t="shared" ref="B80" si="38">B81</f>
        <v>41061</v>
      </c>
      <c r="C80" s="156">
        <f t="shared" ref="C80" si="39">C81</f>
        <v>41090</v>
      </c>
      <c r="D80" s="260">
        <f t="shared" si="33"/>
        <v>30</v>
      </c>
      <c r="E80" s="261" t="s">
        <v>101</v>
      </c>
      <c r="F80" s="258">
        <f>IF(AND(B80&gt;=$E$1,EOMONTH(C80,0)&lt;=EOMONTH($E$2,0)),((VLOOKUP(YEAR(C80),'DIF MES'!A$2:E$38,5)*D80)/30),0)</f>
        <v>0</v>
      </c>
      <c r="G80" s="262">
        <f>IF(E80="adicional",F80,F80-((F80*12)/100))</f>
        <v>0</v>
      </c>
    </row>
    <row r="81" spans="1:7" x14ac:dyDescent="0.35">
      <c r="A81" s="497"/>
      <c r="B81" s="152">
        <f t="shared" ref="B81" si="40">IF(
AND(YEAR(C79)=YEAR(DATE(YEAR($E$1),MONTH($E$1)-1,1)),
MONTH(C79)=MONTH(DATE(YEAR($E$1),MONTH($E$1)-1,1))),
$E$1,
DATE(YEAR(C79),MONTH(C79)+1,1))</f>
        <v>41061</v>
      </c>
      <c r="C81" s="152">
        <f t="shared" ref="C81" si="41">IF(
AND(
YEAR(C79)=YEAR(DATE(YEAR($E$2),MONTH($E$2)-1,1)),
MONTH(C79)=MONTH(DATE(YEAR($E$2),MONTH($E$2)-1,1))
),
$E$2,
EOMONTH(C79,1)
)</f>
        <v>41090</v>
      </c>
      <c r="D81" s="260">
        <f t="shared" si="33"/>
        <v>30</v>
      </c>
      <c r="E81" s="81" t="s">
        <v>102</v>
      </c>
      <c r="F81" s="258">
        <f>IF(AND(B81&gt;=$E$1,EOMONTH(C81,0)&lt;=EOMONTH($E$2,0)),((VLOOKUP(YEAR(C81),'DIF MES'!A$2:E$38,5)*D81)/30),0)</f>
        <v>0</v>
      </c>
      <c r="G81" s="259">
        <f>IF(E81="adicional",F81,F81-((F81*12)/100))</f>
        <v>0</v>
      </c>
    </row>
    <row r="82" spans="1:7" x14ac:dyDescent="0.35">
      <c r="A82" s="497"/>
      <c r="B82" s="152">
        <f t="shared" si="14"/>
        <v>41091</v>
      </c>
      <c r="C82" s="152">
        <f t="shared" si="15"/>
        <v>41121</v>
      </c>
      <c r="D82" s="260">
        <f t="shared" si="33"/>
        <v>30</v>
      </c>
      <c r="E82" s="81" t="s">
        <v>103</v>
      </c>
      <c r="F82" s="258">
        <f>IF(AND(B82&gt;=$E$1,EOMONTH(C82,0)&lt;=EOMONTH($E$2,0)),((VLOOKUP(YEAR(C82),'DIF MES'!A$2:E$38,5)*D82)/30),0)</f>
        <v>0</v>
      </c>
      <c r="G82" s="259">
        <f t="shared" si="32"/>
        <v>0</v>
      </c>
    </row>
    <row r="83" spans="1:7" x14ac:dyDescent="0.35">
      <c r="A83" s="497"/>
      <c r="B83" s="152">
        <f t="shared" si="14"/>
        <v>41122</v>
      </c>
      <c r="C83" s="152">
        <f t="shared" si="15"/>
        <v>41152</v>
      </c>
      <c r="D83" s="260">
        <f t="shared" si="33"/>
        <v>30</v>
      </c>
      <c r="E83" s="81" t="s">
        <v>104</v>
      </c>
      <c r="F83" s="258">
        <f>IF(AND(B83&gt;=$E$1,EOMONTH(C83,0)&lt;=EOMONTH($E$2,0)),((VLOOKUP(YEAR(C83),'DIF MES'!A$2:E$38,5)*D83)/30),0)</f>
        <v>0</v>
      </c>
      <c r="G83" s="259">
        <f t="shared" si="32"/>
        <v>0</v>
      </c>
    </row>
    <row r="84" spans="1:7" x14ac:dyDescent="0.35">
      <c r="A84" s="497"/>
      <c r="B84" s="152">
        <f t="shared" si="14"/>
        <v>41153</v>
      </c>
      <c r="C84" s="152">
        <f t="shared" si="15"/>
        <v>41182</v>
      </c>
      <c r="D84" s="260">
        <f t="shared" si="33"/>
        <v>30</v>
      </c>
      <c r="E84" s="81" t="s">
        <v>105</v>
      </c>
      <c r="F84" s="258">
        <f>IF(AND(B84&gt;=$E$1,EOMONTH(C84,0)&lt;=EOMONTH($E$2,0)),((VLOOKUP(YEAR(C84),'DIF MES'!A$2:E$38,5)*D84)/30),0)</f>
        <v>0</v>
      </c>
      <c r="G84" s="259">
        <f t="shared" si="32"/>
        <v>0</v>
      </c>
    </row>
    <row r="85" spans="1:7" x14ac:dyDescent="0.35">
      <c r="A85" s="497"/>
      <c r="B85" s="152">
        <f t="shared" si="14"/>
        <v>41183</v>
      </c>
      <c r="C85" s="152">
        <f t="shared" si="15"/>
        <v>41213</v>
      </c>
      <c r="D85" s="260">
        <f t="shared" si="33"/>
        <v>30</v>
      </c>
      <c r="E85" s="81" t="s">
        <v>106</v>
      </c>
      <c r="F85" s="258">
        <f>IF(AND(B85&gt;=$E$1,EOMONTH(C85,0)&lt;=EOMONTH($E$2,0)),((VLOOKUP(YEAR(C85),'DIF MES'!A$2:E$38,5)*D85)/30),0)</f>
        <v>0</v>
      </c>
      <c r="G85" s="259">
        <f t="shared" si="32"/>
        <v>0</v>
      </c>
    </row>
    <row r="86" spans="1:7" x14ac:dyDescent="0.35">
      <c r="A86" s="497"/>
      <c r="B86" s="152">
        <f t="shared" si="14"/>
        <v>41214</v>
      </c>
      <c r="C86" s="152">
        <f t="shared" si="15"/>
        <v>41243</v>
      </c>
      <c r="D86" s="260">
        <f t="shared" si="33"/>
        <v>30</v>
      </c>
      <c r="E86" s="81" t="s">
        <v>107</v>
      </c>
      <c r="F86" s="258">
        <f>IF(AND(B86&gt;=$E$1,EOMONTH(C86,0)&lt;=EOMONTH($E$2,0)),((VLOOKUP(YEAR(C86),'DIF MES'!A$2:E$38,5)*D86)/30),0)</f>
        <v>0</v>
      </c>
      <c r="G86" s="259">
        <f t="shared" si="32"/>
        <v>0</v>
      </c>
    </row>
    <row r="87" spans="1:7" x14ac:dyDescent="0.35">
      <c r="A87" s="497"/>
      <c r="B87" s="156">
        <f t="shared" ref="B87" si="42">B86</f>
        <v>41214</v>
      </c>
      <c r="C87" s="156">
        <f t="shared" ref="C87" si="43">C86</f>
        <v>41243</v>
      </c>
      <c r="D87" s="260">
        <f t="shared" si="33"/>
        <v>30</v>
      </c>
      <c r="E87" s="261" t="s">
        <v>101</v>
      </c>
      <c r="F87" s="258">
        <f>IF(AND(B87&gt;=$E$1,EOMONTH(C87,0)&lt;=EOMONTH($E$2,0)),((VLOOKUP(YEAR(C87),'DIF MES'!A$2:E$38,5)*D87)/30),0)</f>
        <v>0</v>
      </c>
      <c r="G87" s="262">
        <f t="shared" si="32"/>
        <v>0</v>
      </c>
    </row>
    <row r="88" spans="1:7" x14ac:dyDescent="0.35">
      <c r="A88" s="497"/>
      <c r="B88" s="152">
        <f t="shared" ref="B88" si="44">IF(
AND(YEAR(C86)=YEAR(DATE(YEAR($E$1),MONTH($E$1)-1,1)),
MONTH(C86)=MONTH(DATE(YEAR($E$1),MONTH($E$1)-1,1))),
$E$1,
DATE(YEAR(C86),MONTH(C86)+1,1))</f>
        <v>41244</v>
      </c>
      <c r="C88" s="152">
        <f t="shared" ref="C88" si="45">IF(
AND(
YEAR(C86)=YEAR(DATE(YEAR($E$2),MONTH($E$2)-1,1)),
MONTH(C86)=MONTH(DATE(YEAR($E$2),MONTH($E$2)-1,1))
),
$E$2,
EOMONTH(C86,1)
)</f>
        <v>41274</v>
      </c>
      <c r="D88" s="260">
        <f t="shared" si="33"/>
        <v>30</v>
      </c>
      <c r="E88" s="81" t="s">
        <v>108</v>
      </c>
      <c r="F88" s="258">
        <f>IF(AND(B88&gt;=$E$1,EOMONTH(C88,0)&lt;=EOMONTH($E$2,0)),((VLOOKUP(YEAR(C88),'DIF MES'!A$2:E$38,5)*D88)/30),0)</f>
        <v>0</v>
      </c>
      <c r="G88" s="259">
        <f t="shared" si="32"/>
        <v>0</v>
      </c>
    </row>
    <row r="89" spans="1:7" x14ac:dyDescent="0.35">
      <c r="A89" s="497">
        <v>2013</v>
      </c>
      <c r="B89" s="152">
        <f t="shared" si="8"/>
        <v>41275</v>
      </c>
      <c r="C89" s="152">
        <f t="shared" si="9"/>
        <v>41305</v>
      </c>
      <c r="D89" s="260">
        <f t="shared" si="33"/>
        <v>30</v>
      </c>
      <c r="E89" s="81" t="s">
        <v>96</v>
      </c>
      <c r="F89" s="258">
        <f>IF(AND(B89&gt;=$E$1,EOMONTH(C89,0)&lt;=EOMONTH($E$2,0)),((VLOOKUP(YEAR(C89),'DIF MES'!A$2:E$38,5)*D89)/30),0)</f>
        <v>0</v>
      </c>
      <c r="G89" s="259">
        <f t="shared" si="32"/>
        <v>0</v>
      </c>
    </row>
    <row r="90" spans="1:7" x14ac:dyDescent="0.35">
      <c r="A90" s="497"/>
      <c r="B90" s="152">
        <f t="shared" si="8"/>
        <v>41306</v>
      </c>
      <c r="C90" s="152">
        <f t="shared" si="9"/>
        <v>41333</v>
      </c>
      <c r="D90" s="260">
        <f t="shared" si="33"/>
        <v>30</v>
      </c>
      <c r="E90" s="81" t="s">
        <v>97</v>
      </c>
      <c r="F90" s="258">
        <f>IF(AND(B90&gt;=$E$1,EOMONTH(C90,0)&lt;=EOMONTH($E$2,0)),((VLOOKUP(YEAR(C90),'DIF MES'!A$2:E$38,5)*D90)/30),0)</f>
        <v>0</v>
      </c>
      <c r="G90" s="259">
        <f t="shared" si="32"/>
        <v>0</v>
      </c>
    </row>
    <row r="91" spans="1:7" x14ac:dyDescent="0.35">
      <c r="A91" s="497"/>
      <c r="B91" s="152">
        <f t="shared" si="8"/>
        <v>41334</v>
      </c>
      <c r="C91" s="152">
        <f t="shared" si="9"/>
        <v>41364</v>
      </c>
      <c r="D91" s="260">
        <f t="shared" si="33"/>
        <v>30</v>
      </c>
      <c r="E91" s="81" t="s">
        <v>98</v>
      </c>
      <c r="F91" s="258">
        <f>IF(AND(B91&gt;=$E$1,EOMONTH(C91,0)&lt;=EOMONTH($E$2,0)),((VLOOKUP(YEAR(C91),'DIF MES'!A$2:E$38,5)*D91)/30),0)</f>
        <v>0</v>
      </c>
      <c r="G91" s="259">
        <f t="shared" si="32"/>
        <v>0</v>
      </c>
    </row>
    <row r="92" spans="1:7" x14ac:dyDescent="0.35">
      <c r="A92" s="497"/>
      <c r="B92" s="152">
        <f t="shared" si="8"/>
        <v>41365</v>
      </c>
      <c r="C92" s="152">
        <f t="shared" si="9"/>
        <v>41394</v>
      </c>
      <c r="D92" s="260">
        <f t="shared" si="33"/>
        <v>30</v>
      </c>
      <c r="E92" s="81" t="s">
        <v>99</v>
      </c>
      <c r="F92" s="258">
        <f>IF(AND(B92&gt;=$E$1,EOMONTH(C92,0)&lt;=EOMONTH($E$2,0)),((VLOOKUP(YEAR(C92),'DIF MES'!A$2:E$38,5)*D92)/30),0)</f>
        <v>0</v>
      </c>
      <c r="G92" s="259">
        <f t="shared" si="32"/>
        <v>0</v>
      </c>
    </row>
    <row r="93" spans="1:7" x14ac:dyDescent="0.35">
      <c r="A93" s="497"/>
      <c r="B93" s="152">
        <f t="shared" si="8"/>
        <v>41395</v>
      </c>
      <c r="C93" s="152">
        <f t="shared" si="9"/>
        <v>41425</v>
      </c>
      <c r="D93" s="260">
        <f t="shared" si="33"/>
        <v>30</v>
      </c>
      <c r="E93" s="81" t="s">
        <v>100</v>
      </c>
      <c r="F93" s="258">
        <f>IF(AND(B93&gt;=$E$1,EOMONTH(C93,0)&lt;=EOMONTH($E$2,0)),((VLOOKUP(YEAR(C93),'DIF MES'!A$2:E$38,5)*D93)/30),0)</f>
        <v>0</v>
      </c>
      <c r="G93" s="259">
        <f t="shared" si="32"/>
        <v>0</v>
      </c>
    </row>
    <row r="94" spans="1:7" x14ac:dyDescent="0.35">
      <c r="A94" s="497"/>
      <c r="B94" s="156">
        <f t="shared" ref="B94" si="46">B95</f>
        <v>41426</v>
      </c>
      <c r="C94" s="156">
        <f t="shared" ref="C94" si="47">C95</f>
        <v>41455</v>
      </c>
      <c r="D94" s="260">
        <f t="shared" si="33"/>
        <v>30</v>
      </c>
      <c r="E94" s="261" t="s">
        <v>101</v>
      </c>
      <c r="F94" s="258">
        <f>IF(AND(B94&gt;=$E$1,EOMONTH(C94,0)&lt;=EOMONTH($E$2,0)),((VLOOKUP(YEAR(C94),'DIF MES'!A$2:E$38,5)*D94)/30),0)</f>
        <v>0</v>
      </c>
      <c r="G94" s="262">
        <f>IF(E94="adicional",F94,F94-((F94*12)/100))</f>
        <v>0</v>
      </c>
    </row>
    <row r="95" spans="1:7" x14ac:dyDescent="0.35">
      <c r="A95" s="497"/>
      <c r="B95" s="152">
        <f t="shared" ref="B95" si="48">IF(
AND(YEAR(C93)=YEAR(DATE(YEAR($E$1),MONTH($E$1)-1,1)),
MONTH(C93)=MONTH(DATE(YEAR($E$1),MONTH($E$1)-1,1))),
$E$1,
DATE(YEAR(C93),MONTH(C93)+1,1))</f>
        <v>41426</v>
      </c>
      <c r="C95" s="152">
        <f t="shared" ref="C95" si="49">IF(
AND(
YEAR(C93)=YEAR(DATE(YEAR($E$2),MONTH($E$2)-1,1)),
MONTH(C93)=MONTH(DATE(YEAR($E$2),MONTH($E$2)-1,1))
),
$E$2,
EOMONTH(C93,1)
)</f>
        <v>41455</v>
      </c>
      <c r="D95" s="260">
        <f t="shared" si="33"/>
        <v>30</v>
      </c>
      <c r="E95" s="81" t="s">
        <v>102</v>
      </c>
      <c r="F95" s="258">
        <f>IF(AND(B95&gt;=$E$1,EOMONTH(C95,0)&lt;=EOMONTH($E$2,0)),((VLOOKUP(YEAR(C95),'DIF MES'!A$2:E$38,5)*D95)/30),0)</f>
        <v>0</v>
      </c>
      <c r="G95" s="259">
        <f>IF(E95="adicional",F95,F95-((F95*12)/100))</f>
        <v>0</v>
      </c>
    </row>
    <row r="96" spans="1:7" x14ac:dyDescent="0.35">
      <c r="A96" s="497"/>
      <c r="B96" s="152">
        <f t="shared" si="14"/>
        <v>41456</v>
      </c>
      <c r="C96" s="152">
        <f t="shared" si="15"/>
        <v>41486</v>
      </c>
      <c r="D96" s="260">
        <f t="shared" si="33"/>
        <v>30</v>
      </c>
      <c r="E96" s="81" t="s">
        <v>103</v>
      </c>
      <c r="F96" s="258">
        <f>IF(AND(B96&gt;=$E$1,EOMONTH(C96,0)&lt;=EOMONTH($E$2,0)),((VLOOKUP(YEAR(C96),'DIF MES'!A$2:E$38,5)*D96)/30),0)</f>
        <v>0</v>
      </c>
      <c r="G96" s="259">
        <f t="shared" si="32"/>
        <v>0</v>
      </c>
    </row>
    <row r="97" spans="1:7" x14ac:dyDescent="0.35">
      <c r="A97" s="497"/>
      <c r="B97" s="152">
        <f t="shared" si="14"/>
        <v>41487</v>
      </c>
      <c r="C97" s="152">
        <f t="shared" si="15"/>
        <v>41517</v>
      </c>
      <c r="D97" s="260">
        <f t="shared" si="33"/>
        <v>30</v>
      </c>
      <c r="E97" s="81" t="s">
        <v>104</v>
      </c>
      <c r="F97" s="258">
        <f>IF(AND(B97&gt;=$E$1,EOMONTH(C97,0)&lt;=EOMONTH($E$2,0)),((VLOOKUP(YEAR(C97),'DIF MES'!A$2:E$38,5)*D97)/30),0)</f>
        <v>0</v>
      </c>
      <c r="G97" s="259">
        <f t="shared" si="32"/>
        <v>0</v>
      </c>
    </row>
    <row r="98" spans="1:7" x14ac:dyDescent="0.35">
      <c r="A98" s="497"/>
      <c r="B98" s="152">
        <f t="shared" si="14"/>
        <v>41518</v>
      </c>
      <c r="C98" s="152">
        <f t="shared" si="15"/>
        <v>41547</v>
      </c>
      <c r="D98" s="260">
        <f t="shared" si="33"/>
        <v>30</v>
      </c>
      <c r="E98" s="81" t="s">
        <v>105</v>
      </c>
      <c r="F98" s="258">
        <f>IF(AND(B98&gt;=$E$1,EOMONTH(C98,0)&lt;=EOMONTH($E$2,0)),((VLOOKUP(YEAR(C98),'DIF MES'!A$2:E$38,5)*D98)/30),0)</f>
        <v>0</v>
      </c>
      <c r="G98" s="259">
        <f t="shared" si="32"/>
        <v>0</v>
      </c>
    </row>
    <row r="99" spans="1:7" x14ac:dyDescent="0.35">
      <c r="A99" s="497"/>
      <c r="B99" s="152">
        <f t="shared" si="14"/>
        <v>41548</v>
      </c>
      <c r="C99" s="152">
        <f t="shared" si="15"/>
        <v>41578</v>
      </c>
      <c r="D99" s="260">
        <f t="shared" si="33"/>
        <v>30</v>
      </c>
      <c r="E99" s="81" t="s">
        <v>106</v>
      </c>
      <c r="F99" s="258">
        <f>IF(AND(B99&gt;=$E$1,EOMONTH(C99,0)&lt;=EOMONTH($E$2,0)),((VLOOKUP(YEAR(C99),'DIF MES'!A$2:E$38,5)*D99)/30),0)</f>
        <v>0</v>
      </c>
      <c r="G99" s="259">
        <f t="shared" si="32"/>
        <v>0</v>
      </c>
    </row>
    <row r="100" spans="1:7" x14ac:dyDescent="0.35">
      <c r="A100" s="497"/>
      <c r="B100" s="152">
        <f t="shared" si="14"/>
        <v>41579</v>
      </c>
      <c r="C100" s="152">
        <f t="shared" si="15"/>
        <v>41608</v>
      </c>
      <c r="D100" s="260">
        <f t="shared" si="33"/>
        <v>30</v>
      </c>
      <c r="E100" s="81" t="s">
        <v>107</v>
      </c>
      <c r="F100" s="258">
        <f>IF(AND(B100&gt;=$E$1,EOMONTH(C100,0)&lt;=EOMONTH($E$2,0)),((VLOOKUP(YEAR(C100),'DIF MES'!A$2:E$38,5)*D100)/30),0)</f>
        <v>0</v>
      </c>
      <c r="G100" s="259">
        <f t="shared" si="32"/>
        <v>0</v>
      </c>
    </row>
    <row r="101" spans="1:7" x14ac:dyDescent="0.35">
      <c r="A101" s="497"/>
      <c r="B101" s="156">
        <f t="shared" ref="B101" si="50">B100</f>
        <v>41579</v>
      </c>
      <c r="C101" s="156">
        <f t="shared" ref="C101" si="51">C100</f>
        <v>41608</v>
      </c>
      <c r="D101" s="260">
        <f t="shared" si="33"/>
        <v>30</v>
      </c>
      <c r="E101" s="261" t="s">
        <v>101</v>
      </c>
      <c r="F101" s="258">
        <f>IF(AND(B101&gt;=$E$1,EOMONTH(C101,0)&lt;=EOMONTH($E$2,0)),((VLOOKUP(YEAR(C101),'DIF MES'!A$2:E$38,5)*D101)/30),0)</f>
        <v>0</v>
      </c>
      <c r="G101" s="262">
        <f t="shared" si="32"/>
        <v>0</v>
      </c>
    </row>
    <row r="102" spans="1:7" x14ac:dyDescent="0.35">
      <c r="A102" s="497"/>
      <c r="B102" s="152">
        <f t="shared" ref="B102" si="52">IF(
AND(YEAR(C100)=YEAR(DATE(YEAR($E$1),MONTH($E$1)-1,1)),
MONTH(C100)=MONTH(DATE(YEAR($E$1),MONTH($E$1)-1,1))),
$E$1,
DATE(YEAR(C100),MONTH(C100)+1,1))</f>
        <v>41609</v>
      </c>
      <c r="C102" s="152">
        <f t="shared" ref="C102" si="53">IF(
AND(
YEAR(C100)=YEAR(DATE(YEAR($E$2),MONTH($E$2)-1,1)),
MONTH(C100)=MONTH(DATE(YEAR($E$2),MONTH($E$2)-1,1))
),
$E$2,
EOMONTH(C100,1)
)</f>
        <v>41639</v>
      </c>
      <c r="D102" s="260">
        <f t="shared" si="33"/>
        <v>30</v>
      </c>
      <c r="E102" s="81" t="s">
        <v>108</v>
      </c>
      <c r="F102" s="258">
        <f>IF(AND(B102&gt;=$E$1,EOMONTH(C102,0)&lt;=EOMONTH($E$2,0)),((VLOOKUP(YEAR(C102),'DIF MES'!A$2:E$38,5)*D102)/30),0)</f>
        <v>0</v>
      </c>
      <c r="G102" s="259">
        <f t="shared" si="32"/>
        <v>0</v>
      </c>
    </row>
    <row r="103" spans="1:7" x14ac:dyDescent="0.35">
      <c r="A103" s="497">
        <v>2014</v>
      </c>
      <c r="B103" s="152">
        <f t="shared" ref="B103:B163" si="54">IF(
AND(YEAR(C102)=YEAR(DATE(YEAR($E$1),MONTH($E$1)-1,1)),
MONTH(C102)=MONTH(DATE(YEAR($E$1),MONTH($E$1)-1,1))),
$E$1,
DATE(YEAR(C102),MONTH(C102)+1,1))</f>
        <v>41640</v>
      </c>
      <c r="C103" s="152">
        <f t="shared" ref="C103:C163" si="55">IF(
AND(
YEAR(C102)=YEAR(DATE(YEAR($E$2),MONTH($E$2)-1,1)),
MONTH(C102)=MONTH(DATE(YEAR($E$2),MONTH($E$2)-1,1))
),
$E$2,
EOMONTH(C102,1)
)</f>
        <v>41670</v>
      </c>
      <c r="D103" s="260">
        <f t="shared" si="33"/>
        <v>30</v>
      </c>
      <c r="E103" s="81" t="s">
        <v>96</v>
      </c>
      <c r="F103" s="258">
        <f>IF(AND(B103&gt;=$E$1,EOMONTH(C103,0)&lt;=EOMONTH($E$2,0)),((VLOOKUP(YEAR(C103),'DIF MES'!A$2:E$38,5)*D103)/30),0)</f>
        <v>0</v>
      </c>
      <c r="G103" s="259">
        <f t="shared" si="32"/>
        <v>0</v>
      </c>
    </row>
    <row r="104" spans="1:7" x14ac:dyDescent="0.35">
      <c r="A104" s="497"/>
      <c r="B104" s="152">
        <f t="shared" si="54"/>
        <v>41671</v>
      </c>
      <c r="C104" s="152">
        <f t="shared" si="55"/>
        <v>41698</v>
      </c>
      <c r="D104" s="260">
        <f t="shared" si="33"/>
        <v>30</v>
      </c>
      <c r="E104" s="81" t="s">
        <v>97</v>
      </c>
      <c r="F104" s="258">
        <f>IF(AND(B104&gt;=$E$1,EOMONTH(C104,0)&lt;=EOMONTH($E$2,0)),((VLOOKUP(YEAR(C104),'DIF MES'!A$2:E$38,5)*D104)/30),0)</f>
        <v>0</v>
      </c>
      <c r="G104" s="259">
        <f t="shared" si="32"/>
        <v>0</v>
      </c>
    </row>
    <row r="105" spans="1:7" x14ac:dyDescent="0.35">
      <c r="A105" s="497"/>
      <c r="B105" s="152">
        <f t="shared" si="54"/>
        <v>41699</v>
      </c>
      <c r="C105" s="152">
        <f t="shared" si="55"/>
        <v>41729</v>
      </c>
      <c r="D105" s="260">
        <f t="shared" si="33"/>
        <v>30</v>
      </c>
      <c r="E105" s="81" t="s">
        <v>98</v>
      </c>
      <c r="F105" s="258">
        <f>IF(AND(B105&gt;=$E$1,EOMONTH(C105,0)&lt;=EOMONTH($E$2,0)),((VLOOKUP(YEAR(C105),'DIF MES'!A$2:E$38,5)*D105)/30),0)</f>
        <v>0</v>
      </c>
      <c r="G105" s="259">
        <f t="shared" si="32"/>
        <v>0</v>
      </c>
    </row>
    <row r="106" spans="1:7" x14ac:dyDescent="0.35">
      <c r="A106" s="497"/>
      <c r="B106" s="152">
        <f t="shared" si="54"/>
        <v>41730</v>
      </c>
      <c r="C106" s="152">
        <f t="shared" si="55"/>
        <v>41759</v>
      </c>
      <c r="D106" s="260">
        <f t="shared" si="33"/>
        <v>30</v>
      </c>
      <c r="E106" s="81" t="s">
        <v>99</v>
      </c>
      <c r="F106" s="258">
        <f>IF(AND(B106&gt;=$E$1,EOMONTH(C106,0)&lt;=EOMONTH($E$2,0)),((VLOOKUP(YEAR(C106),'DIF MES'!A$2:E$38,5)*D106)/30),0)</f>
        <v>0</v>
      </c>
      <c r="G106" s="259">
        <f t="shared" si="32"/>
        <v>0</v>
      </c>
    </row>
    <row r="107" spans="1:7" x14ac:dyDescent="0.35">
      <c r="A107" s="497"/>
      <c r="B107" s="152">
        <f t="shared" si="54"/>
        <v>41760</v>
      </c>
      <c r="C107" s="152">
        <f t="shared" si="55"/>
        <v>41790</v>
      </c>
      <c r="D107" s="260">
        <f t="shared" si="33"/>
        <v>30</v>
      </c>
      <c r="E107" s="81" t="s">
        <v>100</v>
      </c>
      <c r="F107" s="258">
        <f>IF(AND(B107&gt;=$E$1,EOMONTH(C107,0)&lt;=EOMONTH($E$2,0)),((VLOOKUP(YEAR(C107),'DIF MES'!A$2:E$38,5)*D107)/30),0)</f>
        <v>0</v>
      </c>
      <c r="G107" s="259">
        <f t="shared" si="32"/>
        <v>0</v>
      </c>
    </row>
    <row r="108" spans="1:7" x14ac:dyDescent="0.35">
      <c r="A108" s="497"/>
      <c r="B108" s="156">
        <f t="shared" ref="B108" si="56">B109</f>
        <v>41791</v>
      </c>
      <c r="C108" s="156">
        <f t="shared" ref="C108" si="57">C109</f>
        <v>41820</v>
      </c>
      <c r="D108" s="260">
        <f t="shared" si="33"/>
        <v>30</v>
      </c>
      <c r="E108" s="261" t="s">
        <v>101</v>
      </c>
      <c r="F108" s="258">
        <f>IF(AND(B108&gt;=$E$1,EOMONTH(C108,0)&lt;=EOMONTH($E$2,0)),((VLOOKUP(YEAR(C108),'DIF MES'!A$2:E$38,5)*D108)/30),0)</f>
        <v>0</v>
      </c>
      <c r="G108" s="262">
        <f>IF(E108="adicional",F108,F108-((F108*12)/100))</f>
        <v>0</v>
      </c>
    </row>
    <row r="109" spans="1:7" x14ac:dyDescent="0.35">
      <c r="A109" s="497"/>
      <c r="B109" s="152">
        <f t="shared" ref="B109" si="58">IF(
AND(YEAR(C107)=YEAR(DATE(YEAR($E$1),MONTH($E$1)-1,1)),
MONTH(C107)=MONTH(DATE(YEAR($E$1),MONTH($E$1)-1,1))),
$E$1,
DATE(YEAR(C107),MONTH(C107)+1,1))</f>
        <v>41791</v>
      </c>
      <c r="C109" s="152">
        <f t="shared" ref="C109" si="59">IF(
AND(
YEAR(C107)=YEAR(DATE(YEAR($E$2),MONTH($E$2)-1,1)),
MONTH(C107)=MONTH(DATE(YEAR($E$2),MONTH($E$2)-1,1))
),
$E$2,
EOMONTH(C107,1)
)</f>
        <v>41820</v>
      </c>
      <c r="D109" s="260">
        <f t="shared" si="33"/>
        <v>30</v>
      </c>
      <c r="E109" s="81" t="s">
        <v>102</v>
      </c>
      <c r="F109" s="258">
        <f>IF(AND(B109&gt;=$E$1,EOMONTH(C109,0)&lt;=EOMONTH($E$2,0)),((VLOOKUP(YEAR(C109),'DIF MES'!A$2:E$38,5)*D109)/30),0)</f>
        <v>0</v>
      </c>
      <c r="G109" s="259">
        <f>IF(E109="adicional",F109,F109-((F109*12)/100))</f>
        <v>0</v>
      </c>
    </row>
    <row r="110" spans="1:7" x14ac:dyDescent="0.35">
      <c r="A110" s="497"/>
      <c r="B110" s="152">
        <f t="shared" ref="B110:B170" si="60">IF(
AND(YEAR(C109)=YEAR(DATE(YEAR($E$1),MONTH($E$1)-1,1)),
MONTH(C109)=MONTH(DATE(YEAR($E$1),MONTH($E$1)-1,1))),
$E$1,
DATE(YEAR(C109),MONTH(C109)+1,1))</f>
        <v>41821</v>
      </c>
      <c r="C110" s="152">
        <f t="shared" ref="C110:C170" si="61">IF(
AND(
YEAR(C109)=YEAR(DATE(YEAR($E$2),MONTH($E$2)-1,1)),
MONTH(C109)=MONTH(DATE(YEAR($E$2),MONTH($E$2)-1,1))
),
$E$2,
EOMONTH(C109,1)
)</f>
        <v>41851</v>
      </c>
      <c r="D110" s="260">
        <f t="shared" si="33"/>
        <v>30</v>
      </c>
      <c r="E110" s="81" t="s">
        <v>103</v>
      </c>
      <c r="F110" s="258">
        <f>IF(AND(B110&gt;=$E$1,EOMONTH(C110,0)&lt;=EOMONTH($E$2,0)),((VLOOKUP(YEAR(C110),'DIF MES'!A$2:E$38,5)*D110)/30),0)</f>
        <v>0</v>
      </c>
      <c r="G110" s="259">
        <f t="shared" si="32"/>
        <v>0</v>
      </c>
    </row>
    <row r="111" spans="1:7" x14ac:dyDescent="0.35">
      <c r="A111" s="497"/>
      <c r="B111" s="152">
        <f t="shared" si="60"/>
        <v>41852</v>
      </c>
      <c r="C111" s="152">
        <f t="shared" si="61"/>
        <v>41882</v>
      </c>
      <c r="D111" s="260">
        <f t="shared" si="33"/>
        <v>30</v>
      </c>
      <c r="E111" s="81" t="s">
        <v>104</v>
      </c>
      <c r="F111" s="258">
        <f>IF(AND(B111&gt;=$E$1,EOMONTH(C111,0)&lt;=EOMONTH($E$2,0)),((VLOOKUP(YEAR(C111),'DIF MES'!A$2:E$38,5)*D111)/30),0)</f>
        <v>0</v>
      </c>
      <c r="G111" s="259">
        <f t="shared" si="32"/>
        <v>0</v>
      </c>
    </row>
    <row r="112" spans="1:7" x14ac:dyDescent="0.35">
      <c r="A112" s="497"/>
      <c r="B112" s="152">
        <f t="shared" si="60"/>
        <v>41883</v>
      </c>
      <c r="C112" s="152">
        <f t="shared" si="61"/>
        <v>41912</v>
      </c>
      <c r="D112" s="260">
        <f t="shared" si="33"/>
        <v>30</v>
      </c>
      <c r="E112" s="81" t="s">
        <v>105</v>
      </c>
      <c r="F112" s="258">
        <f>IF(AND(B112&gt;=$E$1,EOMONTH(C112,0)&lt;=EOMONTH($E$2,0)),((VLOOKUP(YEAR(C112),'DIF MES'!A$2:E$38,5)*D112)/30),0)</f>
        <v>0</v>
      </c>
      <c r="G112" s="259">
        <f t="shared" si="32"/>
        <v>0</v>
      </c>
    </row>
    <row r="113" spans="1:7" x14ac:dyDescent="0.35">
      <c r="A113" s="497"/>
      <c r="B113" s="152">
        <f t="shared" si="60"/>
        <v>41913</v>
      </c>
      <c r="C113" s="152">
        <f t="shared" si="61"/>
        <v>41943</v>
      </c>
      <c r="D113" s="260">
        <f t="shared" si="33"/>
        <v>30</v>
      </c>
      <c r="E113" s="81" t="s">
        <v>106</v>
      </c>
      <c r="F113" s="258">
        <f>IF(AND(B113&gt;=$E$1,EOMONTH(C113,0)&lt;=EOMONTH($E$2,0)),((VLOOKUP(YEAR(C113),'DIF MES'!A$2:E$38,5)*D113)/30),0)</f>
        <v>0</v>
      </c>
      <c r="G113" s="259">
        <f t="shared" si="32"/>
        <v>0</v>
      </c>
    </row>
    <row r="114" spans="1:7" x14ac:dyDescent="0.35">
      <c r="A114" s="497"/>
      <c r="B114" s="152">
        <f t="shared" si="60"/>
        <v>41944</v>
      </c>
      <c r="C114" s="152">
        <f t="shared" si="61"/>
        <v>41973</v>
      </c>
      <c r="D114" s="260">
        <f t="shared" si="33"/>
        <v>30</v>
      </c>
      <c r="E114" s="81" t="s">
        <v>107</v>
      </c>
      <c r="F114" s="258">
        <f>IF(AND(B114&gt;=$E$1,EOMONTH(C114,0)&lt;=EOMONTH($E$2,0)),((VLOOKUP(YEAR(C114),'DIF MES'!A$2:E$38,5)*D114)/30),0)</f>
        <v>0</v>
      </c>
      <c r="G114" s="259">
        <f t="shared" si="32"/>
        <v>0</v>
      </c>
    </row>
    <row r="115" spans="1:7" x14ac:dyDescent="0.35">
      <c r="A115" s="497"/>
      <c r="B115" s="156">
        <f t="shared" ref="B115" si="62">B114</f>
        <v>41944</v>
      </c>
      <c r="C115" s="156">
        <f t="shared" ref="C115" si="63">C114</f>
        <v>41973</v>
      </c>
      <c r="D115" s="260">
        <f t="shared" si="33"/>
        <v>30</v>
      </c>
      <c r="E115" s="261" t="s">
        <v>101</v>
      </c>
      <c r="F115" s="258">
        <f>IF(AND(B115&gt;=$E$1,EOMONTH(C115,0)&lt;=EOMONTH($E$2,0)),((VLOOKUP(YEAR(C115),'DIF MES'!A$2:E$38,5)*D115)/30),0)</f>
        <v>0</v>
      </c>
      <c r="G115" s="262">
        <f t="shared" si="32"/>
        <v>0</v>
      </c>
    </row>
    <row r="116" spans="1:7" x14ac:dyDescent="0.35">
      <c r="A116" s="497"/>
      <c r="B116" s="152">
        <f t="shared" ref="B116" si="64">IF(
AND(YEAR(C114)=YEAR(DATE(YEAR($E$1),MONTH($E$1)-1,1)),
MONTH(C114)=MONTH(DATE(YEAR($E$1),MONTH($E$1)-1,1))),
$E$1,
DATE(YEAR(C114),MONTH(C114)+1,1))</f>
        <v>41974</v>
      </c>
      <c r="C116" s="152">
        <f t="shared" ref="C116" si="65">IF(
AND(
YEAR(C114)=YEAR(DATE(YEAR($E$2),MONTH($E$2)-1,1)),
MONTH(C114)=MONTH(DATE(YEAR($E$2),MONTH($E$2)-1,1))
),
$E$2,
EOMONTH(C114,1)
)</f>
        <v>42004</v>
      </c>
      <c r="D116" s="260">
        <f t="shared" si="33"/>
        <v>30</v>
      </c>
      <c r="E116" s="81" t="s">
        <v>108</v>
      </c>
      <c r="F116" s="258">
        <f>IF(AND(B116&gt;=$E$1,EOMONTH(C116,0)&lt;=EOMONTH($E$2,0)),((VLOOKUP(YEAR(C116),'DIF MES'!A$2:E$38,5)*D116)/30),0)</f>
        <v>0</v>
      </c>
      <c r="G116" s="259">
        <f t="shared" si="32"/>
        <v>0</v>
      </c>
    </row>
    <row r="117" spans="1:7" x14ac:dyDescent="0.35">
      <c r="A117" s="498">
        <v>2015</v>
      </c>
      <c r="B117" s="152">
        <f t="shared" si="54"/>
        <v>42005</v>
      </c>
      <c r="C117" s="152">
        <f t="shared" si="55"/>
        <v>42035</v>
      </c>
      <c r="D117" s="260">
        <f t="shared" si="33"/>
        <v>30</v>
      </c>
      <c r="E117" s="81" t="s">
        <v>96</v>
      </c>
      <c r="F117" s="258">
        <f>IF(AND(B117&gt;=$E$1,EOMONTH(C117,0)&lt;=EOMONTH($E$2,0)),((VLOOKUP(YEAR(C117),'DIF MES'!A$2:E$38,5)*D117)/30),0)</f>
        <v>0</v>
      </c>
      <c r="G117" s="259">
        <f t="shared" si="32"/>
        <v>0</v>
      </c>
    </row>
    <row r="118" spans="1:7" x14ac:dyDescent="0.35">
      <c r="A118" s="469"/>
      <c r="B118" s="152">
        <f t="shared" si="54"/>
        <v>42036</v>
      </c>
      <c r="C118" s="152">
        <f t="shared" si="55"/>
        <v>42063</v>
      </c>
      <c r="D118" s="260">
        <f t="shared" si="33"/>
        <v>30</v>
      </c>
      <c r="E118" s="81" t="s">
        <v>97</v>
      </c>
      <c r="F118" s="258">
        <f>IF(AND(B118&gt;=$E$1,EOMONTH(C118,0)&lt;=EOMONTH($E$2,0)),((VLOOKUP(YEAR(C118),'DIF MES'!A$2:E$38,5)*D118)/30),0)</f>
        <v>0</v>
      </c>
      <c r="G118" s="259">
        <f t="shared" si="32"/>
        <v>0</v>
      </c>
    </row>
    <row r="119" spans="1:7" x14ac:dyDescent="0.35">
      <c r="A119" s="469"/>
      <c r="B119" s="152">
        <f t="shared" si="54"/>
        <v>42064</v>
      </c>
      <c r="C119" s="152">
        <f t="shared" si="55"/>
        <v>42094</v>
      </c>
      <c r="D119" s="260">
        <f t="shared" si="33"/>
        <v>30</v>
      </c>
      <c r="E119" s="81" t="s">
        <v>98</v>
      </c>
      <c r="F119" s="258">
        <f>IF(AND(B119&gt;=$E$1,EOMONTH(C119,0)&lt;=EOMONTH($E$2,0)),((VLOOKUP(YEAR(C119),'DIF MES'!A$2:E$38,5)*D119)/30),0)</f>
        <v>0</v>
      </c>
      <c r="G119" s="259">
        <f t="shared" si="32"/>
        <v>0</v>
      </c>
    </row>
    <row r="120" spans="1:7" x14ac:dyDescent="0.35">
      <c r="A120" s="469"/>
      <c r="B120" s="152">
        <f t="shared" si="54"/>
        <v>42095</v>
      </c>
      <c r="C120" s="152">
        <f t="shared" si="55"/>
        <v>42124</v>
      </c>
      <c r="D120" s="260">
        <f t="shared" si="33"/>
        <v>30</v>
      </c>
      <c r="E120" s="81" t="s">
        <v>99</v>
      </c>
      <c r="F120" s="258">
        <f>IF(AND(B120&gt;=$E$1,EOMONTH(C120,0)&lt;=EOMONTH($E$2,0)),((VLOOKUP(YEAR(C120),'DIF MES'!A$2:E$38,5)*D120)/30),0)</f>
        <v>0</v>
      </c>
      <c r="G120" s="259">
        <f t="shared" si="32"/>
        <v>0</v>
      </c>
    </row>
    <row r="121" spans="1:7" x14ac:dyDescent="0.35">
      <c r="A121" s="469"/>
      <c r="B121" s="152">
        <f t="shared" si="54"/>
        <v>42125</v>
      </c>
      <c r="C121" s="152">
        <f t="shared" si="55"/>
        <v>42155</v>
      </c>
      <c r="D121" s="260">
        <f t="shared" si="33"/>
        <v>30</v>
      </c>
      <c r="E121" s="81" t="s">
        <v>100</v>
      </c>
      <c r="F121" s="258">
        <f>IF(AND(B121&gt;=$E$1,EOMONTH(C121,0)&lt;=EOMONTH($E$2,0)),((VLOOKUP(YEAR(C121),'DIF MES'!A$2:E$38,5)*D121)/30),0)</f>
        <v>0</v>
      </c>
      <c r="G121" s="259">
        <f t="shared" si="32"/>
        <v>0</v>
      </c>
    </row>
    <row r="122" spans="1:7" x14ac:dyDescent="0.35">
      <c r="A122" s="469"/>
      <c r="B122" s="156">
        <f t="shared" ref="B122" si="66">B123</f>
        <v>42156</v>
      </c>
      <c r="C122" s="156">
        <f t="shared" ref="C122" si="67">C123</f>
        <v>42185</v>
      </c>
      <c r="D122" s="260">
        <f t="shared" si="33"/>
        <v>30</v>
      </c>
      <c r="E122" s="261" t="s">
        <v>101</v>
      </c>
      <c r="F122" s="258">
        <f>IF(AND(B122&gt;=$E$1,EOMONTH(C122,0)&lt;=EOMONTH($E$2,0)),((VLOOKUP(YEAR(C122),'DIF MES'!A$2:E$38,5)*D122)/30),0)</f>
        <v>0</v>
      </c>
      <c r="G122" s="262">
        <f>IF(E122="adicional",F122,F122-((F122*12)/100))</f>
        <v>0</v>
      </c>
    </row>
    <row r="123" spans="1:7" x14ac:dyDescent="0.35">
      <c r="A123" s="469"/>
      <c r="B123" s="152">
        <f t="shared" ref="B123" si="68">IF(
AND(YEAR(C121)=YEAR(DATE(YEAR($E$1),MONTH($E$1)-1,1)),
MONTH(C121)=MONTH(DATE(YEAR($E$1),MONTH($E$1)-1,1))),
$E$1,
DATE(YEAR(C121),MONTH(C121)+1,1))</f>
        <v>42156</v>
      </c>
      <c r="C123" s="152">
        <f t="shared" ref="C123" si="69">IF(
AND(
YEAR(C121)=YEAR(DATE(YEAR($E$2),MONTH($E$2)-1,1)),
MONTH(C121)=MONTH(DATE(YEAR($E$2),MONTH($E$2)-1,1))
),
$E$2,
EOMONTH(C121,1)
)</f>
        <v>42185</v>
      </c>
      <c r="D123" s="260">
        <f t="shared" si="33"/>
        <v>30</v>
      </c>
      <c r="E123" s="81" t="s">
        <v>102</v>
      </c>
      <c r="F123" s="258">
        <f>IF(AND(B123&gt;=$E$1,EOMONTH(C123,0)&lt;=EOMONTH($E$2,0)),((VLOOKUP(YEAR(C123),'DIF MES'!A$2:E$38,5)*D123)/30),0)</f>
        <v>0</v>
      </c>
      <c r="G123" s="259">
        <f>IF(E123="adicional",F123,F123-((F123*12)/100))</f>
        <v>0</v>
      </c>
    </row>
    <row r="124" spans="1:7" x14ac:dyDescent="0.35">
      <c r="A124" s="469"/>
      <c r="B124" s="152">
        <f t="shared" si="60"/>
        <v>42186</v>
      </c>
      <c r="C124" s="152">
        <f t="shared" si="61"/>
        <v>42216</v>
      </c>
      <c r="D124" s="260">
        <f t="shared" si="33"/>
        <v>30</v>
      </c>
      <c r="E124" s="81" t="s">
        <v>103</v>
      </c>
      <c r="F124" s="258">
        <f>IF(AND(B124&gt;=$E$1,EOMONTH(C124,0)&lt;=EOMONTH($E$2,0)),((VLOOKUP(YEAR(C124),'DIF MES'!A$2:E$38,5)*D124)/30),0)</f>
        <v>0</v>
      </c>
      <c r="G124" s="259">
        <f t="shared" si="32"/>
        <v>0</v>
      </c>
    </row>
    <row r="125" spans="1:7" x14ac:dyDescent="0.35">
      <c r="A125" s="469"/>
      <c r="B125" s="152">
        <f t="shared" si="60"/>
        <v>42217</v>
      </c>
      <c r="C125" s="152">
        <f t="shared" si="61"/>
        <v>42247</v>
      </c>
      <c r="D125" s="260">
        <f t="shared" si="33"/>
        <v>30</v>
      </c>
      <c r="E125" s="81" t="s">
        <v>104</v>
      </c>
      <c r="F125" s="258">
        <f>IF(AND(B125&gt;=$E$1,EOMONTH(C125,0)&lt;=EOMONTH($E$2,0)),((VLOOKUP(YEAR(C125),'DIF MES'!A$2:E$38,5)*D125)/30),0)</f>
        <v>0</v>
      </c>
      <c r="G125" s="259">
        <f t="shared" si="32"/>
        <v>0</v>
      </c>
    </row>
    <row r="126" spans="1:7" x14ac:dyDescent="0.35">
      <c r="A126" s="469"/>
      <c r="B126" s="152">
        <f t="shared" si="60"/>
        <v>42248</v>
      </c>
      <c r="C126" s="152">
        <f t="shared" si="61"/>
        <v>42277</v>
      </c>
      <c r="D126" s="260">
        <f t="shared" si="33"/>
        <v>30</v>
      </c>
      <c r="E126" s="81" t="s">
        <v>105</v>
      </c>
      <c r="F126" s="258">
        <f>IF(AND(B126&gt;=$E$1,EOMONTH(C126,0)&lt;=EOMONTH($E$2,0)),((VLOOKUP(YEAR(C126),'DIF MES'!A$2:E$38,5)*D126)/30),0)</f>
        <v>0</v>
      </c>
      <c r="G126" s="259">
        <f t="shared" si="32"/>
        <v>0</v>
      </c>
    </row>
    <row r="127" spans="1:7" x14ac:dyDescent="0.35">
      <c r="A127" s="469"/>
      <c r="B127" s="152">
        <f t="shared" si="60"/>
        <v>42278</v>
      </c>
      <c r="C127" s="152">
        <f t="shared" si="61"/>
        <v>42308</v>
      </c>
      <c r="D127" s="260">
        <f t="shared" si="33"/>
        <v>30</v>
      </c>
      <c r="E127" s="81" t="s">
        <v>106</v>
      </c>
      <c r="F127" s="258">
        <f>IF(AND(B127&gt;=$E$1,EOMONTH(C127,0)&lt;=EOMONTH($E$2,0)),((VLOOKUP(YEAR(C127),'DIF MES'!A$2:E$38,5)*D127)/30),0)</f>
        <v>0</v>
      </c>
      <c r="G127" s="259">
        <f t="shared" si="32"/>
        <v>0</v>
      </c>
    </row>
    <row r="128" spans="1:7" x14ac:dyDescent="0.35">
      <c r="A128" s="469"/>
      <c r="B128" s="152">
        <f t="shared" si="60"/>
        <v>42309</v>
      </c>
      <c r="C128" s="152">
        <f t="shared" si="61"/>
        <v>42338</v>
      </c>
      <c r="D128" s="260">
        <f t="shared" si="33"/>
        <v>30</v>
      </c>
      <c r="E128" s="81" t="s">
        <v>107</v>
      </c>
      <c r="F128" s="258">
        <f>IF(AND(B128&gt;=$E$1,EOMONTH(C128,0)&lt;=EOMONTH($E$2,0)),((VLOOKUP(YEAR(C128),'DIF MES'!A$2:E$38,5)*D128)/30),0)</f>
        <v>0</v>
      </c>
      <c r="G128" s="259">
        <f t="shared" si="32"/>
        <v>0</v>
      </c>
    </row>
    <row r="129" spans="1:7" x14ac:dyDescent="0.35">
      <c r="A129" s="469"/>
      <c r="B129" s="156">
        <f t="shared" ref="B129" si="70">B128</f>
        <v>42309</v>
      </c>
      <c r="C129" s="156">
        <f t="shared" ref="C129" si="71">C128</f>
        <v>42338</v>
      </c>
      <c r="D129" s="260">
        <f t="shared" si="33"/>
        <v>30</v>
      </c>
      <c r="E129" s="261" t="s">
        <v>101</v>
      </c>
      <c r="F129" s="258">
        <f>IF(AND(B129&gt;=$E$1,EOMONTH(C129,0)&lt;=EOMONTH($E$2,0)),((VLOOKUP(YEAR(C129),'DIF MES'!A$2:E$38,5)*D129)/30),0)</f>
        <v>0</v>
      </c>
      <c r="G129" s="262">
        <f t="shared" si="32"/>
        <v>0</v>
      </c>
    </row>
    <row r="130" spans="1:7" x14ac:dyDescent="0.35">
      <c r="A130" s="469"/>
      <c r="B130" s="152">
        <f t="shared" ref="B130" si="72">IF(
AND(YEAR(C128)=YEAR(DATE(YEAR($E$1),MONTH($E$1)-1,1)),
MONTH(C128)=MONTH(DATE(YEAR($E$1),MONTH($E$1)-1,1))),
$E$1,
DATE(YEAR(C128),MONTH(C128)+1,1))</f>
        <v>42339</v>
      </c>
      <c r="C130" s="152">
        <f t="shared" ref="C130" si="73">IF(
AND(
YEAR(C128)=YEAR(DATE(YEAR($E$2),MONTH($E$2)-1,1)),
MONTH(C128)=MONTH(DATE(YEAR($E$2),MONTH($E$2)-1,1))
),
$E$2,
EOMONTH(C128,1)
)</f>
        <v>42369</v>
      </c>
      <c r="D130" s="260">
        <f t="shared" si="33"/>
        <v>30</v>
      </c>
      <c r="E130" s="81" t="s">
        <v>108</v>
      </c>
      <c r="F130" s="258">
        <f>IF(AND(B130&gt;=$E$1,EOMONTH(C130,0)&lt;=EOMONTH($E$2,0)),((VLOOKUP(YEAR(C130),'DIF MES'!A$2:E$38,5)*D130)/30),0)</f>
        <v>0</v>
      </c>
      <c r="G130" s="259">
        <f t="shared" si="32"/>
        <v>0</v>
      </c>
    </row>
    <row r="131" spans="1:7" x14ac:dyDescent="0.35">
      <c r="A131" s="499">
        <v>2016</v>
      </c>
      <c r="B131" s="152">
        <f t="shared" si="54"/>
        <v>42370</v>
      </c>
      <c r="C131" s="152">
        <f t="shared" si="55"/>
        <v>42400</v>
      </c>
      <c r="D131" s="260">
        <f t="shared" si="33"/>
        <v>30</v>
      </c>
      <c r="E131" s="81" t="s">
        <v>96</v>
      </c>
      <c r="F131" s="258">
        <f>IF(AND(B131&gt;=$E$1,EOMONTH(C131,0)&lt;=EOMONTH($E$2,0)),((VLOOKUP(YEAR(C131),'DIF MES'!A$2:E$38,5)*D131)/30),0)</f>
        <v>0</v>
      </c>
      <c r="G131" s="259">
        <f t="shared" si="32"/>
        <v>0</v>
      </c>
    </row>
    <row r="132" spans="1:7" x14ac:dyDescent="0.35">
      <c r="A132" s="499"/>
      <c r="B132" s="152">
        <f t="shared" si="54"/>
        <v>42401</v>
      </c>
      <c r="C132" s="152">
        <f t="shared" si="55"/>
        <v>42429</v>
      </c>
      <c r="D132" s="260">
        <f t="shared" si="33"/>
        <v>30</v>
      </c>
      <c r="E132" s="81" t="s">
        <v>97</v>
      </c>
      <c r="F132" s="258">
        <f>IF(AND(B132&gt;=$E$1,EOMONTH(C132,0)&lt;=EOMONTH($E$2,0)),((VLOOKUP(YEAR(C132),'DIF MES'!A$2:E$38,5)*D132)/30),0)</f>
        <v>0</v>
      </c>
      <c r="G132" s="259">
        <f t="shared" si="32"/>
        <v>0</v>
      </c>
    </row>
    <row r="133" spans="1:7" x14ac:dyDescent="0.35">
      <c r="A133" s="499"/>
      <c r="B133" s="152">
        <f t="shared" si="54"/>
        <v>42430</v>
      </c>
      <c r="C133" s="152">
        <f t="shared" si="55"/>
        <v>42460</v>
      </c>
      <c r="D133" s="260">
        <f t="shared" si="33"/>
        <v>30</v>
      </c>
      <c r="E133" s="81" t="s">
        <v>98</v>
      </c>
      <c r="F133" s="258">
        <f>IF(AND(B133&gt;=$E$1,EOMONTH(C133,0)&lt;=EOMONTH($E$2,0)),((VLOOKUP(YEAR(C133),'DIF MES'!A$2:E$38,5)*D133)/30),0)</f>
        <v>0</v>
      </c>
      <c r="G133" s="259">
        <f t="shared" ref="G133:G201" si="74">IF(E133="adicional",F133,F133-((F133*12)/100))</f>
        <v>0</v>
      </c>
    </row>
    <row r="134" spans="1:7" x14ac:dyDescent="0.35">
      <c r="A134" s="499"/>
      <c r="B134" s="152">
        <f t="shared" si="54"/>
        <v>42461</v>
      </c>
      <c r="C134" s="152">
        <f t="shared" si="55"/>
        <v>42490</v>
      </c>
      <c r="D134" s="260">
        <f t="shared" ref="D134:D197" si="75">DAYS360(B134,C134+1)</f>
        <v>30</v>
      </c>
      <c r="E134" s="81" t="s">
        <v>99</v>
      </c>
      <c r="F134" s="258">
        <f>IF(AND(B134&gt;=$E$1,EOMONTH(C134,0)&lt;=EOMONTH($E$2,0)),((VLOOKUP(YEAR(C134),'DIF MES'!A$2:E$38,5)*D134)/30),0)</f>
        <v>0</v>
      </c>
      <c r="G134" s="259">
        <f t="shared" si="74"/>
        <v>0</v>
      </c>
    </row>
    <row r="135" spans="1:7" x14ac:dyDescent="0.35">
      <c r="A135" s="499"/>
      <c r="B135" s="152">
        <f t="shared" si="54"/>
        <v>42491</v>
      </c>
      <c r="C135" s="152">
        <f t="shared" si="55"/>
        <v>42521</v>
      </c>
      <c r="D135" s="260">
        <f t="shared" si="75"/>
        <v>30</v>
      </c>
      <c r="E135" s="81" t="s">
        <v>100</v>
      </c>
      <c r="F135" s="258">
        <f>IF(AND(B135&gt;=$E$1,EOMONTH(C135,0)&lt;=EOMONTH($E$2,0)),((VLOOKUP(YEAR(C135),'DIF MES'!A$2:E$38,5)*D135)/30),0)</f>
        <v>0</v>
      </c>
      <c r="G135" s="259">
        <f t="shared" si="74"/>
        <v>0</v>
      </c>
    </row>
    <row r="136" spans="1:7" x14ac:dyDescent="0.35">
      <c r="A136" s="499"/>
      <c r="B136" s="156">
        <f t="shared" ref="B136" si="76">B137</f>
        <v>42522</v>
      </c>
      <c r="C136" s="156">
        <f t="shared" ref="C136" si="77">C137</f>
        <v>42551</v>
      </c>
      <c r="D136" s="260">
        <f t="shared" si="75"/>
        <v>30</v>
      </c>
      <c r="E136" s="261" t="s">
        <v>101</v>
      </c>
      <c r="F136" s="258">
        <f>IF(AND(B136&gt;=$E$1,EOMONTH(C136,0)&lt;=EOMONTH($E$2,0)),((VLOOKUP(YEAR(C136),'DIF MES'!A$2:E$38,5)*D136)/30),0)</f>
        <v>0</v>
      </c>
      <c r="G136" s="262">
        <f>IF(E136="adicional",F136,F136-((F136*12)/100))</f>
        <v>0</v>
      </c>
    </row>
    <row r="137" spans="1:7" x14ac:dyDescent="0.35">
      <c r="A137" s="499"/>
      <c r="B137" s="152">
        <f t="shared" ref="B137" si="78">IF(
AND(YEAR(C135)=YEAR(DATE(YEAR($E$1),MONTH($E$1)-1,1)),
MONTH(C135)=MONTH(DATE(YEAR($E$1),MONTH($E$1)-1,1))),
$E$1,
DATE(YEAR(C135),MONTH(C135)+1,1))</f>
        <v>42522</v>
      </c>
      <c r="C137" s="152">
        <f t="shared" ref="C137" si="79">IF(
AND(
YEAR(C135)=YEAR(DATE(YEAR($E$2),MONTH($E$2)-1,1)),
MONTH(C135)=MONTH(DATE(YEAR($E$2),MONTH($E$2)-1,1))
),
$E$2,
EOMONTH(C135,1)
)</f>
        <v>42551</v>
      </c>
      <c r="D137" s="260">
        <f t="shared" si="75"/>
        <v>30</v>
      </c>
      <c r="E137" s="81" t="s">
        <v>102</v>
      </c>
      <c r="F137" s="258">
        <f>IF(AND(B137&gt;=$E$1,EOMONTH(C137,0)&lt;=EOMONTH($E$2,0)),((VLOOKUP(YEAR(C137),'DIF MES'!A$2:E$38,5)*D137)/30),0)</f>
        <v>0</v>
      </c>
      <c r="G137" s="259">
        <f>IF(E137="adicional",F137,F137-((F137*12)/100))</f>
        <v>0</v>
      </c>
    </row>
    <row r="138" spans="1:7" x14ac:dyDescent="0.35">
      <c r="A138" s="499"/>
      <c r="B138" s="152">
        <f t="shared" si="60"/>
        <v>42552</v>
      </c>
      <c r="C138" s="152">
        <f t="shared" si="61"/>
        <v>42582</v>
      </c>
      <c r="D138" s="260">
        <f t="shared" si="75"/>
        <v>30</v>
      </c>
      <c r="E138" s="81" t="s">
        <v>103</v>
      </c>
      <c r="F138" s="258">
        <f>IF(AND(B138&gt;=$E$1,EOMONTH(C138,0)&lt;=EOMONTH($E$2,0)),((VLOOKUP(YEAR(C138),'DIF MES'!A$2:E$38,5)*D138)/30),0)</f>
        <v>0</v>
      </c>
      <c r="G138" s="259">
        <f t="shared" si="74"/>
        <v>0</v>
      </c>
    </row>
    <row r="139" spans="1:7" x14ac:dyDescent="0.35">
      <c r="A139" s="499"/>
      <c r="B139" s="152">
        <f t="shared" si="60"/>
        <v>42583</v>
      </c>
      <c r="C139" s="152">
        <f t="shared" si="61"/>
        <v>42613</v>
      </c>
      <c r="D139" s="260">
        <f t="shared" si="75"/>
        <v>30</v>
      </c>
      <c r="E139" s="81" t="s">
        <v>104</v>
      </c>
      <c r="F139" s="258">
        <f>IF(AND(B139&gt;=$E$1,EOMONTH(C139,0)&lt;=EOMONTH($E$2,0)),((VLOOKUP(YEAR(C139),'DIF MES'!A$2:E$38,5)*D139)/30),0)</f>
        <v>0</v>
      </c>
      <c r="G139" s="259">
        <f t="shared" si="74"/>
        <v>0</v>
      </c>
    </row>
    <row r="140" spans="1:7" x14ac:dyDescent="0.35">
      <c r="A140" s="499"/>
      <c r="B140" s="152">
        <f t="shared" si="60"/>
        <v>42614</v>
      </c>
      <c r="C140" s="152">
        <f t="shared" si="61"/>
        <v>42643</v>
      </c>
      <c r="D140" s="260">
        <f t="shared" si="75"/>
        <v>30</v>
      </c>
      <c r="E140" s="81" t="s">
        <v>105</v>
      </c>
      <c r="F140" s="258">
        <f>IF(AND(B140&gt;=$E$1,EOMONTH(C140,0)&lt;=EOMONTH($E$2,0)),((VLOOKUP(YEAR(C140),'DIF MES'!A$2:E$38,5)*D140)/30),0)</f>
        <v>0</v>
      </c>
      <c r="G140" s="259">
        <f t="shared" si="74"/>
        <v>0</v>
      </c>
    </row>
    <row r="141" spans="1:7" x14ac:dyDescent="0.35">
      <c r="A141" s="499"/>
      <c r="B141" s="152">
        <f t="shared" si="60"/>
        <v>42644</v>
      </c>
      <c r="C141" s="152">
        <f t="shared" si="61"/>
        <v>42674</v>
      </c>
      <c r="D141" s="260">
        <f t="shared" si="75"/>
        <v>30</v>
      </c>
      <c r="E141" s="81" t="s">
        <v>106</v>
      </c>
      <c r="F141" s="258">
        <f>IF(AND(B141&gt;=$E$1,EOMONTH(C141,0)&lt;=EOMONTH($E$2,0)),((VLOOKUP(YEAR(C141),'DIF MES'!A$2:E$38,5)*D141)/30),0)</f>
        <v>0</v>
      </c>
      <c r="G141" s="259">
        <f t="shared" si="74"/>
        <v>0</v>
      </c>
    </row>
    <row r="142" spans="1:7" x14ac:dyDescent="0.35">
      <c r="A142" s="499"/>
      <c r="B142" s="152">
        <f t="shared" si="60"/>
        <v>42675</v>
      </c>
      <c r="C142" s="152">
        <f t="shared" si="61"/>
        <v>42704</v>
      </c>
      <c r="D142" s="260">
        <f t="shared" si="75"/>
        <v>30</v>
      </c>
      <c r="E142" s="81" t="s">
        <v>107</v>
      </c>
      <c r="F142" s="258">
        <f>IF(AND(B142&gt;=$E$1,EOMONTH(C142,0)&lt;=EOMONTH($E$2,0)),((VLOOKUP(YEAR(C142),'DIF MES'!A$2:E$38,5)*D142)/30),0)</f>
        <v>0</v>
      </c>
      <c r="G142" s="259">
        <f t="shared" si="74"/>
        <v>0</v>
      </c>
    </row>
    <row r="143" spans="1:7" x14ac:dyDescent="0.35">
      <c r="A143" s="499"/>
      <c r="B143" s="156">
        <f t="shared" ref="B143" si="80">B142</f>
        <v>42675</v>
      </c>
      <c r="C143" s="156">
        <f t="shared" ref="C143" si="81">C142</f>
        <v>42704</v>
      </c>
      <c r="D143" s="260">
        <f t="shared" si="75"/>
        <v>30</v>
      </c>
      <c r="E143" s="261" t="s">
        <v>101</v>
      </c>
      <c r="F143" s="258">
        <f>IF(AND(B143&gt;=$E$1,EOMONTH(C143,0)&lt;=EOMONTH($E$2,0)),((VLOOKUP(YEAR(C143),'DIF MES'!A$2:E$38,5)*D143)/30),0)</f>
        <v>0</v>
      </c>
      <c r="G143" s="262">
        <f t="shared" si="74"/>
        <v>0</v>
      </c>
    </row>
    <row r="144" spans="1:7" x14ac:dyDescent="0.35">
      <c r="A144" s="499"/>
      <c r="B144" s="152">
        <f t="shared" ref="B144" si="82">IF(
AND(YEAR(C142)=YEAR(DATE(YEAR($E$1),MONTH($E$1)-1,1)),
MONTH(C142)=MONTH(DATE(YEAR($E$1),MONTH($E$1)-1,1))),
$E$1,
DATE(YEAR(C142),MONTH(C142)+1,1))</f>
        <v>42705</v>
      </c>
      <c r="C144" s="152">
        <f t="shared" ref="C144" si="83">IF(
AND(
YEAR(C142)=YEAR(DATE(YEAR($E$2),MONTH($E$2)-1,1)),
MONTH(C142)=MONTH(DATE(YEAR($E$2),MONTH($E$2)-1,1))
),
$E$2,
EOMONTH(C142,1)
)</f>
        <v>42735</v>
      </c>
      <c r="D144" s="260">
        <f t="shared" si="75"/>
        <v>30</v>
      </c>
      <c r="E144" s="81" t="s">
        <v>108</v>
      </c>
      <c r="F144" s="258">
        <f>IF(AND(B144&gt;=$E$1,EOMONTH(C144,0)&lt;=EOMONTH($E$2,0)),((VLOOKUP(YEAR(C144),'DIF MES'!A$2:E$38,5)*D144)/30),0)</f>
        <v>0</v>
      </c>
      <c r="G144" s="259">
        <f t="shared" si="74"/>
        <v>0</v>
      </c>
    </row>
    <row r="145" spans="1:7" x14ac:dyDescent="0.35">
      <c r="A145" s="497">
        <v>2017</v>
      </c>
      <c r="B145" s="152">
        <f t="shared" si="54"/>
        <v>42736</v>
      </c>
      <c r="C145" s="152">
        <f t="shared" si="55"/>
        <v>42766</v>
      </c>
      <c r="D145" s="260">
        <f t="shared" si="75"/>
        <v>30</v>
      </c>
      <c r="E145" s="81" t="s">
        <v>96</v>
      </c>
      <c r="F145" s="258">
        <f>IF(AND(B145&gt;=$E$1,EOMONTH(C145,0)&lt;=EOMONTH($E$2,0)),((VLOOKUP(YEAR(C145),'DIF MES'!A$2:E$38,5)*D145)/30),0)</f>
        <v>0</v>
      </c>
      <c r="G145" s="259">
        <f t="shared" si="74"/>
        <v>0</v>
      </c>
    </row>
    <row r="146" spans="1:7" x14ac:dyDescent="0.35">
      <c r="A146" s="497"/>
      <c r="B146" s="152">
        <f t="shared" si="54"/>
        <v>42767</v>
      </c>
      <c r="C146" s="152">
        <f t="shared" si="55"/>
        <v>42794</v>
      </c>
      <c r="D146" s="260">
        <f t="shared" si="75"/>
        <v>30</v>
      </c>
      <c r="E146" s="81" t="s">
        <v>97</v>
      </c>
      <c r="F146" s="258">
        <f>IF(AND(B146&gt;=$E$1,EOMONTH(C146,0)&lt;=EOMONTH($E$2,0)),((VLOOKUP(YEAR(C146),'DIF MES'!A$2:E$38,5)*D146)/30),0)</f>
        <v>0</v>
      </c>
      <c r="G146" s="259">
        <f t="shared" si="74"/>
        <v>0</v>
      </c>
    </row>
    <row r="147" spans="1:7" x14ac:dyDescent="0.35">
      <c r="A147" s="497"/>
      <c r="B147" s="152">
        <f t="shared" si="54"/>
        <v>42795</v>
      </c>
      <c r="C147" s="152">
        <f t="shared" si="55"/>
        <v>42825</v>
      </c>
      <c r="D147" s="260">
        <f t="shared" si="75"/>
        <v>30</v>
      </c>
      <c r="E147" s="81" t="s">
        <v>98</v>
      </c>
      <c r="F147" s="258">
        <f>IF(AND(B147&gt;=$E$1,EOMONTH(C147,0)&lt;=EOMONTH($E$2,0)),((VLOOKUP(YEAR(C147),'DIF MES'!A$2:E$38,5)*D147)/30),0)</f>
        <v>0</v>
      </c>
      <c r="G147" s="259">
        <f t="shared" si="74"/>
        <v>0</v>
      </c>
    </row>
    <row r="148" spans="1:7" x14ac:dyDescent="0.35">
      <c r="A148" s="497"/>
      <c r="B148" s="152">
        <f t="shared" si="54"/>
        <v>42826</v>
      </c>
      <c r="C148" s="152">
        <f t="shared" si="55"/>
        <v>42855</v>
      </c>
      <c r="D148" s="260">
        <f t="shared" si="75"/>
        <v>30</v>
      </c>
      <c r="E148" s="81" t="s">
        <v>99</v>
      </c>
      <c r="F148" s="258">
        <f>IF(AND(B148&gt;=$E$1,EOMONTH(C148,0)&lt;=EOMONTH($E$2,0)),((VLOOKUP(YEAR(C148),'DIF MES'!A$2:E$38,5)*D148)/30),0)</f>
        <v>0</v>
      </c>
      <c r="G148" s="259">
        <f t="shared" si="74"/>
        <v>0</v>
      </c>
    </row>
    <row r="149" spans="1:7" x14ac:dyDescent="0.35">
      <c r="A149" s="497"/>
      <c r="B149" s="152">
        <f t="shared" si="54"/>
        <v>42856</v>
      </c>
      <c r="C149" s="152">
        <f t="shared" si="55"/>
        <v>42886</v>
      </c>
      <c r="D149" s="260">
        <f t="shared" si="75"/>
        <v>30</v>
      </c>
      <c r="E149" s="81" t="s">
        <v>100</v>
      </c>
      <c r="F149" s="258">
        <f>IF(AND(B149&gt;=$E$1,EOMONTH(C149,0)&lt;=EOMONTH($E$2,0)),((VLOOKUP(YEAR(C149),'DIF MES'!A$2:E$38,5)*D149)/30),0)</f>
        <v>0</v>
      </c>
      <c r="G149" s="259">
        <f t="shared" si="74"/>
        <v>0</v>
      </c>
    </row>
    <row r="150" spans="1:7" x14ac:dyDescent="0.35">
      <c r="A150" s="497"/>
      <c r="B150" s="156">
        <f t="shared" ref="B150" si="84">B151</f>
        <v>42887</v>
      </c>
      <c r="C150" s="156">
        <f t="shared" ref="C150" si="85">C151</f>
        <v>42916</v>
      </c>
      <c r="D150" s="260">
        <f t="shared" si="75"/>
        <v>30</v>
      </c>
      <c r="E150" s="261" t="s">
        <v>101</v>
      </c>
      <c r="F150" s="258">
        <f>IF(AND(B150&gt;=$E$1,EOMONTH(C150,0)&lt;=EOMONTH($E$2,0)),((VLOOKUP(YEAR(C150),'DIF MES'!A$2:E$38,5)*D150)/30),0)</f>
        <v>0</v>
      </c>
      <c r="G150" s="262">
        <f>IF(E150="adicional",F150,F150-((F150*12)/100))</f>
        <v>0</v>
      </c>
    </row>
    <row r="151" spans="1:7" x14ac:dyDescent="0.35">
      <c r="A151" s="497"/>
      <c r="B151" s="152">
        <f t="shared" ref="B151" si="86">IF(
AND(YEAR(C149)=YEAR(DATE(YEAR($E$1),MONTH($E$1)-1,1)),
MONTH(C149)=MONTH(DATE(YEAR($E$1),MONTH($E$1)-1,1))),
$E$1,
DATE(YEAR(C149),MONTH(C149)+1,1))</f>
        <v>42887</v>
      </c>
      <c r="C151" s="152">
        <f t="shared" ref="C151" si="87">IF(
AND(
YEAR(C149)=YEAR(DATE(YEAR($E$2),MONTH($E$2)-1,1)),
MONTH(C149)=MONTH(DATE(YEAR($E$2),MONTH($E$2)-1,1))
),
$E$2,
EOMONTH(C149,1)
)</f>
        <v>42916</v>
      </c>
      <c r="D151" s="260">
        <f t="shared" si="75"/>
        <v>30</v>
      </c>
      <c r="E151" s="81" t="s">
        <v>102</v>
      </c>
      <c r="F151" s="258">
        <f>IF(AND(B151&gt;=$E$1,EOMONTH(C151,0)&lt;=EOMONTH($E$2,0)),((VLOOKUP(YEAR(C151),'DIF MES'!A$2:E$38,5)*D151)/30),0)</f>
        <v>0</v>
      </c>
      <c r="G151" s="259">
        <f>IF(E151="adicional",F151,F151-((F151*12)/100))</f>
        <v>0</v>
      </c>
    </row>
    <row r="152" spans="1:7" x14ac:dyDescent="0.35">
      <c r="A152" s="497"/>
      <c r="B152" s="152">
        <f t="shared" si="60"/>
        <v>42917</v>
      </c>
      <c r="C152" s="152">
        <f t="shared" si="61"/>
        <v>42947</v>
      </c>
      <c r="D152" s="260">
        <f t="shared" si="75"/>
        <v>30</v>
      </c>
      <c r="E152" s="81" t="s">
        <v>103</v>
      </c>
      <c r="F152" s="258">
        <f>IF(AND(B152&gt;=$E$1,EOMONTH(C152,0)&lt;=EOMONTH($E$2,0)),((VLOOKUP(YEAR(C152),'DIF MES'!A$2:E$38,5)*D152)/30),0)</f>
        <v>0</v>
      </c>
      <c r="G152" s="259">
        <f t="shared" si="74"/>
        <v>0</v>
      </c>
    </row>
    <row r="153" spans="1:7" x14ac:dyDescent="0.35">
      <c r="A153" s="497"/>
      <c r="B153" s="152">
        <f t="shared" si="60"/>
        <v>42948</v>
      </c>
      <c r="C153" s="152">
        <f t="shared" si="61"/>
        <v>42978</v>
      </c>
      <c r="D153" s="260">
        <f t="shared" si="75"/>
        <v>30</v>
      </c>
      <c r="E153" s="81" t="s">
        <v>104</v>
      </c>
      <c r="F153" s="258">
        <f>IF(AND(B153&gt;=$E$1,EOMONTH(C153,0)&lt;=EOMONTH($E$2,0)),((VLOOKUP(YEAR(C153),'DIF MES'!A$2:E$38,5)*D153)/30),0)</f>
        <v>0</v>
      </c>
      <c r="G153" s="259">
        <f t="shared" si="74"/>
        <v>0</v>
      </c>
    </row>
    <row r="154" spans="1:7" x14ac:dyDescent="0.35">
      <c r="A154" s="497"/>
      <c r="B154" s="152">
        <f t="shared" si="60"/>
        <v>42979</v>
      </c>
      <c r="C154" s="152">
        <f t="shared" si="61"/>
        <v>43008</v>
      </c>
      <c r="D154" s="260">
        <f t="shared" si="75"/>
        <v>30</v>
      </c>
      <c r="E154" s="81" t="s">
        <v>105</v>
      </c>
      <c r="F154" s="258">
        <f>IF(AND(B154&gt;=$E$1,EOMONTH(C154,0)&lt;=EOMONTH($E$2,0)),((VLOOKUP(YEAR(C154),'DIF MES'!A$2:E$38,5)*D154)/30),0)</f>
        <v>0</v>
      </c>
      <c r="G154" s="259">
        <f t="shared" si="74"/>
        <v>0</v>
      </c>
    </row>
    <row r="155" spans="1:7" x14ac:dyDescent="0.35">
      <c r="A155" s="497"/>
      <c r="B155" s="152">
        <f t="shared" si="60"/>
        <v>43009</v>
      </c>
      <c r="C155" s="152">
        <f t="shared" si="61"/>
        <v>43039</v>
      </c>
      <c r="D155" s="260">
        <f t="shared" si="75"/>
        <v>30</v>
      </c>
      <c r="E155" s="81" t="s">
        <v>106</v>
      </c>
      <c r="F155" s="258">
        <f>IF(AND(B155&gt;=$E$1,EOMONTH(C155,0)&lt;=EOMONTH($E$2,0)),((VLOOKUP(YEAR(C155),'DIF MES'!A$2:E$38,5)*D155)/30),0)</f>
        <v>0</v>
      </c>
      <c r="G155" s="259">
        <f t="shared" si="74"/>
        <v>0</v>
      </c>
    </row>
    <row r="156" spans="1:7" x14ac:dyDescent="0.35">
      <c r="A156" s="497"/>
      <c r="B156" s="152">
        <f t="shared" si="60"/>
        <v>43040</v>
      </c>
      <c r="C156" s="152">
        <f t="shared" si="61"/>
        <v>43069</v>
      </c>
      <c r="D156" s="260">
        <f t="shared" si="75"/>
        <v>30</v>
      </c>
      <c r="E156" s="81" t="s">
        <v>107</v>
      </c>
      <c r="F156" s="258">
        <f>IF(AND(B156&gt;=$E$1,EOMONTH(C156,0)&lt;=EOMONTH($E$2,0)),((VLOOKUP(YEAR(C156),'DIF MES'!A$2:E$38,5)*D156)/30),0)</f>
        <v>0</v>
      </c>
      <c r="G156" s="259">
        <f t="shared" si="74"/>
        <v>0</v>
      </c>
    </row>
    <row r="157" spans="1:7" x14ac:dyDescent="0.35">
      <c r="A157" s="497"/>
      <c r="B157" s="156">
        <f t="shared" ref="B157" si="88">B156</f>
        <v>43040</v>
      </c>
      <c r="C157" s="156">
        <f t="shared" ref="C157" si="89">C156</f>
        <v>43069</v>
      </c>
      <c r="D157" s="260">
        <f t="shared" si="75"/>
        <v>30</v>
      </c>
      <c r="E157" s="261" t="s">
        <v>101</v>
      </c>
      <c r="F157" s="258">
        <f>IF(AND(B157&gt;=$E$1,EOMONTH(C157,0)&lt;=EOMONTH($E$2,0)),((VLOOKUP(YEAR(C157),'DIF MES'!A$2:E$38,5)*D157)/30),0)</f>
        <v>0</v>
      </c>
      <c r="G157" s="262">
        <f t="shared" si="74"/>
        <v>0</v>
      </c>
    </row>
    <row r="158" spans="1:7" x14ac:dyDescent="0.35">
      <c r="A158" s="497"/>
      <c r="B158" s="152">
        <f t="shared" ref="B158" si="90">IF(
AND(YEAR(C156)=YEAR(DATE(YEAR($E$1),MONTH($E$1)-1,1)),
MONTH(C156)=MONTH(DATE(YEAR($E$1),MONTH($E$1)-1,1))),
$E$1,
DATE(YEAR(C156),MONTH(C156)+1,1))</f>
        <v>43070</v>
      </c>
      <c r="C158" s="152">
        <f t="shared" ref="C158" si="91">IF(
AND(
YEAR(C156)=YEAR(DATE(YEAR($E$2),MONTH($E$2)-1,1)),
MONTH(C156)=MONTH(DATE(YEAR($E$2),MONTH($E$2)-1,1))
),
$E$2,
EOMONTH(C156,1)
)</f>
        <v>43100</v>
      </c>
      <c r="D158" s="260">
        <f t="shared" si="75"/>
        <v>30</v>
      </c>
      <c r="E158" s="81" t="s">
        <v>108</v>
      </c>
      <c r="F158" s="258">
        <f>IF(AND(B158&gt;=$E$1,EOMONTH(C158,0)&lt;=EOMONTH($E$2,0)),((VLOOKUP(YEAR(C158),'DIF MES'!A$2:E$38,5)*D158)/30),0)</f>
        <v>0</v>
      </c>
      <c r="G158" s="259">
        <f t="shared" si="74"/>
        <v>0</v>
      </c>
    </row>
    <row r="159" spans="1:7" x14ac:dyDescent="0.35">
      <c r="A159" s="498">
        <v>2018</v>
      </c>
      <c r="B159" s="152">
        <f t="shared" si="54"/>
        <v>43101</v>
      </c>
      <c r="C159" s="152">
        <f t="shared" si="55"/>
        <v>43131</v>
      </c>
      <c r="D159" s="260">
        <f t="shared" si="75"/>
        <v>30</v>
      </c>
      <c r="E159" s="81" t="s">
        <v>96</v>
      </c>
      <c r="F159" s="258">
        <f>IF(AND(B159&gt;=$E$1,EOMONTH(C159,0)&lt;=EOMONTH($E$2,0)),((VLOOKUP(YEAR(C159),'DIF MES'!A$2:E$38,5)*D159)/30),0)</f>
        <v>0</v>
      </c>
      <c r="G159" s="259">
        <f t="shared" si="74"/>
        <v>0</v>
      </c>
    </row>
    <row r="160" spans="1:7" x14ac:dyDescent="0.35">
      <c r="A160" s="469"/>
      <c r="B160" s="152">
        <f t="shared" si="54"/>
        <v>43132</v>
      </c>
      <c r="C160" s="152">
        <f t="shared" si="55"/>
        <v>43159</v>
      </c>
      <c r="D160" s="260">
        <f t="shared" si="75"/>
        <v>30</v>
      </c>
      <c r="E160" s="81" t="s">
        <v>97</v>
      </c>
      <c r="F160" s="258">
        <f>IF(AND(B160&gt;=$E$1,EOMONTH(C160,0)&lt;=EOMONTH($E$2,0)),((VLOOKUP(YEAR(C160),'DIF MES'!A$2:E$38,5)*D160)/30),0)</f>
        <v>0</v>
      </c>
      <c r="G160" s="259">
        <f t="shared" si="74"/>
        <v>0</v>
      </c>
    </row>
    <row r="161" spans="1:7" x14ac:dyDescent="0.35">
      <c r="A161" s="469"/>
      <c r="B161" s="152">
        <f t="shared" si="54"/>
        <v>43160</v>
      </c>
      <c r="C161" s="152">
        <f t="shared" si="55"/>
        <v>43190</v>
      </c>
      <c r="D161" s="260">
        <f t="shared" si="75"/>
        <v>30</v>
      </c>
      <c r="E161" s="81" t="s">
        <v>98</v>
      </c>
      <c r="F161" s="258">
        <f>IF(AND(B161&gt;=$E$1,EOMONTH(C161,0)&lt;=EOMONTH($E$2,0)),((VLOOKUP(YEAR(C161),'DIF MES'!A$2:E$38,5)*D161)/30),0)</f>
        <v>0</v>
      </c>
      <c r="G161" s="259">
        <f t="shared" si="74"/>
        <v>0</v>
      </c>
    </row>
    <row r="162" spans="1:7" x14ac:dyDescent="0.35">
      <c r="A162" s="469"/>
      <c r="B162" s="152">
        <f t="shared" si="54"/>
        <v>43191</v>
      </c>
      <c r="C162" s="152">
        <f t="shared" si="55"/>
        <v>43220</v>
      </c>
      <c r="D162" s="260">
        <f t="shared" si="75"/>
        <v>30</v>
      </c>
      <c r="E162" s="81" t="s">
        <v>99</v>
      </c>
      <c r="F162" s="258">
        <f>IF(AND(B162&gt;=$E$1,EOMONTH(C162,0)&lt;=EOMONTH($E$2,0)),((VLOOKUP(YEAR(C162),'DIF MES'!A$2:E$38,5)*D162)/30),0)</f>
        <v>0</v>
      </c>
      <c r="G162" s="259">
        <f t="shared" si="74"/>
        <v>0</v>
      </c>
    </row>
    <row r="163" spans="1:7" x14ac:dyDescent="0.35">
      <c r="A163" s="469"/>
      <c r="B163" s="152">
        <f t="shared" si="54"/>
        <v>43221</v>
      </c>
      <c r="C163" s="152">
        <f t="shared" si="55"/>
        <v>43251</v>
      </c>
      <c r="D163" s="260">
        <f t="shared" si="75"/>
        <v>30</v>
      </c>
      <c r="E163" s="81" t="s">
        <v>100</v>
      </c>
      <c r="F163" s="258">
        <f>IF(AND(B163&gt;=$E$1,EOMONTH(C163,0)&lt;=EOMONTH($E$2,0)),((VLOOKUP(YEAR(C163),'DIF MES'!A$2:E$38,5)*D163)/30),0)</f>
        <v>0</v>
      </c>
      <c r="G163" s="259">
        <f t="shared" si="74"/>
        <v>0</v>
      </c>
    </row>
    <row r="164" spans="1:7" x14ac:dyDescent="0.35">
      <c r="A164" s="469"/>
      <c r="B164" s="156">
        <f t="shared" ref="B164" si="92">B165</f>
        <v>43252</v>
      </c>
      <c r="C164" s="156">
        <f t="shared" ref="C164" si="93">C165</f>
        <v>43281</v>
      </c>
      <c r="D164" s="260">
        <f t="shared" si="75"/>
        <v>30</v>
      </c>
      <c r="E164" s="261" t="s">
        <v>101</v>
      </c>
      <c r="F164" s="258">
        <f>IF(AND(B164&gt;=$E$1,EOMONTH(C164,0)&lt;=EOMONTH($E$2,0)),((VLOOKUP(YEAR(C164),'DIF MES'!A$2:E$38,5)*D164)/30),0)</f>
        <v>0</v>
      </c>
      <c r="G164" s="262">
        <f>IF(E164="adicional",F164,F164-((F164*12)/100))</f>
        <v>0</v>
      </c>
    </row>
    <row r="165" spans="1:7" x14ac:dyDescent="0.35">
      <c r="A165" s="469"/>
      <c r="B165" s="152">
        <f t="shared" ref="B165" si="94">IF(
AND(YEAR(C163)=YEAR(DATE(YEAR($E$1),MONTH($E$1)-1,1)),
MONTH(C163)=MONTH(DATE(YEAR($E$1),MONTH($E$1)-1,1))),
$E$1,
DATE(YEAR(C163),MONTH(C163)+1,1))</f>
        <v>43252</v>
      </c>
      <c r="C165" s="152">
        <f t="shared" ref="C165" si="95">IF(
AND(
YEAR(C163)=YEAR(DATE(YEAR($E$2),MONTH($E$2)-1,1)),
MONTH(C163)=MONTH(DATE(YEAR($E$2),MONTH($E$2)-1,1))
),
$E$2,
EOMONTH(C163,1)
)</f>
        <v>43281</v>
      </c>
      <c r="D165" s="260">
        <f t="shared" si="75"/>
        <v>30</v>
      </c>
      <c r="E165" s="81" t="s">
        <v>102</v>
      </c>
      <c r="F165" s="258">
        <f>IF(AND(B165&gt;=$E$1,EOMONTH(C165,0)&lt;=EOMONTH($E$2,0)),((VLOOKUP(YEAR(C165),'DIF MES'!A$2:E$38,5)*D165)/30),0)</f>
        <v>0</v>
      </c>
      <c r="G165" s="259">
        <f>IF(E165="adicional",F165,F165-((F165*12)/100))</f>
        <v>0</v>
      </c>
    </row>
    <row r="166" spans="1:7" x14ac:dyDescent="0.35">
      <c r="A166" s="469"/>
      <c r="B166" s="152">
        <f t="shared" si="60"/>
        <v>43282</v>
      </c>
      <c r="C166" s="152">
        <f t="shared" si="61"/>
        <v>43312</v>
      </c>
      <c r="D166" s="260">
        <f t="shared" si="75"/>
        <v>30</v>
      </c>
      <c r="E166" s="81" t="s">
        <v>103</v>
      </c>
      <c r="F166" s="258">
        <f>IF(AND(B166&gt;=$E$1,EOMONTH(C166,0)&lt;=EOMONTH($E$2,0)),((VLOOKUP(YEAR(C166),'DIF MES'!A$2:E$38,5)*D166)/30),0)</f>
        <v>0</v>
      </c>
      <c r="G166" s="259">
        <f t="shared" si="74"/>
        <v>0</v>
      </c>
    </row>
    <row r="167" spans="1:7" x14ac:dyDescent="0.35">
      <c r="A167" s="469"/>
      <c r="B167" s="152">
        <f t="shared" si="60"/>
        <v>43313</v>
      </c>
      <c r="C167" s="152">
        <f t="shared" si="61"/>
        <v>43343</v>
      </c>
      <c r="D167" s="260">
        <f t="shared" si="75"/>
        <v>30</v>
      </c>
      <c r="E167" s="81" t="s">
        <v>104</v>
      </c>
      <c r="F167" s="258">
        <f>IF(AND(B167&gt;=$E$1,EOMONTH(C167,0)&lt;=EOMONTH($E$2,0)),((VLOOKUP(YEAR(C167),'DIF MES'!A$2:E$38,5)*D167)/30),0)</f>
        <v>0</v>
      </c>
      <c r="G167" s="259">
        <f t="shared" si="74"/>
        <v>0</v>
      </c>
    </row>
    <row r="168" spans="1:7" x14ac:dyDescent="0.35">
      <c r="A168" s="469"/>
      <c r="B168" s="152">
        <f t="shared" si="60"/>
        <v>43344</v>
      </c>
      <c r="C168" s="152">
        <f t="shared" si="61"/>
        <v>43373</v>
      </c>
      <c r="D168" s="260">
        <f t="shared" si="75"/>
        <v>30</v>
      </c>
      <c r="E168" s="81" t="s">
        <v>105</v>
      </c>
      <c r="F168" s="258">
        <f>IF(AND(B168&gt;=$E$1,EOMONTH(C168,0)&lt;=EOMONTH($E$2,0)),((VLOOKUP(YEAR(C168),'DIF MES'!A$2:E$38,5)*D168)/30),0)</f>
        <v>0</v>
      </c>
      <c r="G168" s="259">
        <f t="shared" si="74"/>
        <v>0</v>
      </c>
    </row>
    <row r="169" spans="1:7" x14ac:dyDescent="0.35">
      <c r="A169" s="469"/>
      <c r="B169" s="152">
        <f t="shared" si="60"/>
        <v>43374</v>
      </c>
      <c r="C169" s="152">
        <f t="shared" si="61"/>
        <v>43404</v>
      </c>
      <c r="D169" s="260">
        <f t="shared" si="75"/>
        <v>30</v>
      </c>
      <c r="E169" s="81" t="s">
        <v>106</v>
      </c>
      <c r="F169" s="258">
        <f>IF(AND(B169&gt;=$E$1,EOMONTH(C169,0)&lt;=EOMONTH($E$2,0)),((VLOOKUP(YEAR(C169),'DIF MES'!A$2:E$38,5)*D169)/30),0)</f>
        <v>0</v>
      </c>
      <c r="G169" s="259">
        <f t="shared" si="74"/>
        <v>0</v>
      </c>
    </row>
    <row r="170" spans="1:7" x14ac:dyDescent="0.35">
      <c r="A170" s="469"/>
      <c r="B170" s="152">
        <f t="shared" si="60"/>
        <v>43405</v>
      </c>
      <c r="C170" s="152">
        <f t="shared" si="61"/>
        <v>43434</v>
      </c>
      <c r="D170" s="260">
        <f t="shared" si="75"/>
        <v>30</v>
      </c>
      <c r="E170" s="81" t="s">
        <v>107</v>
      </c>
      <c r="F170" s="258">
        <f>IF(AND(B170&gt;=$E$1,EOMONTH(C170,0)&lt;=EOMONTH($E$2,0)),((VLOOKUP(YEAR(C170),'DIF MES'!A$2:E$38,5)*D170)/30),0)</f>
        <v>0</v>
      </c>
      <c r="G170" s="259">
        <f t="shared" si="74"/>
        <v>0</v>
      </c>
    </row>
    <row r="171" spans="1:7" x14ac:dyDescent="0.35">
      <c r="A171" s="469"/>
      <c r="B171" s="156">
        <f t="shared" ref="B171" si="96">B170</f>
        <v>43405</v>
      </c>
      <c r="C171" s="156">
        <f t="shared" ref="C171" si="97">C170</f>
        <v>43434</v>
      </c>
      <c r="D171" s="260">
        <f t="shared" si="75"/>
        <v>30</v>
      </c>
      <c r="E171" s="261" t="s">
        <v>101</v>
      </c>
      <c r="F171" s="258">
        <f>IF(AND(B171&gt;=$E$1,EOMONTH(C171,0)&lt;=EOMONTH($E$2,0)),((VLOOKUP(YEAR(C171),'DIF MES'!A$2:E$38,5)*D171)/30),0)</f>
        <v>0</v>
      </c>
      <c r="G171" s="262">
        <f t="shared" si="74"/>
        <v>0</v>
      </c>
    </row>
    <row r="172" spans="1:7" x14ac:dyDescent="0.35">
      <c r="A172" s="470"/>
      <c r="B172" s="152">
        <f t="shared" ref="B172" si="98">IF(
AND(YEAR(C170)=YEAR(DATE(YEAR($E$1),MONTH($E$1)-1,1)),
MONTH(C170)=MONTH(DATE(YEAR($E$1),MONTH($E$1)-1,1))),
$E$1,
DATE(YEAR(C170),MONTH(C170)+1,1))</f>
        <v>43435</v>
      </c>
      <c r="C172" s="152">
        <f t="shared" ref="C172" si="99">IF(
AND(
YEAR(C170)=YEAR(DATE(YEAR($E$2),MONTH($E$2)-1,1)),
MONTH(C170)=MONTH(DATE(YEAR($E$2),MONTH($E$2)-1,1))
),
$E$2,
EOMONTH(C170,1)
)</f>
        <v>43465</v>
      </c>
      <c r="D172" s="260">
        <f t="shared" si="75"/>
        <v>30</v>
      </c>
      <c r="E172" s="81" t="s">
        <v>108</v>
      </c>
      <c r="F172" s="258">
        <f>IF(AND(B172&gt;=$E$1,EOMONTH(C172,0)&lt;=EOMONTH($E$2,0)),((VLOOKUP(YEAR(C172),'DIF MES'!A$2:E$38,5)*D172)/30),0)</f>
        <v>0</v>
      </c>
      <c r="G172" s="259">
        <f t="shared" si="74"/>
        <v>0</v>
      </c>
    </row>
    <row r="173" spans="1:7" x14ac:dyDescent="0.35">
      <c r="A173" s="497">
        <v>2019</v>
      </c>
      <c r="B173" s="152">
        <f t="shared" ref="B173:B233" si="100">IF(
AND(YEAR(C172)=YEAR(DATE(YEAR($E$1),MONTH($E$1)-1,1)),
MONTH(C172)=MONTH(DATE(YEAR($E$1),MONTH($E$1)-1,1))),
$E$1,
DATE(YEAR(C172),MONTH(C172)+1,1))</f>
        <v>43466</v>
      </c>
      <c r="C173" s="152">
        <f t="shared" ref="C173:C233" si="101">IF(
AND(
YEAR(C172)=YEAR(DATE(YEAR($E$2),MONTH($E$2)-1,1)),
MONTH(C172)=MONTH(DATE(YEAR($E$2),MONTH($E$2)-1,1))
),
$E$2,
EOMONTH(C172,1)
)</f>
        <v>43496</v>
      </c>
      <c r="D173" s="260">
        <f t="shared" si="75"/>
        <v>30</v>
      </c>
      <c r="E173" s="81" t="s">
        <v>96</v>
      </c>
      <c r="F173" s="258">
        <f>IF(AND(B173&gt;=$E$1,EOMONTH(C173,0)&lt;=EOMONTH($E$2,0)),((VLOOKUP(YEAR(C173),'DIF MES'!A$2:E$38,5)*D173)/30),0)</f>
        <v>0</v>
      </c>
      <c r="G173" s="259">
        <f t="shared" si="74"/>
        <v>0</v>
      </c>
    </row>
    <row r="174" spans="1:7" x14ac:dyDescent="0.35">
      <c r="A174" s="497"/>
      <c r="B174" s="152">
        <f t="shared" si="100"/>
        <v>43497</v>
      </c>
      <c r="C174" s="152">
        <f t="shared" si="101"/>
        <v>43524</v>
      </c>
      <c r="D174" s="260">
        <f t="shared" si="75"/>
        <v>30</v>
      </c>
      <c r="E174" s="81" t="s">
        <v>97</v>
      </c>
      <c r="F174" s="258">
        <f>IF(AND(B174&gt;=$E$1,EOMONTH(C174,0)&lt;=EOMONTH($E$2,0)),((VLOOKUP(YEAR(C174),'DIF MES'!A$2:E$38,5)*D174)/30),0)</f>
        <v>0</v>
      </c>
      <c r="G174" s="259">
        <f t="shared" si="74"/>
        <v>0</v>
      </c>
    </row>
    <row r="175" spans="1:7" x14ac:dyDescent="0.35">
      <c r="A175" s="497"/>
      <c r="B175" s="152">
        <f t="shared" si="100"/>
        <v>43525</v>
      </c>
      <c r="C175" s="152">
        <f t="shared" si="101"/>
        <v>43555</v>
      </c>
      <c r="D175" s="260">
        <f t="shared" si="75"/>
        <v>30</v>
      </c>
      <c r="E175" s="81" t="s">
        <v>98</v>
      </c>
      <c r="F175" s="258">
        <f>IF(AND(B175&gt;=$E$1,EOMONTH(C175,0)&lt;=EOMONTH($E$2,0)),((VLOOKUP(YEAR(C175),'DIF MES'!A$2:E$38,5)*D175)/30),0)</f>
        <v>0</v>
      </c>
      <c r="G175" s="259">
        <f t="shared" si="74"/>
        <v>0</v>
      </c>
    </row>
    <row r="176" spans="1:7" x14ac:dyDescent="0.35">
      <c r="A176" s="497"/>
      <c r="B176" s="152">
        <f t="shared" si="100"/>
        <v>43556</v>
      </c>
      <c r="C176" s="152">
        <f t="shared" si="101"/>
        <v>43585</v>
      </c>
      <c r="D176" s="260">
        <f t="shared" si="75"/>
        <v>30</v>
      </c>
      <c r="E176" s="81" t="s">
        <v>99</v>
      </c>
      <c r="F176" s="258">
        <f>IF(AND(B176&gt;=$E$1,EOMONTH(C176,0)&lt;=EOMONTH($E$2,0)),((VLOOKUP(YEAR(C176),'DIF MES'!A$2:E$38,5)*D176)/30),0)</f>
        <v>0</v>
      </c>
      <c r="G176" s="259">
        <f t="shared" si="74"/>
        <v>0</v>
      </c>
    </row>
    <row r="177" spans="1:9" x14ac:dyDescent="0.35">
      <c r="A177" s="497"/>
      <c r="B177" s="152">
        <f t="shared" si="100"/>
        <v>43586</v>
      </c>
      <c r="C177" s="152">
        <f t="shared" si="101"/>
        <v>43616</v>
      </c>
      <c r="D177" s="260">
        <f t="shared" si="75"/>
        <v>30</v>
      </c>
      <c r="E177" s="81" t="s">
        <v>100</v>
      </c>
      <c r="F177" s="258">
        <f>IF(AND(B177&gt;=$E$1,EOMONTH(C177,0)&lt;=EOMONTH($E$2,0)),((VLOOKUP(YEAR(C177),'DIF MES'!A$2:E$38,5)*D177)/30),0)</f>
        <v>0</v>
      </c>
      <c r="G177" s="259">
        <f t="shared" si="74"/>
        <v>0</v>
      </c>
    </row>
    <row r="178" spans="1:9" x14ac:dyDescent="0.35">
      <c r="A178" s="497"/>
      <c r="B178" s="156">
        <f t="shared" ref="B178" si="102">B179</f>
        <v>43617</v>
      </c>
      <c r="C178" s="156">
        <f t="shared" ref="C178" si="103">C179</f>
        <v>43646</v>
      </c>
      <c r="D178" s="260">
        <f t="shared" si="75"/>
        <v>30</v>
      </c>
      <c r="E178" s="261" t="s">
        <v>101</v>
      </c>
      <c r="F178" s="258">
        <f>IF(AND(B178&gt;=$E$1,EOMONTH(C178,0)&lt;=EOMONTH($E$2,0)),((VLOOKUP(YEAR(C178),'DIF MES'!A$2:E$38,5)*D178)/30),0)</f>
        <v>0</v>
      </c>
      <c r="G178" s="262">
        <f>IF(E178="adicional",F178,F178-((F178*12)/100))</f>
        <v>0</v>
      </c>
    </row>
    <row r="179" spans="1:9" x14ac:dyDescent="0.35">
      <c r="A179" s="497"/>
      <c r="B179" s="152">
        <f t="shared" ref="B179" si="104">IF(
AND(YEAR(C177)=YEAR(DATE(YEAR($E$1),MONTH($E$1)-1,1)),
MONTH(C177)=MONTH(DATE(YEAR($E$1),MONTH($E$1)-1,1))),
$E$1,
DATE(YEAR(C177),MONTH(C177)+1,1))</f>
        <v>43617</v>
      </c>
      <c r="C179" s="152">
        <f t="shared" ref="C179" si="105">IF(
AND(
YEAR(C177)=YEAR(DATE(YEAR($E$2),MONTH($E$2)-1,1)),
MONTH(C177)=MONTH(DATE(YEAR($E$2),MONTH($E$2)-1,1))
),
$E$2,
EOMONTH(C177,1)
)</f>
        <v>43646</v>
      </c>
      <c r="D179" s="260">
        <f t="shared" si="75"/>
        <v>30</v>
      </c>
      <c r="E179" s="81" t="s">
        <v>102</v>
      </c>
      <c r="F179" s="258">
        <f>IF(AND(B179&gt;=$E$1,EOMONTH(C179,0)&lt;=EOMONTH($E$2,0)),((VLOOKUP(YEAR(C179),'DIF MES'!A$2:E$38,5)*D179)/30),0)</f>
        <v>0</v>
      </c>
      <c r="G179" s="259">
        <f>IF(E179="adicional",F179,F179-((F179*12)/100))</f>
        <v>0</v>
      </c>
    </row>
    <row r="180" spans="1:9" x14ac:dyDescent="0.35">
      <c r="A180" s="497"/>
      <c r="B180" s="152">
        <f t="shared" ref="B180:B240" si="106">IF(
AND(YEAR(C179)=YEAR(DATE(YEAR($E$1),MONTH($E$1)-1,1)),
MONTH(C179)=MONTH(DATE(YEAR($E$1),MONTH($E$1)-1,1))),
$E$1,
DATE(YEAR(C179),MONTH(C179)+1,1))</f>
        <v>43647</v>
      </c>
      <c r="C180" s="152">
        <f t="shared" ref="C180:C240" si="107">IF(
AND(
YEAR(C179)=YEAR(DATE(YEAR($E$2),MONTH($E$2)-1,1)),
MONTH(C179)=MONTH(DATE(YEAR($E$2),MONTH($E$2)-1,1))
),
$E$2,
EOMONTH(C179,1)
)</f>
        <v>43677</v>
      </c>
      <c r="D180" s="260">
        <f t="shared" si="75"/>
        <v>30</v>
      </c>
      <c r="E180" s="81" t="s">
        <v>103</v>
      </c>
      <c r="F180" s="258">
        <f>IF(AND(B180&gt;=$E$1,EOMONTH(C180,0)&lt;=EOMONTH($E$2,0)),((VLOOKUP(YEAR(C180),'DIF MES'!A$2:E$38,5)*D180)/30),0)</f>
        <v>0</v>
      </c>
      <c r="G180" s="259">
        <f t="shared" si="74"/>
        <v>0</v>
      </c>
    </row>
    <row r="181" spans="1:9" x14ac:dyDescent="0.35">
      <c r="A181" s="497"/>
      <c r="B181" s="152">
        <f t="shared" si="106"/>
        <v>43678</v>
      </c>
      <c r="C181" s="152">
        <f t="shared" si="107"/>
        <v>43708</v>
      </c>
      <c r="D181" s="260">
        <f t="shared" si="75"/>
        <v>30</v>
      </c>
      <c r="E181" s="81" t="s">
        <v>104</v>
      </c>
      <c r="F181" s="258">
        <f>IF(AND(B181&gt;=$E$1,EOMONTH(C181,0)&lt;=EOMONTH($E$2,0)),((VLOOKUP(YEAR(C181),'DIF MES'!A$2:E$38,5)*D181)/30),0)</f>
        <v>0</v>
      </c>
      <c r="G181" s="259">
        <f t="shared" si="74"/>
        <v>0</v>
      </c>
    </row>
    <row r="182" spans="1:9" x14ac:dyDescent="0.35">
      <c r="A182" s="497"/>
      <c r="B182" s="152">
        <f t="shared" si="106"/>
        <v>43709</v>
      </c>
      <c r="C182" s="152">
        <f t="shared" si="107"/>
        <v>43738</v>
      </c>
      <c r="D182" s="260">
        <f t="shared" si="75"/>
        <v>30</v>
      </c>
      <c r="E182" s="81" t="s">
        <v>105</v>
      </c>
      <c r="F182" s="258">
        <f>IF(AND(B182&gt;=$E$1,EOMONTH(C182,0)&lt;=EOMONTH($E$2,0)),((VLOOKUP(YEAR(C182),'DIF MES'!A$2:E$38,5)*D182)/30),0)</f>
        <v>0</v>
      </c>
      <c r="G182" s="259">
        <f t="shared" si="74"/>
        <v>0</v>
      </c>
    </row>
    <row r="183" spans="1:9" x14ac:dyDescent="0.35">
      <c r="A183" s="497"/>
      <c r="B183" s="152">
        <f t="shared" si="106"/>
        <v>43739</v>
      </c>
      <c r="C183" s="152">
        <f t="shared" si="107"/>
        <v>43769</v>
      </c>
      <c r="D183" s="260">
        <f t="shared" si="75"/>
        <v>30</v>
      </c>
      <c r="E183" s="81" t="s">
        <v>106</v>
      </c>
      <c r="F183" s="258">
        <f>IF(AND(B183&gt;=$E$1,EOMONTH(C183,0)&lt;=EOMONTH($E$2,0)),((VLOOKUP(YEAR(C183),'DIF MES'!A$2:E$38,5)*D183)/30),0)</f>
        <v>0</v>
      </c>
      <c r="G183" s="259">
        <f t="shared" si="74"/>
        <v>0</v>
      </c>
    </row>
    <row r="184" spans="1:9" x14ac:dyDescent="0.35">
      <c r="A184" s="497"/>
      <c r="B184" s="152">
        <f t="shared" si="106"/>
        <v>43770</v>
      </c>
      <c r="C184" s="152">
        <f t="shared" si="107"/>
        <v>43799</v>
      </c>
      <c r="D184" s="260">
        <f t="shared" si="75"/>
        <v>30</v>
      </c>
      <c r="E184" s="81" t="s">
        <v>107</v>
      </c>
      <c r="F184" s="258">
        <f>IF(AND(B184&gt;=$E$1,EOMONTH(C184,0)&lt;=EOMONTH($E$2,0)),((VLOOKUP(YEAR(C184),'DIF MES'!A$2:E$38,5)*D184)/30),0)</f>
        <v>0</v>
      </c>
      <c r="G184" s="259">
        <f t="shared" si="74"/>
        <v>0</v>
      </c>
    </row>
    <row r="185" spans="1:9" ht="15" thickBot="1" x14ac:dyDescent="0.4">
      <c r="A185" s="497"/>
      <c r="B185" s="156">
        <f t="shared" ref="B185" si="108">B184</f>
        <v>43770</v>
      </c>
      <c r="C185" s="156">
        <f t="shared" ref="C185" si="109">C184</f>
        <v>43799</v>
      </c>
      <c r="D185" s="260">
        <f t="shared" si="75"/>
        <v>30</v>
      </c>
      <c r="E185" s="261" t="s">
        <v>101</v>
      </c>
      <c r="F185" s="258">
        <f>IF(AND(B185&gt;=$E$1,EOMONTH(C185,0)&lt;=EOMONTH($E$2,0)),((VLOOKUP(YEAR(C185),'DIF MES'!A$2:E$38,5)*D185)/30),0)</f>
        <v>0</v>
      </c>
      <c r="G185" s="262">
        <f t="shared" si="74"/>
        <v>0</v>
      </c>
    </row>
    <row r="186" spans="1:9" x14ac:dyDescent="0.35">
      <c r="A186" s="497"/>
      <c r="B186" s="152">
        <f t="shared" ref="B186" si="110">IF(
AND(YEAR(C184)=YEAR(DATE(YEAR($E$1),MONTH($E$1)-1,1)),
MONTH(C184)=MONTH(DATE(YEAR($E$1),MONTH($E$1)-1,1))),
$E$1,
DATE(YEAR(C184),MONTH(C184)+1,1))</f>
        <v>43800</v>
      </c>
      <c r="C186" s="152">
        <f t="shared" ref="C186" si="111">IF(
AND(
YEAR(C184)=YEAR(DATE(YEAR($E$2),MONTH($E$2)-1,1)),
MONTH(C184)=MONTH(DATE(YEAR($E$2),MONTH($E$2)-1,1))
),
$E$2,
EOMONTH(C184,1)
)</f>
        <v>43830</v>
      </c>
      <c r="D186" s="260">
        <f t="shared" si="75"/>
        <v>30</v>
      </c>
      <c r="E186" s="81" t="s">
        <v>108</v>
      </c>
      <c r="F186" s="258">
        <f>IF(AND(B186&gt;=$E$1,EOMONTH(C186,0)&lt;=EOMONTH($E$2,0)),((VLOOKUP(YEAR(C186),'DIF MES'!A$2:E$38,5)*D186)/30),0)</f>
        <v>0</v>
      </c>
      <c r="G186" s="263">
        <f t="shared" si="74"/>
        <v>0</v>
      </c>
      <c r="H186" s="172" t="s">
        <v>188</v>
      </c>
      <c r="I186" s="173"/>
    </row>
    <row r="187" spans="1:9" ht="15" thickBot="1" x14ac:dyDescent="0.4">
      <c r="A187" s="500">
        <v>2020</v>
      </c>
      <c r="B187" s="152">
        <f t="shared" si="100"/>
        <v>43831</v>
      </c>
      <c r="C187" s="152">
        <f t="shared" si="101"/>
        <v>43861</v>
      </c>
      <c r="D187" s="260">
        <f t="shared" si="75"/>
        <v>30</v>
      </c>
      <c r="E187" s="81" t="s">
        <v>96</v>
      </c>
      <c r="F187" s="258">
        <f>IF(AND(B187&gt;=$E$1,EOMONTH(C187,0)&lt;=EOMONTH($E$2,0)),((VLOOKUP(YEAR(C187),'DIF MES'!A$2:E$38,5)*D187)/30),0)</f>
        <v>0</v>
      </c>
      <c r="G187" s="263">
        <f t="shared" si="74"/>
        <v>0</v>
      </c>
      <c r="H187" s="174" t="s">
        <v>189</v>
      </c>
      <c r="I187" s="175"/>
    </row>
    <row r="188" spans="1:9" ht="15" thickBot="1" x14ac:dyDescent="0.4">
      <c r="A188" s="501"/>
      <c r="B188" s="152">
        <f t="shared" si="100"/>
        <v>43862</v>
      </c>
      <c r="C188" s="152">
        <f t="shared" si="101"/>
        <v>43890</v>
      </c>
      <c r="D188" s="260">
        <f t="shared" si="75"/>
        <v>30</v>
      </c>
      <c r="E188" s="81" t="s">
        <v>97</v>
      </c>
      <c r="F188" s="258">
        <f>IF(AND(B188&gt;=$E$1,EOMONTH(C188,0)&lt;=EOMONTH($E$2,0)),((VLOOKUP(YEAR(C188),'DIF MES'!A$2:E$38,5)*D188)/30),0)</f>
        <v>0</v>
      </c>
      <c r="G188" s="263">
        <f t="shared" si="74"/>
        <v>0</v>
      </c>
      <c r="H188" s="176" t="s">
        <v>190</v>
      </c>
      <c r="I188" s="177" t="s">
        <v>191</v>
      </c>
    </row>
    <row r="189" spans="1:9" ht="15" thickBot="1" x14ac:dyDescent="0.4">
      <c r="A189" s="501"/>
      <c r="B189" s="152">
        <f t="shared" si="100"/>
        <v>43891</v>
      </c>
      <c r="C189" s="152">
        <f t="shared" si="101"/>
        <v>43921</v>
      </c>
      <c r="D189" s="260">
        <f t="shared" si="75"/>
        <v>30</v>
      </c>
      <c r="E189" s="81" t="s">
        <v>98</v>
      </c>
      <c r="F189" s="258">
        <f>IF(AND(B189&gt;=$E$1,EOMONTH(C189,0)&lt;=EOMONTH($E$2,0)),((VLOOKUP(YEAR(C189),'DIF MES'!A$2:E$38,5)*D189)/30),0)</f>
        <v>0</v>
      </c>
      <c r="G189" s="263">
        <f t="shared" si="74"/>
        <v>0</v>
      </c>
      <c r="H189" s="178" t="s">
        <v>192</v>
      </c>
      <c r="I189" s="179">
        <v>0.08</v>
      </c>
    </row>
    <row r="190" spans="1:9" ht="15" thickBot="1" x14ac:dyDescent="0.4">
      <c r="A190" s="501"/>
      <c r="B190" s="152">
        <f t="shared" si="100"/>
        <v>43922</v>
      </c>
      <c r="C190" s="152">
        <f t="shared" si="101"/>
        <v>43951</v>
      </c>
      <c r="D190" s="260">
        <f t="shared" si="75"/>
        <v>30</v>
      </c>
      <c r="E190" s="81" t="s">
        <v>99</v>
      </c>
      <c r="F190" s="258">
        <f>IF(AND(B190&gt;=$E$1,EOMONTH(C190,0)&lt;=EOMONTH($E$2,0)),((VLOOKUP(YEAR(C190),'DIF MES'!A$2:E$38,5)*D190)/30),0)</f>
        <v>0</v>
      </c>
      <c r="G190" s="263">
        <f t="shared" si="74"/>
        <v>0</v>
      </c>
      <c r="H190" s="267" t="s">
        <v>193</v>
      </c>
      <c r="I190" s="179">
        <v>0.1</v>
      </c>
    </row>
    <row r="191" spans="1:9" ht="15" thickBot="1" x14ac:dyDescent="0.4">
      <c r="A191" s="501"/>
      <c r="B191" s="152">
        <f t="shared" si="100"/>
        <v>43952</v>
      </c>
      <c r="C191" s="152">
        <f t="shared" si="101"/>
        <v>43982</v>
      </c>
      <c r="D191" s="260">
        <f t="shared" si="75"/>
        <v>30</v>
      </c>
      <c r="E191" s="81" t="s">
        <v>100</v>
      </c>
      <c r="F191" s="258">
        <f>IF(AND(B191&gt;=$E$1,EOMONTH(C191,0)&lt;=EOMONTH($E$2,0)),((VLOOKUP(YEAR(C191),'DIF MES'!A$2:E$38,5)*D191)/30),0)</f>
        <v>0</v>
      </c>
      <c r="G191" s="263">
        <f t="shared" si="74"/>
        <v>0</v>
      </c>
      <c r="H191" s="180" t="s">
        <v>194</v>
      </c>
      <c r="I191" s="175"/>
    </row>
    <row r="192" spans="1:9" ht="15" thickBot="1" x14ac:dyDescent="0.4">
      <c r="A192" s="501"/>
      <c r="B192" s="156">
        <f t="shared" ref="B192" si="112">B193</f>
        <v>43983</v>
      </c>
      <c r="C192" s="156">
        <f t="shared" ref="C192" si="113">C193</f>
        <v>44012</v>
      </c>
      <c r="D192" s="260">
        <f t="shared" si="75"/>
        <v>30</v>
      </c>
      <c r="E192" s="261" t="s">
        <v>101</v>
      </c>
      <c r="F192" s="258">
        <f>IF(AND(B192&gt;=$E$1,EOMONTH(C192,0)&lt;=EOMONTH($E$2,0)),((VLOOKUP(YEAR(C192),'DIF MES'!A$2:E$38,5)*D192)/30),0)</f>
        <v>0</v>
      </c>
      <c r="G192" s="263">
        <f>IF(E192="adicional",F192,F192-((F192*12)/100))</f>
        <v>0</v>
      </c>
      <c r="H192" s="181" t="s">
        <v>190</v>
      </c>
      <c r="I192" s="177" t="s">
        <v>191</v>
      </c>
    </row>
    <row r="193" spans="1:9" ht="15" thickBot="1" x14ac:dyDescent="0.4">
      <c r="A193" s="501"/>
      <c r="B193" s="152">
        <f t="shared" ref="B193" si="114">IF(
AND(YEAR(C191)=YEAR(DATE(YEAR($E$1),MONTH($E$1)-1,1)),
MONTH(C191)=MONTH(DATE(YEAR($E$1),MONTH($E$1)-1,1))),
$E$1,
DATE(YEAR(C191),MONTH(C191)+1,1))</f>
        <v>43983</v>
      </c>
      <c r="C193" s="152">
        <f t="shared" ref="C193" si="115">IF(
AND(
YEAR(C191)=YEAR(DATE(YEAR($E$2),MONTH($E$2)-1,1)),
MONTH(C191)=MONTH(DATE(YEAR($E$2),MONTH($E$2)-1,1))
),
$E$2,
EOMONTH(C191,1)
)</f>
        <v>44012</v>
      </c>
      <c r="D193" s="260">
        <f t="shared" si="75"/>
        <v>30</v>
      </c>
      <c r="E193" s="81" t="s">
        <v>102</v>
      </c>
      <c r="F193" s="258">
        <f>IF(AND(B193&gt;=$E$1,EOMONTH(C193,0)&lt;=EOMONTH($E$2,0)),((VLOOKUP(YEAR(C193),'DIF MES'!A$2:E$38,5)*D193)/30),0)</f>
        <v>0</v>
      </c>
      <c r="G193" s="263">
        <f>IF(E193="adicional",F193,F193-((F193*12)/100))</f>
        <v>0</v>
      </c>
      <c r="H193" s="178" t="s">
        <v>192</v>
      </c>
      <c r="I193" s="179">
        <v>0.04</v>
      </c>
    </row>
    <row r="194" spans="1:9" ht="15" thickBot="1" x14ac:dyDescent="0.4">
      <c r="A194" s="501"/>
      <c r="B194" s="152">
        <f t="shared" si="106"/>
        <v>44013</v>
      </c>
      <c r="C194" s="152">
        <f t="shared" si="107"/>
        <v>44043</v>
      </c>
      <c r="D194" s="260">
        <f t="shared" si="75"/>
        <v>30</v>
      </c>
      <c r="E194" s="81" t="s">
        <v>103</v>
      </c>
      <c r="F194" s="258">
        <f>IF(AND(B194&gt;=$E$1,EOMONTH(C194,0)&lt;=EOMONTH($E$2,0)),((VLOOKUP(YEAR(C194),'DIF MES'!A$2:E$38,5)*D194)/30),0)</f>
        <v>0</v>
      </c>
      <c r="G194" s="263">
        <f t="shared" si="74"/>
        <v>0</v>
      </c>
      <c r="H194" s="268" t="s">
        <v>193</v>
      </c>
      <c r="I194" s="183">
        <v>0.1</v>
      </c>
    </row>
    <row r="195" spans="1:9" x14ac:dyDescent="0.35">
      <c r="A195" s="501"/>
      <c r="B195" s="152">
        <f t="shared" si="106"/>
        <v>44044</v>
      </c>
      <c r="C195" s="152">
        <f t="shared" si="107"/>
        <v>44074</v>
      </c>
      <c r="D195" s="260">
        <f t="shared" si="75"/>
        <v>30</v>
      </c>
      <c r="E195" s="81" t="s">
        <v>104</v>
      </c>
      <c r="F195" s="258">
        <f>IF(AND(B195&gt;=$E$1,EOMONTH(C195,0)&lt;=EOMONTH($E$2,0)),((VLOOKUP(YEAR(C195),'DIF MES'!A$2:E$38,5)*D195)/30),0)</f>
        <v>0</v>
      </c>
      <c r="G195" s="263">
        <f t="shared" si="74"/>
        <v>0</v>
      </c>
    </row>
    <row r="196" spans="1:9" x14ac:dyDescent="0.35">
      <c r="A196" s="501"/>
      <c r="B196" s="152">
        <f t="shared" si="106"/>
        <v>44075</v>
      </c>
      <c r="C196" s="152">
        <f t="shared" si="107"/>
        <v>44104</v>
      </c>
      <c r="D196" s="260">
        <f t="shared" si="75"/>
        <v>30</v>
      </c>
      <c r="E196" s="81" t="s">
        <v>105</v>
      </c>
      <c r="F196" s="258">
        <f>IF(AND(B196&gt;=$E$1,EOMONTH(C196,0)&lt;=EOMONTH($E$2,0)),((VLOOKUP(YEAR(C196),'DIF MES'!A$2:E$38,5)*D196)/30),0)</f>
        <v>0</v>
      </c>
      <c r="G196" s="263">
        <f t="shared" si="74"/>
        <v>0</v>
      </c>
    </row>
    <row r="197" spans="1:9" x14ac:dyDescent="0.35">
      <c r="A197" s="501"/>
      <c r="B197" s="152">
        <f t="shared" si="106"/>
        <v>44120</v>
      </c>
      <c r="C197" s="152">
        <f t="shared" si="107"/>
        <v>44135</v>
      </c>
      <c r="D197" s="260">
        <f t="shared" si="75"/>
        <v>15</v>
      </c>
      <c r="E197" s="81" t="s">
        <v>106</v>
      </c>
      <c r="F197" s="258">
        <f>IF(AND(B197&gt;=$E$1,EOMONTH(C197,0)&lt;=EOMONTH($E$2,0)),((VLOOKUP(YEAR(C197),'DIF MES'!A$2:E$38,5)*D197)/30),0)</f>
        <v>1692272.5670432847</v>
      </c>
      <c r="G197" s="263">
        <f t="shared" si="74"/>
        <v>1489199.8589980905</v>
      </c>
    </row>
    <row r="198" spans="1:9" x14ac:dyDescent="0.35">
      <c r="A198" s="501"/>
      <c r="B198" s="152">
        <f t="shared" si="106"/>
        <v>44136</v>
      </c>
      <c r="C198" s="152">
        <f t="shared" si="107"/>
        <v>44165</v>
      </c>
      <c r="D198" s="260">
        <f t="shared" ref="D198:D261" si="116">DAYS360(B198,C198+1)</f>
        <v>30</v>
      </c>
      <c r="E198" s="81" t="s">
        <v>107</v>
      </c>
      <c r="F198" s="258">
        <f>IF(AND(B198&gt;=$E$1,EOMONTH(C198,0)&lt;=EOMONTH($E$2,0)),((VLOOKUP(YEAR(C198),'DIF MES'!A$2:E$38,5)*D198)/30),0)</f>
        <v>3384545.1340865693</v>
      </c>
      <c r="G198" s="263">
        <f t="shared" si="74"/>
        <v>2978399.717996181</v>
      </c>
    </row>
    <row r="199" spans="1:9" x14ac:dyDescent="0.35">
      <c r="A199" s="501"/>
      <c r="B199" s="156">
        <f t="shared" ref="B199" si="117">B198</f>
        <v>44136</v>
      </c>
      <c r="C199" s="156">
        <f t="shared" ref="C199" si="118">C198</f>
        <v>44165</v>
      </c>
      <c r="D199" s="260">
        <f t="shared" si="116"/>
        <v>30</v>
      </c>
      <c r="E199" s="261" t="s">
        <v>101</v>
      </c>
      <c r="F199" s="258">
        <f>IF(AND(B199&gt;=$E$1,EOMONTH(C199,0)&lt;=EOMONTH($E$2,0)),((VLOOKUP(YEAR(C199),'DIF MES'!A$2:E$38,5)*D199)/30),0)</f>
        <v>3384545.1340865693</v>
      </c>
      <c r="G199" s="263">
        <f t="shared" si="74"/>
        <v>3384545.1340865693</v>
      </c>
    </row>
    <row r="200" spans="1:9" x14ac:dyDescent="0.35">
      <c r="A200" s="501"/>
      <c r="B200" s="152">
        <f t="shared" ref="B200" si="119">IF(
AND(YEAR(C198)=YEAR(DATE(YEAR($E$1),MONTH($E$1)-1,1)),
MONTH(C198)=MONTH(DATE(YEAR($E$1),MONTH($E$1)-1,1))),
$E$1,
DATE(YEAR(C198),MONTH(C198)+1,1))</f>
        <v>44166</v>
      </c>
      <c r="C200" s="152">
        <f t="shared" ref="C200" si="120">IF(
AND(
YEAR(C198)=YEAR(DATE(YEAR($E$2),MONTH($E$2)-1,1)),
MONTH(C198)=MONTH(DATE(YEAR($E$2),MONTH($E$2)-1,1))
),
$E$2,
EOMONTH(C198,1)
)</f>
        <v>44196</v>
      </c>
      <c r="D200" s="260">
        <f t="shared" si="116"/>
        <v>30</v>
      </c>
      <c r="E200" s="81" t="s">
        <v>108</v>
      </c>
      <c r="F200" s="258">
        <f>IF(AND(B200&gt;=$E$1,EOMONTH(C200,0)&lt;=EOMONTH($E$2,0)),((VLOOKUP(YEAR(C200),'DIF MES'!A$2:E$38,5)*D200)/30),0)</f>
        <v>3384545.1340865693</v>
      </c>
      <c r="G200" s="263">
        <f t="shared" si="74"/>
        <v>2978399.717996181</v>
      </c>
    </row>
    <row r="201" spans="1:9" x14ac:dyDescent="0.35">
      <c r="A201" s="499">
        <v>2021</v>
      </c>
      <c r="B201" s="152">
        <f t="shared" si="100"/>
        <v>44197</v>
      </c>
      <c r="C201" s="152">
        <f t="shared" si="101"/>
        <v>44227</v>
      </c>
      <c r="D201" s="260">
        <f t="shared" si="116"/>
        <v>30</v>
      </c>
      <c r="E201" s="81" t="s">
        <v>96</v>
      </c>
      <c r="F201" s="258">
        <f>IF(AND(B201&gt;=$E$1,EOMONTH(C201,0)&lt;=EOMONTH($E$2,0)),((VLOOKUP(YEAR(C201),'DIF MES'!A$2:E$38,5)*D201)/30),0)</f>
        <v>3439036.3107453631</v>
      </c>
      <c r="G201" s="263">
        <f t="shared" si="74"/>
        <v>3026351.9534559194</v>
      </c>
    </row>
    <row r="202" spans="1:9" x14ac:dyDescent="0.35">
      <c r="A202" s="499"/>
      <c r="B202" s="152">
        <f t="shared" si="100"/>
        <v>44228</v>
      </c>
      <c r="C202" s="152">
        <f t="shared" si="101"/>
        <v>44255</v>
      </c>
      <c r="D202" s="260">
        <f t="shared" si="116"/>
        <v>30</v>
      </c>
      <c r="E202" s="81" t="s">
        <v>97</v>
      </c>
      <c r="F202" s="258">
        <f>IF(AND(B202&gt;=$E$1,EOMONTH(C202,0)&lt;=EOMONTH($E$2,0)),((VLOOKUP(YEAR(C202),'DIF MES'!A$2:E$38,5)*D202)/30),0)</f>
        <v>3439036.3107453631</v>
      </c>
      <c r="G202" s="263">
        <f t="shared" ref="G202:G265" si="121">IF(E202="adicional",F202,F202-((F202*12)/100))</f>
        <v>3026351.9534559194</v>
      </c>
    </row>
    <row r="203" spans="1:9" x14ac:dyDescent="0.35">
      <c r="A203" s="499"/>
      <c r="B203" s="152">
        <f t="shared" si="100"/>
        <v>44256</v>
      </c>
      <c r="C203" s="152">
        <f t="shared" si="101"/>
        <v>44286</v>
      </c>
      <c r="D203" s="260">
        <f t="shared" si="116"/>
        <v>30</v>
      </c>
      <c r="E203" s="81" t="s">
        <v>98</v>
      </c>
      <c r="F203" s="258">
        <f>IF(AND(B203&gt;=$E$1,EOMONTH(C203,0)&lt;=EOMONTH($E$2,0)),((VLOOKUP(YEAR(C203),'DIF MES'!A$2:E$38,5)*D203)/30),0)</f>
        <v>3439036.3107453631</v>
      </c>
      <c r="G203" s="263">
        <f t="shared" si="121"/>
        <v>3026351.9534559194</v>
      </c>
    </row>
    <row r="204" spans="1:9" x14ac:dyDescent="0.35">
      <c r="A204" s="499"/>
      <c r="B204" s="152">
        <f t="shared" si="100"/>
        <v>44287</v>
      </c>
      <c r="C204" s="152">
        <f t="shared" si="101"/>
        <v>44316</v>
      </c>
      <c r="D204" s="260">
        <f t="shared" si="116"/>
        <v>30</v>
      </c>
      <c r="E204" s="81" t="s">
        <v>99</v>
      </c>
      <c r="F204" s="258">
        <f>IF(AND(B204&gt;=$E$1,EOMONTH(C204,0)&lt;=EOMONTH($E$2,0)),((VLOOKUP(YEAR(C204),'DIF MES'!A$2:E$38,5)*D204)/30),0)</f>
        <v>3439036.3107453631</v>
      </c>
      <c r="G204" s="263">
        <f t="shared" si="121"/>
        <v>3026351.9534559194</v>
      </c>
    </row>
    <row r="205" spans="1:9" x14ac:dyDescent="0.35">
      <c r="A205" s="499"/>
      <c r="B205" s="152">
        <f t="shared" si="100"/>
        <v>44317</v>
      </c>
      <c r="C205" s="152">
        <f t="shared" si="101"/>
        <v>44347</v>
      </c>
      <c r="D205" s="260">
        <f t="shared" si="116"/>
        <v>30</v>
      </c>
      <c r="E205" s="81" t="s">
        <v>100</v>
      </c>
      <c r="F205" s="258">
        <f>IF(AND(B205&gt;=$E$1,EOMONTH(C205,0)&lt;=EOMONTH($E$2,0)),((VLOOKUP(YEAR(C205),'DIF MES'!A$2:E$38,5)*D205)/30),0)</f>
        <v>3439036.3107453631</v>
      </c>
      <c r="G205" s="263">
        <f t="shared" si="121"/>
        <v>3026351.9534559194</v>
      </c>
    </row>
    <row r="206" spans="1:9" x14ac:dyDescent="0.35">
      <c r="A206" s="499"/>
      <c r="B206" s="156">
        <f t="shared" ref="B206" si="122">B207</f>
        <v>44348</v>
      </c>
      <c r="C206" s="156">
        <f t="shared" ref="C206" si="123">C207</f>
        <v>44377</v>
      </c>
      <c r="D206" s="260">
        <f t="shared" si="116"/>
        <v>30</v>
      </c>
      <c r="E206" s="261" t="s">
        <v>101</v>
      </c>
      <c r="F206" s="258">
        <f>IF(AND(B206&gt;=$E$1,EOMONTH(C206,0)&lt;=EOMONTH($E$2,0)),((VLOOKUP(YEAR(C206),'DIF MES'!A$2:E$38,5)*D206)/30),0)</f>
        <v>3439036.3107453631</v>
      </c>
      <c r="G206" s="263">
        <f>IF(E206="adicional",F206,F206-((F206*12)/100))</f>
        <v>3439036.3107453631</v>
      </c>
    </row>
    <row r="207" spans="1:9" x14ac:dyDescent="0.35">
      <c r="A207" s="499"/>
      <c r="B207" s="152">
        <f t="shared" ref="B207" si="124">IF(
AND(YEAR(C205)=YEAR(DATE(YEAR($E$1),MONTH($E$1)-1,1)),
MONTH(C205)=MONTH(DATE(YEAR($E$1),MONTH($E$1)-1,1))),
$E$1,
DATE(YEAR(C205),MONTH(C205)+1,1))</f>
        <v>44348</v>
      </c>
      <c r="C207" s="152">
        <f t="shared" ref="C207" si="125">IF(
AND(
YEAR(C205)=YEAR(DATE(YEAR($E$2),MONTH($E$2)-1,1)),
MONTH(C205)=MONTH(DATE(YEAR($E$2),MONTH($E$2)-1,1))
),
$E$2,
EOMONTH(C205,1)
)</f>
        <v>44377</v>
      </c>
      <c r="D207" s="260">
        <f t="shared" si="116"/>
        <v>30</v>
      </c>
      <c r="E207" s="81" t="s">
        <v>102</v>
      </c>
      <c r="F207" s="258">
        <f>IF(AND(B207&gt;=$E$1,EOMONTH(C207,0)&lt;=EOMONTH($E$2,0)),((VLOOKUP(YEAR(C207),'DIF MES'!A$2:E$38,5)*D207)/30),0)</f>
        <v>3439036.3107453631</v>
      </c>
      <c r="G207" s="263">
        <f>IF(E207="adicional",F207,F207-((F207*12)/100))</f>
        <v>3026351.9534559194</v>
      </c>
    </row>
    <row r="208" spans="1:9" x14ac:dyDescent="0.35">
      <c r="A208" s="499"/>
      <c r="B208" s="152">
        <f t="shared" si="106"/>
        <v>44378</v>
      </c>
      <c r="C208" s="152">
        <f t="shared" si="107"/>
        <v>44408</v>
      </c>
      <c r="D208" s="260">
        <f t="shared" si="116"/>
        <v>30</v>
      </c>
      <c r="E208" s="81" t="s">
        <v>103</v>
      </c>
      <c r="F208" s="258">
        <f>IF(AND(B208&gt;=$E$1,EOMONTH(C208,0)&lt;=EOMONTH($E$2,0)),((VLOOKUP(YEAR(C208),'DIF MES'!A$2:E$38,5)*D208)/30),0)</f>
        <v>3439036.3107453631</v>
      </c>
      <c r="G208" s="263">
        <f t="shared" si="121"/>
        <v>3026351.9534559194</v>
      </c>
    </row>
    <row r="209" spans="1:7" x14ac:dyDescent="0.35">
      <c r="A209" s="499"/>
      <c r="B209" s="152">
        <f t="shared" si="106"/>
        <v>44409</v>
      </c>
      <c r="C209" s="152">
        <f t="shared" si="107"/>
        <v>44439</v>
      </c>
      <c r="D209" s="260">
        <f t="shared" si="116"/>
        <v>30</v>
      </c>
      <c r="E209" s="81" t="s">
        <v>104</v>
      </c>
      <c r="F209" s="258">
        <f>IF(AND(B209&gt;=$E$1,EOMONTH(C209,0)&lt;=EOMONTH($E$2,0)),((VLOOKUP(YEAR(C209),'DIF MES'!A$2:E$38,5)*D209)/30),0)</f>
        <v>3439036.3107453631</v>
      </c>
      <c r="G209" s="263">
        <f t="shared" si="121"/>
        <v>3026351.9534559194</v>
      </c>
    </row>
    <row r="210" spans="1:7" x14ac:dyDescent="0.35">
      <c r="A210" s="499"/>
      <c r="B210" s="152">
        <f t="shared" si="106"/>
        <v>44440</v>
      </c>
      <c r="C210" s="152">
        <f t="shared" si="107"/>
        <v>44469</v>
      </c>
      <c r="D210" s="260">
        <f t="shared" si="116"/>
        <v>30</v>
      </c>
      <c r="E210" s="81" t="s">
        <v>105</v>
      </c>
      <c r="F210" s="258">
        <f>IF(AND(B210&gt;=$E$1,EOMONTH(C210,0)&lt;=EOMONTH($E$2,0)),((VLOOKUP(YEAR(C210),'DIF MES'!A$2:E$38,5)*D210)/30),0)</f>
        <v>3439036.3107453631</v>
      </c>
      <c r="G210" s="263">
        <f t="shared" si="121"/>
        <v>3026351.9534559194</v>
      </c>
    </row>
    <row r="211" spans="1:7" x14ac:dyDescent="0.35">
      <c r="A211" s="499"/>
      <c r="B211" s="152">
        <f t="shared" si="106"/>
        <v>44470</v>
      </c>
      <c r="C211" s="152">
        <f t="shared" si="107"/>
        <v>44500</v>
      </c>
      <c r="D211" s="260">
        <f t="shared" si="116"/>
        <v>30</v>
      </c>
      <c r="E211" s="81" t="s">
        <v>106</v>
      </c>
      <c r="F211" s="258">
        <f>IF(AND(B211&gt;=$E$1,EOMONTH(C211,0)&lt;=EOMONTH($E$2,0)),((VLOOKUP(YEAR(C211),'DIF MES'!A$2:E$38,5)*D211)/30),0)</f>
        <v>3439036.3107453631</v>
      </c>
      <c r="G211" s="263">
        <f t="shared" si="121"/>
        <v>3026351.9534559194</v>
      </c>
    </row>
    <row r="212" spans="1:7" x14ac:dyDescent="0.35">
      <c r="A212" s="499"/>
      <c r="B212" s="152">
        <f t="shared" si="106"/>
        <v>44501</v>
      </c>
      <c r="C212" s="152">
        <f t="shared" si="107"/>
        <v>44530</v>
      </c>
      <c r="D212" s="260">
        <f t="shared" si="116"/>
        <v>30</v>
      </c>
      <c r="E212" s="81" t="s">
        <v>107</v>
      </c>
      <c r="F212" s="258">
        <f>IF(AND(B212&gt;=$E$1,EOMONTH(C212,0)&lt;=EOMONTH($E$2,0)),((VLOOKUP(YEAR(C212),'DIF MES'!A$2:E$38,5)*D212)/30),0)</f>
        <v>3439036.3107453631</v>
      </c>
      <c r="G212" s="263">
        <f t="shared" si="121"/>
        <v>3026351.9534559194</v>
      </c>
    </row>
    <row r="213" spans="1:7" x14ac:dyDescent="0.35">
      <c r="A213" s="499"/>
      <c r="B213" s="156">
        <f t="shared" ref="B213" si="126">B212</f>
        <v>44501</v>
      </c>
      <c r="C213" s="156">
        <f t="shared" ref="C213" si="127">C212</f>
        <v>44530</v>
      </c>
      <c r="D213" s="260">
        <f t="shared" si="116"/>
        <v>30</v>
      </c>
      <c r="E213" s="261" t="s">
        <v>101</v>
      </c>
      <c r="F213" s="258">
        <f>IF(AND(B213&gt;=$E$1,EOMONTH(C213,0)&lt;=EOMONTH($E$2,0)),((VLOOKUP(YEAR(C213),'DIF MES'!A$2:E$38,5)*D213)/30),0)</f>
        <v>3439036.3107453631</v>
      </c>
      <c r="G213" s="263">
        <f t="shared" si="121"/>
        <v>3439036.3107453631</v>
      </c>
    </row>
    <row r="214" spans="1:7" x14ac:dyDescent="0.35">
      <c r="A214" s="499"/>
      <c r="B214" s="152">
        <f t="shared" ref="B214" si="128">IF(
AND(YEAR(C212)=YEAR(DATE(YEAR($E$1),MONTH($E$1)-1,1)),
MONTH(C212)=MONTH(DATE(YEAR($E$1),MONTH($E$1)-1,1))),
$E$1,
DATE(YEAR(C212),MONTH(C212)+1,1))</f>
        <v>44531</v>
      </c>
      <c r="C214" s="152">
        <f t="shared" ref="C214" si="129">IF(
AND(
YEAR(C212)=YEAR(DATE(YEAR($E$2),MONTH($E$2)-1,1)),
MONTH(C212)=MONTH(DATE(YEAR($E$2),MONTH($E$2)-1,1))
),
$E$2,
EOMONTH(C212,1)
)</f>
        <v>44561</v>
      </c>
      <c r="D214" s="260">
        <f t="shared" si="116"/>
        <v>30</v>
      </c>
      <c r="E214" s="81" t="s">
        <v>108</v>
      </c>
      <c r="F214" s="258">
        <f>IF(AND(B214&gt;=$E$1,EOMONTH(C214,0)&lt;=EOMONTH($E$2,0)),((VLOOKUP(YEAR(C214),'DIF MES'!A$2:E$38,5)*D214)/30),0)</f>
        <v>3439036.3107453631</v>
      </c>
      <c r="G214" s="263">
        <f t="shared" si="121"/>
        <v>3026351.9534559194</v>
      </c>
    </row>
    <row r="215" spans="1:7" x14ac:dyDescent="0.35">
      <c r="A215" s="497">
        <v>2022</v>
      </c>
      <c r="B215" s="152">
        <f t="shared" si="100"/>
        <v>44562</v>
      </c>
      <c r="C215" s="152">
        <f t="shared" si="101"/>
        <v>44592</v>
      </c>
      <c r="D215" s="260">
        <f t="shared" si="116"/>
        <v>30</v>
      </c>
      <c r="E215" s="81" t="s">
        <v>96</v>
      </c>
      <c r="F215" s="258">
        <f>IF(AND(B215&gt;=$E$1,EOMONTH(C215,0)&lt;=EOMONTH($E$2,0)),((VLOOKUP(YEAR(C215),'DIF MES'!A$2:E$38,5)*D215)/30),0)</f>
        <v>3632310.1514092525</v>
      </c>
      <c r="G215" s="263">
        <f t="shared" si="121"/>
        <v>3196432.9332401422</v>
      </c>
    </row>
    <row r="216" spans="1:7" x14ac:dyDescent="0.35">
      <c r="A216" s="497"/>
      <c r="B216" s="152">
        <f t="shared" si="100"/>
        <v>44593</v>
      </c>
      <c r="C216" s="152">
        <f t="shared" si="101"/>
        <v>44620</v>
      </c>
      <c r="D216" s="260">
        <f t="shared" si="116"/>
        <v>30</v>
      </c>
      <c r="E216" s="81" t="s">
        <v>97</v>
      </c>
      <c r="F216" s="258">
        <f>IF(AND(B216&gt;=$E$1,EOMONTH(C216,0)&lt;=EOMONTH($E$2,0)),((VLOOKUP(YEAR(C216),'DIF MES'!A$2:E$38,5)*D216)/30),0)</f>
        <v>3632310.1514092525</v>
      </c>
      <c r="G216" s="263">
        <f t="shared" si="121"/>
        <v>3196432.9332401422</v>
      </c>
    </row>
    <row r="217" spans="1:7" x14ac:dyDescent="0.35">
      <c r="A217" s="497"/>
      <c r="B217" s="152">
        <f t="shared" si="100"/>
        <v>44621</v>
      </c>
      <c r="C217" s="152">
        <f t="shared" si="101"/>
        <v>44635</v>
      </c>
      <c r="D217" s="260">
        <f t="shared" si="116"/>
        <v>15</v>
      </c>
      <c r="E217" s="81" t="s">
        <v>98</v>
      </c>
      <c r="F217" s="258">
        <f>IF(AND(B217&gt;=$E$1,EOMONTH(C217,0)&lt;=EOMONTH($E$2,0)),((VLOOKUP(YEAR(C217),'DIF MES'!A$2:E$38,5)*D217)/30),0)</f>
        <v>1816155.0757046263</v>
      </c>
      <c r="G217" s="263">
        <f t="shared" si="121"/>
        <v>1598216.4666200711</v>
      </c>
    </row>
    <row r="218" spans="1:7" x14ac:dyDescent="0.35">
      <c r="A218" s="497"/>
      <c r="B218" s="152">
        <f t="shared" si="100"/>
        <v>44652</v>
      </c>
      <c r="C218" s="152">
        <f t="shared" si="101"/>
        <v>44681</v>
      </c>
      <c r="D218" s="260">
        <f t="shared" si="116"/>
        <v>30</v>
      </c>
      <c r="E218" s="81" t="s">
        <v>99</v>
      </c>
      <c r="F218" s="258">
        <f>IF(AND(B218&gt;=$E$1,EOMONTH(C218,0)&lt;=EOMONTH($E$2,0)),((VLOOKUP(YEAR(C218),'DIF MES'!A$2:E$38,5)*D218)/30),0)</f>
        <v>0</v>
      </c>
      <c r="G218" s="263">
        <f t="shared" si="121"/>
        <v>0</v>
      </c>
    </row>
    <row r="219" spans="1:7" x14ac:dyDescent="0.35">
      <c r="A219" s="497"/>
      <c r="B219" s="152">
        <f t="shared" si="100"/>
        <v>44682</v>
      </c>
      <c r="C219" s="152">
        <f t="shared" si="101"/>
        <v>44712</v>
      </c>
      <c r="D219" s="260">
        <f t="shared" si="116"/>
        <v>30</v>
      </c>
      <c r="E219" s="81" t="s">
        <v>100</v>
      </c>
      <c r="F219" s="258">
        <f>IF(AND(B219&gt;=$E$1,EOMONTH(C219,0)&lt;=EOMONTH($E$2,0)),((VLOOKUP(YEAR(C219),'DIF MES'!A$2:E$38,5)*D219)/30),0)</f>
        <v>0</v>
      </c>
      <c r="G219" s="263">
        <f t="shared" si="121"/>
        <v>0</v>
      </c>
    </row>
    <row r="220" spans="1:7" x14ac:dyDescent="0.35">
      <c r="A220" s="497"/>
      <c r="B220" s="156">
        <f t="shared" ref="B220" si="130">B221</f>
        <v>44713</v>
      </c>
      <c r="C220" s="156">
        <f t="shared" ref="C220" si="131">C221</f>
        <v>44742</v>
      </c>
      <c r="D220" s="260">
        <f t="shared" si="116"/>
        <v>30</v>
      </c>
      <c r="E220" s="261" t="s">
        <v>101</v>
      </c>
      <c r="F220" s="258">
        <f>IF(AND(B220&gt;=$E$1,EOMONTH(C220,0)&lt;=EOMONTH($E$2,0)),((VLOOKUP(YEAR(C220),'DIF MES'!A$2:E$38,5)*D220)/30),0)</f>
        <v>0</v>
      </c>
      <c r="G220" s="263">
        <f>IF(E220="adicional",F220,F220-((F220*12)/100))</f>
        <v>0</v>
      </c>
    </row>
    <row r="221" spans="1:7" x14ac:dyDescent="0.35">
      <c r="A221" s="497"/>
      <c r="B221" s="152">
        <f t="shared" ref="B221" si="132">IF(
AND(YEAR(C219)=YEAR(DATE(YEAR($E$1),MONTH($E$1)-1,1)),
MONTH(C219)=MONTH(DATE(YEAR($E$1),MONTH($E$1)-1,1))),
$E$1,
DATE(YEAR(C219),MONTH(C219)+1,1))</f>
        <v>44713</v>
      </c>
      <c r="C221" s="152">
        <f t="shared" ref="C221" si="133">IF(
AND(
YEAR(C219)=YEAR(DATE(YEAR($E$2),MONTH($E$2)-1,1)),
MONTH(C219)=MONTH(DATE(YEAR($E$2),MONTH($E$2)-1,1))
),
$E$2,
EOMONTH(C219,1)
)</f>
        <v>44742</v>
      </c>
      <c r="D221" s="260">
        <f t="shared" si="116"/>
        <v>30</v>
      </c>
      <c r="E221" s="81" t="s">
        <v>102</v>
      </c>
      <c r="F221" s="258">
        <f>IF(AND(B221&gt;=$E$1,EOMONTH(C221,0)&lt;=EOMONTH($E$2,0)),((VLOOKUP(YEAR(C221),'DIF MES'!A$2:E$38,5)*D221)/30),0)</f>
        <v>0</v>
      </c>
      <c r="G221" s="263">
        <f>IF(E221="adicional",F221,F221-((F221*12)/100))</f>
        <v>0</v>
      </c>
    </row>
    <row r="222" spans="1:7" x14ac:dyDescent="0.35">
      <c r="A222" s="497"/>
      <c r="B222" s="152">
        <f t="shared" si="106"/>
        <v>44743</v>
      </c>
      <c r="C222" s="152">
        <f t="shared" si="107"/>
        <v>44773</v>
      </c>
      <c r="D222" s="260">
        <f t="shared" si="116"/>
        <v>30</v>
      </c>
      <c r="E222" s="81" t="s">
        <v>103</v>
      </c>
      <c r="F222" s="258">
        <f>IF(AND(B222&gt;=$E$1,EOMONTH(C222,0)&lt;=EOMONTH($E$2,0)),((VLOOKUP(YEAR(C222),'DIF MES'!A$2:E$38,5)*D222)/30),0)</f>
        <v>0</v>
      </c>
      <c r="G222" s="263">
        <f t="shared" si="121"/>
        <v>0</v>
      </c>
    </row>
    <row r="223" spans="1:7" x14ac:dyDescent="0.35">
      <c r="A223" s="497"/>
      <c r="B223" s="152">
        <f t="shared" si="106"/>
        <v>44774</v>
      </c>
      <c r="C223" s="152">
        <f t="shared" si="107"/>
        <v>44804</v>
      </c>
      <c r="D223" s="260">
        <f t="shared" si="116"/>
        <v>30</v>
      </c>
      <c r="E223" s="81" t="s">
        <v>104</v>
      </c>
      <c r="F223" s="258">
        <f>IF(AND(B223&gt;=$E$1,EOMONTH(C223,0)&lt;=EOMONTH($E$2,0)),((VLOOKUP(YEAR(C223),'DIF MES'!A$2:E$38,5)*D223)/30),0)</f>
        <v>0</v>
      </c>
      <c r="G223" s="263">
        <f t="shared" si="121"/>
        <v>0</v>
      </c>
    </row>
    <row r="224" spans="1:7" x14ac:dyDescent="0.35">
      <c r="A224" s="497"/>
      <c r="B224" s="152">
        <f t="shared" si="106"/>
        <v>44805</v>
      </c>
      <c r="C224" s="152">
        <f t="shared" si="107"/>
        <v>44834</v>
      </c>
      <c r="D224" s="260">
        <f t="shared" si="116"/>
        <v>30</v>
      </c>
      <c r="E224" s="81" t="s">
        <v>105</v>
      </c>
      <c r="F224" s="258">
        <f>IF(AND(B224&gt;=$E$1,EOMONTH(C224,0)&lt;=EOMONTH($E$2,0)),((VLOOKUP(YEAR(C224),'DIF MES'!A$2:E$38,5)*D224)/30),0)</f>
        <v>0</v>
      </c>
      <c r="G224" s="263">
        <f t="shared" si="121"/>
        <v>0</v>
      </c>
    </row>
    <row r="225" spans="1:7" x14ac:dyDescent="0.35">
      <c r="A225" s="497"/>
      <c r="B225" s="152">
        <f t="shared" si="106"/>
        <v>44835</v>
      </c>
      <c r="C225" s="152">
        <f t="shared" si="107"/>
        <v>44865</v>
      </c>
      <c r="D225" s="260">
        <f t="shared" si="116"/>
        <v>30</v>
      </c>
      <c r="E225" s="81" t="s">
        <v>106</v>
      </c>
      <c r="F225" s="258">
        <f>IF(AND(B225&gt;=$E$1,EOMONTH(C225,0)&lt;=EOMONTH($E$2,0)),((VLOOKUP(YEAR(C225),'DIF MES'!A$2:E$38,5)*D225)/30),0)</f>
        <v>0</v>
      </c>
      <c r="G225" s="263">
        <f t="shared" si="121"/>
        <v>0</v>
      </c>
    </row>
    <row r="226" spans="1:7" x14ac:dyDescent="0.35">
      <c r="A226" s="497"/>
      <c r="B226" s="152">
        <f t="shared" si="106"/>
        <v>44866</v>
      </c>
      <c r="C226" s="152">
        <f t="shared" si="107"/>
        <v>44895</v>
      </c>
      <c r="D226" s="260">
        <f t="shared" si="116"/>
        <v>30</v>
      </c>
      <c r="E226" s="81" t="s">
        <v>107</v>
      </c>
      <c r="F226" s="258">
        <f>IF(AND(B226&gt;=$E$1,EOMONTH(C226,0)&lt;=EOMONTH($E$2,0)),((VLOOKUP(YEAR(C226),'DIF MES'!A$2:E$38,5)*D226)/30),0)</f>
        <v>0</v>
      </c>
      <c r="G226" s="263">
        <f t="shared" si="121"/>
        <v>0</v>
      </c>
    </row>
    <row r="227" spans="1:7" x14ac:dyDescent="0.35">
      <c r="A227" s="497"/>
      <c r="B227" s="156">
        <f t="shared" ref="B227" si="134">B226</f>
        <v>44866</v>
      </c>
      <c r="C227" s="156">
        <f t="shared" ref="C227" si="135">C226</f>
        <v>44895</v>
      </c>
      <c r="D227" s="260">
        <f t="shared" si="116"/>
        <v>30</v>
      </c>
      <c r="E227" s="261" t="s">
        <v>101</v>
      </c>
      <c r="F227" s="258">
        <f>IF(AND(B227&gt;=$E$1,EOMONTH(C227,0)&lt;=EOMONTH($E$2,0)),((VLOOKUP(YEAR(C227),'DIF MES'!A$2:E$38,5)*D227)/30),0)</f>
        <v>0</v>
      </c>
      <c r="G227" s="263">
        <f t="shared" si="121"/>
        <v>0</v>
      </c>
    </row>
    <row r="228" spans="1:7" x14ac:dyDescent="0.35">
      <c r="A228" s="497"/>
      <c r="B228" s="152">
        <f t="shared" ref="B228" si="136">IF(
AND(YEAR(C226)=YEAR(DATE(YEAR($E$1),MONTH($E$1)-1,1)),
MONTH(C226)=MONTH(DATE(YEAR($E$1),MONTH($E$1)-1,1))),
$E$1,
DATE(YEAR(C226),MONTH(C226)+1,1))</f>
        <v>44896</v>
      </c>
      <c r="C228" s="152">
        <f t="shared" ref="C228" si="137">IF(
AND(
YEAR(C226)=YEAR(DATE(YEAR($E$2),MONTH($E$2)-1,1)),
MONTH(C226)=MONTH(DATE(YEAR($E$2),MONTH($E$2)-1,1))
),
$E$2,
EOMONTH(C226,1)
)</f>
        <v>44926</v>
      </c>
      <c r="D228" s="260">
        <f t="shared" si="116"/>
        <v>30</v>
      </c>
      <c r="E228" s="81" t="s">
        <v>108</v>
      </c>
      <c r="F228" s="258">
        <f>IF(AND(B228&gt;=$E$1,EOMONTH(C228,0)&lt;=EOMONTH($E$2,0)),((VLOOKUP(YEAR(C228),'DIF MES'!A$2:E$38,5)*D228)/30),0)</f>
        <v>0</v>
      </c>
      <c r="G228" s="263">
        <f t="shared" si="121"/>
        <v>0</v>
      </c>
    </row>
    <row r="229" spans="1:7" x14ac:dyDescent="0.35">
      <c r="A229" s="498">
        <v>2023</v>
      </c>
      <c r="B229" s="152">
        <f t="shared" si="100"/>
        <v>44927</v>
      </c>
      <c r="C229" s="152">
        <f t="shared" si="101"/>
        <v>44957</v>
      </c>
      <c r="D229" s="260">
        <f t="shared" si="116"/>
        <v>30</v>
      </c>
      <c r="E229" s="81" t="s">
        <v>96</v>
      </c>
      <c r="F229" s="258">
        <f>IF(AND(B229&gt;=$E$1,EOMONTH(C229,0)&lt;=EOMONTH($E$2,0)),((VLOOKUP(YEAR(C229),'DIF MES'!A$2:E$38,5)*D229)/30),0)</f>
        <v>0</v>
      </c>
      <c r="G229" s="263">
        <f t="shared" si="121"/>
        <v>0</v>
      </c>
    </row>
    <row r="230" spans="1:7" x14ac:dyDescent="0.35">
      <c r="A230" s="469"/>
      <c r="B230" s="152">
        <f t="shared" si="100"/>
        <v>44958</v>
      </c>
      <c r="C230" s="152">
        <f t="shared" si="101"/>
        <v>44985</v>
      </c>
      <c r="D230" s="260">
        <f t="shared" si="116"/>
        <v>30</v>
      </c>
      <c r="E230" s="81" t="s">
        <v>97</v>
      </c>
      <c r="F230" s="258">
        <f>IF(AND(B230&gt;=$E$1,EOMONTH(C230,0)&lt;=EOMONTH($E$2,0)),((VLOOKUP(YEAR(C230),'DIF MES'!A$2:E$38,5)*D230)/30),0)</f>
        <v>0</v>
      </c>
      <c r="G230" s="263">
        <f t="shared" si="121"/>
        <v>0</v>
      </c>
    </row>
    <row r="231" spans="1:7" x14ac:dyDescent="0.35">
      <c r="A231" s="469"/>
      <c r="B231" s="152">
        <f t="shared" si="100"/>
        <v>44986</v>
      </c>
      <c r="C231" s="152">
        <f t="shared" si="101"/>
        <v>45016</v>
      </c>
      <c r="D231" s="260">
        <f t="shared" si="116"/>
        <v>30</v>
      </c>
      <c r="E231" s="81" t="s">
        <v>98</v>
      </c>
      <c r="F231" s="258">
        <f>IF(AND(B231&gt;=$E$1,EOMONTH(C231,0)&lt;=EOMONTH($E$2,0)),((VLOOKUP(YEAR(C231),'DIF MES'!A$2:E$38,5)*D231)/30),0)</f>
        <v>0</v>
      </c>
      <c r="G231" s="263">
        <f t="shared" si="121"/>
        <v>0</v>
      </c>
    </row>
    <row r="232" spans="1:7" x14ac:dyDescent="0.35">
      <c r="A232" s="469"/>
      <c r="B232" s="152">
        <f t="shared" si="100"/>
        <v>45017</v>
      </c>
      <c r="C232" s="152">
        <f t="shared" si="101"/>
        <v>45046</v>
      </c>
      <c r="D232" s="260">
        <f t="shared" si="116"/>
        <v>30</v>
      </c>
      <c r="E232" s="81" t="s">
        <v>99</v>
      </c>
      <c r="F232" s="258">
        <f>IF(AND(B232&gt;=$E$1,EOMONTH(C232,0)&lt;=EOMONTH($E$2,0)),((VLOOKUP(YEAR(C232),'DIF MES'!A$2:E$38,5)*D232)/30),0)</f>
        <v>0</v>
      </c>
      <c r="G232" s="263">
        <f t="shared" si="121"/>
        <v>0</v>
      </c>
    </row>
    <row r="233" spans="1:7" x14ac:dyDescent="0.35">
      <c r="A233" s="469"/>
      <c r="B233" s="152">
        <f t="shared" si="100"/>
        <v>45047</v>
      </c>
      <c r="C233" s="152">
        <f t="shared" si="101"/>
        <v>45077</v>
      </c>
      <c r="D233" s="260">
        <f t="shared" si="116"/>
        <v>30</v>
      </c>
      <c r="E233" s="81" t="s">
        <v>100</v>
      </c>
      <c r="F233" s="258">
        <f>IF(AND(B233&gt;=$E$1,EOMONTH(C233,0)&lt;=EOMONTH($E$2,0)),((VLOOKUP(YEAR(C233),'DIF MES'!A$2:E$38,5)*D233)/30),0)</f>
        <v>0</v>
      </c>
      <c r="G233" s="263">
        <f t="shared" si="121"/>
        <v>0</v>
      </c>
    </row>
    <row r="234" spans="1:7" x14ac:dyDescent="0.35">
      <c r="A234" s="469"/>
      <c r="B234" s="156">
        <f t="shared" ref="B234" si="138">B235</f>
        <v>45078</v>
      </c>
      <c r="C234" s="156">
        <f t="shared" ref="C234" si="139">C235</f>
        <v>45107</v>
      </c>
      <c r="D234" s="260">
        <f t="shared" si="116"/>
        <v>30</v>
      </c>
      <c r="E234" s="261" t="s">
        <v>101</v>
      </c>
      <c r="F234" s="258">
        <f>IF(AND(B234&gt;=$E$1,EOMONTH(C234,0)&lt;=EOMONTH($E$2,0)),((VLOOKUP(YEAR(C234),'DIF MES'!A$2:E$38,5)*D234)/30),0)</f>
        <v>0</v>
      </c>
      <c r="G234" s="263">
        <f>IF(E234="adicional",F234,F234-((F234*12)/100))</f>
        <v>0</v>
      </c>
    </row>
    <row r="235" spans="1:7" x14ac:dyDescent="0.35">
      <c r="A235" s="469"/>
      <c r="B235" s="152">
        <f t="shared" ref="B235" si="140">IF(
AND(YEAR(C233)=YEAR(DATE(YEAR($E$1),MONTH($E$1)-1,1)),
MONTH(C233)=MONTH(DATE(YEAR($E$1),MONTH($E$1)-1,1))),
$E$1,
DATE(YEAR(C233),MONTH(C233)+1,1))</f>
        <v>45078</v>
      </c>
      <c r="C235" s="152">
        <f t="shared" ref="C235" si="141">IF(
AND(
YEAR(C233)=YEAR(DATE(YEAR($E$2),MONTH($E$2)-1,1)),
MONTH(C233)=MONTH(DATE(YEAR($E$2),MONTH($E$2)-1,1))
),
$E$2,
EOMONTH(C233,1)
)</f>
        <v>45107</v>
      </c>
      <c r="D235" s="260">
        <f t="shared" si="116"/>
        <v>30</v>
      </c>
      <c r="E235" s="81" t="s">
        <v>102</v>
      </c>
      <c r="F235" s="258">
        <f>IF(AND(B235&gt;=$E$1,EOMONTH(C235,0)&lt;=EOMONTH($E$2,0)),((VLOOKUP(YEAR(C235),'DIF MES'!A$2:E$38,5)*D235)/30),0)</f>
        <v>0</v>
      </c>
      <c r="G235" s="263">
        <f>IF(E235="adicional",F235,F235-((F235*12)/100))</f>
        <v>0</v>
      </c>
    </row>
    <row r="236" spans="1:7" x14ac:dyDescent="0.35">
      <c r="A236" s="469"/>
      <c r="B236" s="152">
        <f t="shared" si="106"/>
        <v>45108</v>
      </c>
      <c r="C236" s="152">
        <f t="shared" si="107"/>
        <v>45138</v>
      </c>
      <c r="D236" s="260">
        <f t="shared" si="116"/>
        <v>30</v>
      </c>
      <c r="E236" s="81" t="s">
        <v>103</v>
      </c>
      <c r="F236" s="258">
        <f>IF(AND(B236&gt;=$E$1,EOMONTH(C236,0)&lt;=EOMONTH($E$2,0)),((VLOOKUP(YEAR(C236),'DIF MES'!A$2:E$38,5)*D236)/30),0)</f>
        <v>0</v>
      </c>
      <c r="G236" s="263">
        <f t="shared" si="121"/>
        <v>0</v>
      </c>
    </row>
    <row r="237" spans="1:7" x14ac:dyDescent="0.35">
      <c r="A237" s="469"/>
      <c r="B237" s="152">
        <f t="shared" si="106"/>
        <v>45139</v>
      </c>
      <c r="C237" s="152">
        <f t="shared" si="107"/>
        <v>45169</v>
      </c>
      <c r="D237" s="260">
        <f t="shared" si="116"/>
        <v>30</v>
      </c>
      <c r="E237" s="81" t="s">
        <v>104</v>
      </c>
      <c r="F237" s="258">
        <f>IF(AND(B237&gt;=$E$1,EOMONTH(C237,0)&lt;=EOMONTH($E$2,0)),((VLOOKUP(YEAR(C237),'DIF MES'!A$2:E$38,5)*D237)/30),0)</f>
        <v>0</v>
      </c>
      <c r="G237" s="263">
        <f t="shared" si="121"/>
        <v>0</v>
      </c>
    </row>
    <row r="238" spans="1:7" x14ac:dyDescent="0.35">
      <c r="A238" s="469"/>
      <c r="B238" s="152">
        <f t="shared" si="106"/>
        <v>45170</v>
      </c>
      <c r="C238" s="152">
        <f t="shared" si="107"/>
        <v>45199</v>
      </c>
      <c r="D238" s="260">
        <f t="shared" si="116"/>
        <v>30</v>
      </c>
      <c r="E238" s="81" t="s">
        <v>105</v>
      </c>
      <c r="F238" s="258">
        <f>IF(AND(B238&gt;=$E$1,EOMONTH(C238,0)&lt;=EOMONTH($E$2,0)),((VLOOKUP(YEAR(C238),'DIF MES'!A$2:E$38,5)*D238)/30),0)</f>
        <v>0</v>
      </c>
      <c r="G238" s="263">
        <f t="shared" si="121"/>
        <v>0</v>
      </c>
    </row>
    <row r="239" spans="1:7" x14ac:dyDescent="0.35">
      <c r="A239" s="469"/>
      <c r="B239" s="152">
        <f t="shared" si="106"/>
        <v>45200</v>
      </c>
      <c r="C239" s="152">
        <f t="shared" si="107"/>
        <v>45230</v>
      </c>
      <c r="D239" s="260">
        <f t="shared" si="116"/>
        <v>30</v>
      </c>
      <c r="E239" s="81" t="s">
        <v>106</v>
      </c>
      <c r="F239" s="258">
        <f>IF(AND(B239&gt;=$E$1,EOMONTH(C239,0)&lt;=EOMONTH($E$2,0)),((VLOOKUP(YEAR(C239),'DIF MES'!A$2:E$38,5)*D239)/30),0)</f>
        <v>0</v>
      </c>
      <c r="G239" s="263">
        <f t="shared" si="121"/>
        <v>0</v>
      </c>
    </row>
    <row r="240" spans="1:7" x14ac:dyDescent="0.35">
      <c r="A240" s="469"/>
      <c r="B240" s="152">
        <f t="shared" si="106"/>
        <v>45231</v>
      </c>
      <c r="C240" s="152">
        <f t="shared" si="107"/>
        <v>45260</v>
      </c>
      <c r="D240" s="260">
        <f t="shared" si="116"/>
        <v>30</v>
      </c>
      <c r="E240" s="81" t="s">
        <v>107</v>
      </c>
      <c r="F240" s="258">
        <f>IF(AND(B240&gt;=$E$1,EOMONTH(C240,0)&lt;=EOMONTH($E$2,0)),((VLOOKUP(YEAR(C240),'DIF MES'!A$2:E$38,5)*D240)/30),0)</f>
        <v>0</v>
      </c>
      <c r="G240" s="263">
        <f t="shared" si="121"/>
        <v>0</v>
      </c>
    </row>
    <row r="241" spans="1:9" x14ac:dyDescent="0.35">
      <c r="A241" s="469"/>
      <c r="B241" s="156">
        <f t="shared" ref="B241" si="142">B240</f>
        <v>45231</v>
      </c>
      <c r="C241" s="156">
        <f t="shared" ref="C241" si="143">C240</f>
        <v>45260</v>
      </c>
      <c r="D241" s="260">
        <f t="shared" si="116"/>
        <v>30</v>
      </c>
      <c r="E241" s="261" t="s">
        <v>101</v>
      </c>
      <c r="F241" s="258">
        <f>IF(AND(B241&gt;=$E$1,EOMONTH(C241,0)&lt;=EOMONTH($E$2,0)),((VLOOKUP(YEAR(C241),'DIF MES'!A$2:E$38,5)*D241)/30),0)</f>
        <v>0</v>
      </c>
      <c r="G241" s="263">
        <f t="shared" si="121"/>
        <v>0</v>
      </c>
    </row>
    <row r="242" spans="1:9" x14ac:dyDescent="0.35">
      <c r="A242" s="470"/>
      <c r="B242" s="152">
        <f t="shared" ref="B242" si="144">IF(
AND(YEAR(C240)=YEAR(DATE(YEAR($E$1),MONTH($E$1)-1,1)),
MONTH(C240)=MONTH(DATE(YEAR($E$1),MONTH($E$1)-1,1))),
$E$1,
DATE(YEAR(C240),MONTH(C240)+1,1))</f>
        <v>45261</v>
      </c>
      <c r="C242" s="152">
        <f t="shared" ref="C242" si="145">IF(
AND(
YEAR(C240)=YEAR(DATE(YEAR($E$2),MONTH($E$2)-1,1)),
MONTH(C240)=MONTH(DATE(YEAR($E$2),MONTH($E$2)-1,1))
),
$E$2,
EOMONTH(C240,1)
)</f>
        <v>45291</v>
      </c>
      <c r="D242" s="260">
        <f>DAYS360(B242,C242+1)</f>
        <v>30</v>
      </c>
      <c r="E242" s="81" t="s">
        <v>108</v>
      </c>
      <c r="F242" s="258">
        <f>IF(AND(B242&gt;=$E$1,EOMONTH(C242,0)&lt;=EOMONTH($E$2,0)),((VLOOKUP(YEAR(C242),'DIF MES'!A$2:E$38,5)*D242)/30),0)</f>
        <v>0</v>
      </c>
      <c r="G242" s="263">
        <f t="shared" si="121"/>
        <v>0</v>
      </c>
    </row>
    <row r="243" spans="1:9" x14ac:dyDescent="0.35">
      <c r="A243" s="497">
        <v>2024</v>
      </c>
      <c r="B243" s="152">
        <f t="shared" ref="B243:B261" si="146">IF(
AND(YEAR(C242)=YEAR(DATE(YEAR($E$1),MONTH($E$1)-1,1)),
MONTH(C242)=MONTH(DATE(YEAR($E$1),MONTH($E$1)-1,1))),
$E$1,
DATE(YEAR(C242),MONTH(C242)+1,1))</f>
        <v>45292</v>
      </c>
      <c r="C243" s="152">
        <f t="shared" ref="C243:C261" si="147">IF(
AND(
YEAR(C242)=YEAR(DATE(YEAR($E$2),MONTH($E$2)-1,1)),
MONTH(C242)=MONTH(DATE(YEAR($E$2),MONTH($E$2)-1,1))
),
$E$2,
EOMONTH(C242,1)
)</f>
        <v>45322</v>
      </c>
      <c r="D243" s="260">
        <f t="shared" si="116"/>
        <v>30</v>
      </c>
      <c r="E243" s="81" t="s">
        <v>96</v>
      </c>
      <c r="F243" s="258">
        <f>IF(AND(B243&gt;=$E$1,EOMONTH(C243,0)&lt;=EOMONTH($E$2,0)),((VLOOKUP(YEAR(C243),'DIF MES'!A$2:E$38,5)*D243)/30),0)</f>
        <v>0</v>
      </c>
      <c r="G243" s="263">
        <f t="shared" si="121"/>
        <v>0</v>
      </c>
      <c r="I243" s="74" t="s">
        <v>152</v>
      </c>
    </row>
    <row r="244" spans="1:9" x14ac:dyDescent="0.35">
      <c r="A244" s="497"/>
      <c r="B244" s="152">
        <f t="shared" si="146"/>
        <v>45323</v>
      </c>
      <c r="C244" s="152">
        <f t="shared" si="147"/>
        <v>45351</v>
      </c>
      <c r="D244" s="260">
        <f t="shared" si="116"/>
        <v>30</v>
      </c>
      <c r="E244" s="81" t="s">
        <v>97</v>
      </c>
      <c r="F244" s="258">
        <f>IF(AND(B244&gt;=$E$1,EOMONTH(C244,0)&lt;=EOMONTH($E$2,0)),((VLOOKUP(YEAR(C244),'DIF MES'!A$2:E$38,5)*D244)/30),0)</f>
        <v>0</v>
      </c>
      <c r="G244" s="263">
        <f t="shared" si="121"/>
        <v>0</v>
      </c>
    </row>
    <row r="245" spans="1:9" x14ac:dyDescent="0.35">
      <c r="A245" s="497"/>
      <c r="B245" s="152">
        <f t="shared" si="146"/>
        <v>45352</v>
      </c>
      <c r="C245" s="152">
        <f t="shared" si="147"/>
        <v>45382</v>
      </c>
      <c r="D245" s="260">
        <f t="shared" si="116"/>
        <v>30</v>
      </c>
      <c r="E245" s="81" t="s">
        <v>98</v>
      </c>
      <c r="F245" s="258">
        <f>IF(AND(B245&gt;=$E$1,EOMONTH(C245,0)&lt;=EOMONTH($E$2,0)),((VLOOKUP(YEAR(C245),'DIF MES'!A$2:E$38,5)*D245)/30),0)</f>
        <v>0</v>
      </c>
      <c r="G245" s="263">
        <f t="shared" si="121"/>
        <v>0</v>
      </c>
    </row>
    <row r="246" spans="1:9" x14ac:dyDescent="0.35">
      <c r="A246" s="497"/>
      <c r="B246" s="152">
        <f t="shared" si="146"/>
        <v>45383</v>
      </c>
      <c r="C246" s="152">
        <f t="shared" si="147"/>
        <v>45412</v>
      </c>
      <c r="D246" s="260">
        <f t="shared" si="116"/>
        <v>30</v>
      </c>
      <c r="E246" s="81" t="s">
        <v>99</v>
      </c>
      <c r="F246" s="258">
        <f>IF(AND(B246&gt;=$E$1,EOMONTH(C246,0)&lt;=EOMONTH($E$2,0)),((VLOOKUP(YEAR(C246),'DIF MES'!A$2:E$38,5)*D246)/30),0)</f>
        <v>0</v>
      </c>
      <c r="G246" s="263">
        <f t="shared" si="121"/>
        <v>0</v>
      </c>
    </row>
    <row r="247" spans="1:9" x14ac:dyDescent="0.35">
      <c r="A247" s="497"/>
      <c r="B247" s="152">
        <f t="shared" si="146"/>
        <v>45413</v>
      </c>
      <c r="C247" s="152">
        <f t="shared" si="147"/>
        <v>45443</v>
      </c>
      <c r="D247" s="260">
        <f t="shared" si="116"/>
        <v>30</v>
      </c>
      <c r="E247" s="81" t="s">
        <v>100</v>
      </c>
      <c r="F247" s="258">
        <f>IF(AND(B247&gt;=$E$1,EOMONTH(C247,0)&lt;=EOMONTH($E$2,0)),((VLOOKUP(YEAR(C247),'DIF MES'!A$2:E$38,5)*D247)/30),0)</f>
        <v>0</v>
      </c>
      <c r="G247" s="263">
        <f t="shared" si="121"/>
        <v>0</v>
      </c>
    </row>
    <row r="248" spans="1:9" x14ac:dyDescent="0.35">
      <c r="A248" s="497"/>
      <c r="B248" s="156">
        <f t="shared" ref="B248" si="148">B249</f>
        <v>45444</v>
      </c>
      <c r="C248" s="156">
        <f t="shared" ref="C248" si="149">C249</f>
        <v>45473</v>
      </c>
      <c r="D248" s="260">
        <f t="shared" si="116"/>
        <v>30</v>
      </c>
      <c r="E248" s="261" t="s">
        <v>101</v>
      </c>
      <c r="F248" s="258">
        <f>IF(AND(B248&gt;=$E$1,EOMONTH(C248,0)&lt;=EOMONTH($E$2,0)),((VLOOKUP(YEAR(C248),'DIF MES'!A$2:E$38,5)*D248)/30),0)</f>
        <v>0</v>
      </c>
      <c r="G248" s="261">
        <f>IF(E248="adicional",F248,F248-((F248*12)/100))</f>
        <v>0</v>
      </c>
    </row>
    <row r="249" spans="1:9" x14ac:dyDescent="0.35">
      <c r="A249" s="497"/>
      <c r="B249" s="152">
        <f t="shared" ref="B249" si="150">IF(
AND(YEAR(C247)=YEAR(DATE(YEAR($E$1),MONTH($E$1)-1,1)),
MONTH(C247)=MONTH(DATE(YEAR($E$1),MONTH($E$1)-1,1))),
$E$1,
DATE(YEAR(C247),MONTH(C247)+1,1))</f>
        <v>45444</v>
      </c>
      <c r="C249" s="152">
        <f t="shared" ref="C249" si="151">IF(
AND(
YEAR(C247)=YEAR(DATE(YEAR($E$2),MONTH($E$2)-1,1)),
MONTH(C247)=MONTH(DATE(YEAR($E$2),MONTH($E$2)-1,1))
),
$E$2,
EOMONTH(C247,1)
)</f>
        <v>45473</v>
      </c>
      <c r="D249" s="260">
        <f t="shared" si="116"/>
        <v>30</v>
      </c>
      <c r="E249" s="81" t="s">
        <v>102</v>
      </c>
      <c r="F249" s="258">
        <f>IF(AND(B249&gt;=$E$1,EOMONTH(C249,0)&lt;=EOMONTH($E$2,0)),((VLOOKUP(YEAR(C249),'DIF MES'!A$2:E$38,5)*D249)/30),0)</f>
        <v>0</v>
      </c>
      <c r="G249" s="263">
        <f>IF(E249="adicional",F249,F249-((F249*12)/100))</f>
        <v>0</v>
      </c>
    </row>
    <row r="250" spans="1:9" x14ac:dyDescent="0.35">
      <c r="A250" s="497"/>
      <c r="B250" s="152">
        <f t="shared" ref="B250:B268" si="152">IF(
AND(YEAR(C249)=YEAR(DATE(YEAR($E$1),MONTH($E$1)-1,1)),
MONTH(C249)=MONTH(DATE(YEAR($E$1),MONTH($E$1)-1,1))),
$E$1,
DATE(YEAR(C249),MONTH(C249)+1,1))</f>
        <v>45474</v>
      </c>
      <c r="C250" s="152">
        <f t="shared" ref="C250:C268" si="153">IF(
AND(
YEAR(C249)=YEAR(DATE(YEAR($E$2),MONTH($E$2)-1,1)),
MONTH(C249)=MONTH(DATE(YEAR($E$2),MONTH($E$2)-1,1))
),
$E$2,
EOMONTH(C249,1)
)</f>
        <v>45504</v>
      </c>
      <c r="D250" s="260">
        <f t="shared" si="116"/>
        <v>30</v>
      </c>
      <c r="E250" s="81" t="s">
        <v>103</v>
      </c>
      <c r="F250" s="258">
        <f>IF(AND(B250&gt;=$E$1,EOMONTH(C250,0)&lt;=EOMONTH($E$2,0)),((VLOOKUP(YEAR(C250),'DIF MES'!A$2:E$38,5)*D250)/30),0)</f>
        <v>0</v>
      </c>
      <c r="G250" s="263">
        <f t="shared" si="121"/>
        <v>0</v>
      </c>
    </row>
    <row r="251" spans="1:9" x14ac:dyDescent="0.35">
      <c r="A251" s="497"/>
      <c r="B251" s="152">
        <f t="shared" si="152"/>
        <v>45505</v>
      </c>
      <c r="C251" s="152">
        <f t="shared" si="153"/>
        <v>45535</v>
      </c>
      <c r="D251" s="260">
        <f t="shared" si="116"/>
        <v>30</v>
      </c>
      <c r="E251" s="81" t="s">
        <v>104</v>
      </c>
      <c r="F251" s="258">
        <f>IF(AND(B251&gt;=$E$1,EOMONTH(C251,0)&lt;=EOMONTH($E$2,0)),((VLOOKUP(YEAR(C251),'DIF MES'!A$2:E$38,5)*D251)/30),0)</f>
        <v>0</v>
      </c>
      <c r="G251" s="263">
        <f t="shared" si="121"/>
        <v>0</v>
      </c>
    </row>
    <row r="252" spans="1:9" x14ac:dyDescent="0.35">
      <c r="A252" s="497"/>
      <c r="B252" s="152">
        <f t="shared" si="152"/>
        <v>45536</v>
      </c>
      <c r="C252" s="152">
        <f t="shared" si="153"/>
        <v>45565</v>
      </c>
      <c r="D252" s="260">
        <f t="shared" si="116"/>
        <v>30</v>
      </c>
      <c r="E252" s="81" t="s">
        <v>105</v>
      </c>
      <c r="F252" s="258">
        <f>IF(AND(B252&gt;=$E$1,EOMONTH(C252,0)&lt;=EOMONTH($E$2,0)),((VLOOKUP(YEAR(C252),'DIF MES'!A$2:E$38,5)*D252)/30),0)</f>
        <v>0</v>
      </c>
      <c r="G252" s="263">
        <f t="shared" si="121"/>
        <v>0</v>
      </c>
    </row>
    <row r="253" spans="1:9" x14ac:dyDescent="0.35">
      <c r="A253" s="497"/>
      <c r="B253" s="152">
        <f t="shared" si="152"/>
        <v>45566</v>
      </c>
      <c r="C253" s="152">
        <f t="shared" si="153"/>
        <v>45596</v>
      </c>
      <c r="D253" s="260">
        <f t="shared" si="116"/>
        <v>30</v>
      </c>
      <c r="E253" s="81" t="s">
        <v>106</v>
      </c>
      <c r="F253" s="258">
        <f>IF(AND(B253&gt;=$E$1,EOMONTH(C253,0)&lt;=EOMONTH($E$2,0)),((VLOOKUP(YEAR(C253),'DIF MES'!A$2:E$38,5)*D253)/30),0)</f>
        <v>0</v>
      </c>
      <c r="G253" s="263">
        <f t="shared" si="121"/>
        <v>0</v>
      </c>
    </row>
    <row r="254" spans="1:9" x14ac:dyDescent="0.35">
      <c r="A254" s="497"/>
      <c r="B254" s="152">
        <f t="shared" si="152"/>
        <v>45597</v>
      </c>
      <c r="C254" s="152">
        <f t="shared" si="153"/>
        <v>45626</v>
      </c>
      <c r="D254" s="260">
        <f t="shared" si="116"/>
        <v>30</v>
      </c>
      <c r="E254" s="81" t="s">
        <v>107</v>
      </c>
      <c r="F254" s="258">
        <f>IF(AND(B254&gt;=$E$1,EOMONTH(C254,0)&lt;=EOMONTH($E$2,0)),((VLOOKUP(YEAR(C254),'DIF MES'!A$2:E$38,5)*D254)/30),0)</f>
        <v>0</v>
      </c>
      <c r="G254" s="263">
        <f t="shared" si="121"/>
        <v>0</v>
      </c>
    </row>
    <row r="255" spans="1:9" x14ac:dyDescent="0.35">
      <c r="A255" s="497"/>
      <c r="B255" s="156">
        <f t="shared" ref="B255" si="154">B254</f>
        <v>45597</v>
      </c>
      <c r="C255" s="156">
        <f t="shared" ref="C255" si="155">C254</f>
        <v>45626</v>
      </c>
      <c r="D255" s="260">
        <f t="shared" si="116"/>
        <v>30</v>
      </c>
      <c r="E255" s="261" t="s">
        <v>101</v>
      </c>
      <c r="F255" s="258">
        <f>IF(AND(B255&gt;=$E$1,EOMONTH(C255,0)&lt;=EOMONTH($E$2,0)),((VLOOKUP(YEAR(C255),'DIF MES'!A$2:E$38,5)*D255)/30),0)</f>
        <v>0</v>
      </c>
      <c r="G255" s="261">
        <f t="shared" si="121"/>
        <v>0</v>
      </c>
    </row>
    <row r="256" spans="1:9" x14ac:dyDescent="0.35">
      <c r="A256" s="497"/>
      <c r="B256" s="152">
        <f t="shared" ref="B256" si="156">IF(
AND(YEAR(C254)=YEAR(DATE(YEAR($E$1),MONTH($E$1)-1,1)),
MONTH(C254)=MONTH(DATE(YEAR($E$1),MONTH($E$1)-1,1))),
$E$1,
DATE(YEAR(C254),MONTH(C254)+1,1))</f>
        <v>45627</v>
      </c>
      <c r="C256" s="152">
        <f t="shared" ref="C256" si="157">IF(
AND(
YEAR(C254)=YEAR(DATE(YEAR($E$2),MONTH($E$2)-1,1)),
MONTH(C254)=MONTH(DATE(YEAR($E$2),MONTH($E$2)-1,1))
),
$E$2,
EOMONTH(C254,1)
)</f>
        <v>45657</v>
      </c>
      <c r="D256" s="260">
        <f t="shared" si="116"/>
        <v>30</v>
      </c>
      <c r="E256" s="81" t="s">
        <v>108</v>
      </c>
      <c r="F256" s="258">
        <f>IF(AND(B256&gt;=$E$1,EOMONTH(C256,0)&lt;=EOMONTH($E$2,0)),((VLOOKUP(YEAR(C256),'DIF MES'!A$2:E$38,5)*D256)/30),0)</f>
        <v>0</v>
      </c>
      <c r="G256" s="263">
        <f t="shared" si="121"/>
        <v>0</v>
      </c>
    </row>
    <row r="257" spans="1:7" x14ac:dyDescent="0.35">
      <c r="A257" s="500">
        <v>2025</v>
      </c>
      <c r="B257" s="152">
        <f t="shared" si="146"/>
        <v>45658</v>
      </c>
      <c r="C257" s="152">
        <f t="shared" si="147"/>
        <v>45688</v>
      </c>
      <c r="D257" s="260">
        <f t="shared" si="116"/>
        <v>30</v>
      </c>
      <c r="E257" s="81" t="s">
        <v>96</v>
      </c>
      <c r="F257" s="258">
        <f>IF(AND(B257&gt;=$E$1,EOMONTH(C257,0)&lt;=EOMONTH($E$2,0)),((VLOOKUP(YEAR(C257),'DIF MES'!A$2:E$38,5)*D257)/30),0)</f>
        <v>0</v>
      </c>
      <c r="G257" s="263">
        <f t="shared" si="121"/>
        <v>0</v>
      </c>
    </row>
    <row r="258" spans="1:7" x14ac:dyDescent="0.35">
      <c r="A258" s="501"/>
      <c r="B258" s="152">
        <f t="shared" si="146"/>
        <v>45689</v>
      </c>
      <c r="C258" s="152">
        <f t="shared" si="147"/>
        <v>45716</v>
      </c>
      <c r="D258" s="260">
        <f t="shared" si="116"/>
        <v>30</v>
      </c>
      <c r="E258" s="81" t="s">
        <v>97</v>
      </c>
      <c r="F258" s="258">
        <f>IF(AND(B258&gt;=$E$1,EOMONTH(C258,0)&lt;=EOMONTH($E$2,0)),((VLOOKUP(YEAR(C258),'DIF MES'!A$2:E$38,5)*D258)/30),0)</f>
        <v>0</v>
      </c>
      <c r="G258" s="263">
        <f t="shared" si="121"/>
        <v>0</v>
      </c>
    </row>
    <row r="259" spans="1:7" x14ac:dyDescent="0.35">
      <c r="A259" s="501"/>
      <c r="B259" s="152">
        <f t="shared" si="146"/>
        <v>45717</v>
      </c>
      <c r="C259" s="152">
        <f t="shared" si="147"/>
        <v>45747</v>
      </c>
      <c r="D259" s="260">
        <f t="shared" si="116"/>
        <v>30</v>
      </c>
      <c r="E259" s="81" t="s">
        <v>98</v>
      </c>
      <c r="F259" s="258">
        <f>IF(AND(B259&gt;=$E$1,EOMONTH(C259,0)&lt;=EOMONTH($E$2,0)),((VLOOKUP(YEAR(C259),'DIF MES'!A$2:E$38,5)*D259)/30),0)</f>
        <v>0</v>
      </c>
      <c r="G259" s="263">
        <f t="shared" si="121"/>
        <v>0</v>
      </c>
    </row>
    <row r="260" spans="1:7" x14ac:dyDescent="0.35">
      <c r="A260" s="501"/>
      <c r="B260" s="152">
        <f t="shared" si="146"/>
        <v>45748</v>
      </c>
      <c r="C260" s="152">
        <f t="shared" si="147"/>
        <v>45777</v>
      </c>
      <c r="D260" s="260">
        <f t="shared" si="116"/>
        <v>30</v>
      </c>
      <c r="E260" s="81" t="s">
        <v>99</v>
      </c>
      <c r="F260" s="258">
        <f>IF(AND(B260&gt;=$E$1,EOMONTH(C260,0)&lt;=EOMONTH($E$2,0)),((VLOOKUP(YEAR(C260),'DIF MES'!A$2:E$38,5)*D260)/30),0)</f>
        <v>0</v>
      </c>
      <c r="G260" s="263">
        <f t="shared" si="121"/>
        <v>0</v>
      </c>
    </row>
    <row r="261" spans="1:7" x14ac:dyDescent="0.35">
      <c r="A261" s="501"/>
      <c r="B261" s="152">
        <f t="shared" si="146"/>
        <v>45778</v>
      </c>
      <c r="C261" s="152">
        <f t="shared" si="147"/>
        <v>45808</v>
      </c>
      <c r="D261" s="260">
        <f t="shared" si="116"/>
        <v>30</v>
      </c>
      <c r="E261" s="81" t="s">
        <v>100</v>
      </c>
      <c r="F261" s="258">
        <f>IF(AND(B261&gt;=$E$1,EOMONTH(C261,0)&lt;=EOMONTH($E$2,0)),((VLOOKUP(YEAR(C261),'DIF MES'!A$2:E$38,5)*D261)/30),0)</f>
        <v>0</v>
      </c>
      <c r="G261" s="263">
        <f t="shared" si="121"/>
        <v>0</v>
      </c>
    </row>
    <row r="262" spans="1:7" x14ac:dyDescent="0.35">
      <c r="A262" s="501"/>
      <c r="B262" s="156">
        <f t="shared" ref="B262" si="158">B263</f>
        <v>45809</v>
      </c>
      <c r="C262" s="156">
        <f t="shared" ref="C262" si="159">C263</f>
        <v>45838</v>
      </c>
      <c r="D262" s="260">
        <f t="shared" ref="D262:D270" si="160">DAYS360(B262,C262+1)</f>
        <v>30</v>
      </c>
      <c r="E262" s="261" t="s">
        <v>101</v>
      </c>
      <c r="F262" s="258">
        <f>IF(AND(B262&gt;=$E$1,EOMONTH(C262,0)&lt;=EOMONTH($E$2,0)),((VLOOKUP(YEAR(C262),'DIF MES'!A$2:E$38,5)*D262)/30),0)</f>
        <v>0</v>
      </c>
      <c r="G262" s="261">
        <f>IF(E262="adicional",F262,F262-((F262*12)/100))</f>
        <v>0</v>
      </c>
    </row>
    <row r="263" spans="1:7" x14ac:dyDescent="0.35">
      <c r="A263" s="501"/>
      <c r="B263" s="152">
        <f t="shared" ref="B263" si="161">IF(
AND(YEAR(C261)=YEAR(DATE(YEAR($E$1),MONTH($E$1)-1,1)),
MONTH(C261)=MONTH(DATE(YEAR($E$1),MONTH($E$1)-1,1))),
$E$1,
DATE(YEAR(C261),MONTH(C261)+1,1))</f>
        <v>45809</v>
      </c>
      <c r="C263" s="152">
        <f t="shared" ref="C263" si="162">IF(
AND(
YEAR(C261)=YEAR(DATE(YEAR($E$2),MONTH($E$2)-1,1)),
MONTH(C261)=MONTH(DATE(YEAR($E$2),MONTH($E$2)-1,1))
),
$E$2,
EOMONTH(C261,1)
)</f>
        <v>45838</v>
      </c>
      <c r="D263" s="260">
        <f t="shared" si="160"/>
        <v>30</v>
      </c>
      <c r="E263" s="81" t="s">
        <v>102</v>
      </c>
      <c r="F263" s="258">
        <f>IF(AND(B263&gt;=$E$1,EOMONTH(C263,0)&lt;=EOMONTH($E$2,0)),((VLOOKUP(YEAR(C263),'DIF MES'!A$2:E$38,5)*D263)/30),0)</f>
        <v>0</v>
      </c>
      <c r="G263" s="263">
        <f>IF(E263="adicional",F263,F263-((F263*12)/100))</f>
        <v>0</v>
      </c>
    </row>
    <row r="264" spans="1:7" x14ac:dyDescent="0.35">
      <c r="A264" s="501"/>
      <c r="B264" s="152">
        <f t="shared" si="152"/>
        <v>45839</v>
      </c>
      <c r="C264" s="152">
        <f t="shared" si="153"/>
        <v>45869</v>
      </c>
      <c r="D264" s="260">
        <f t="shared" si="160"/>
        <v>30</v>
      </c>
      <c r="E264" s="81" t="s">
        <v>103</v>
      </c>
      <c r="F264" s="258">
        <f>IF(AND(B264&gt;=$E$1,EOMONTH(C264,0)&lt;=EOMONTH($E$2,0)),((VLOOKUP(YEAR(C264),'DIF MES'!A$2:E$38,5)*D264)/30),0)</f>
        <v>0</v>
      </c>
      <c r="G264" s="263">
        <f t="shared" si="121"/>
        <v>0</v>
      </c>
    </row>
    <row r="265" spans="1:7" x14ac:dyDescent="0.35">
      <c r="A265" s="501"/>
      <c r="B265" s="152">
        <f t="shared" si="152"/>
        <v>45870</v>
      </c>
      <c r="C265" s="152">
        <f t="shared" si="153"/>
        <v>45900</v>
      </c>
      <c r="D265" s="260">
        <f t="shared" si="160"/>
        <v>30</v>
      </c>
      <c r="E265" s="81" t="s">
        <v>104</v>
      </c>
      <c r="F265" s="258">
        <f>IF(AND(B265&gt;=$E$1,EOMONTH(C265,0)&lt;=EOMONTH($E$2,0)),((VLOOKUP(YEAR(C265),'DIF MES'!A$2:E$38,5)*D265)/30),0)</f>
        <v>0</v>
      </c>
      <c r="G265" s="263">
        <f t="shared" si="121"/>
        <v>0</v>
      </c>
    </row>
    <row r="266" spans="1:7" x14ac:dyDescent="0.35">
      <c r="A266" s="501"/>
      <c r="B266" s="152">
        <f t="shared" si="152"/>
        <v>45901</v>
      </c>
      <c r="C266" s="152">
        <f t="shared" si="153"/>
        <v>45930</v>
      </c>
      <c r="D266" s="260">
        <f t="shared" si="160"/>
        <v>30</v>
      </c>
      <c r="E266" s="81" t="s">
        <v>105</v>
      </c>
      <c r="F266" s="258">
        <f>IF(AND(B266&gt;=$E$1,EOMONTH(C266,0)&lt;=EOMONTH($E$2,0)),((VLOOKUP(YEAR(C266),'DIF MES'!A$2:E$38,5)*D266)/30),0)</f>
        <v>0</v>
      </c>
      <c r="G266" s="263">
        <f>IF(E266="adicional",F266,F266-((F266*12)/100))</f>
        <v>0</v>
      </c>
    </row>
    <row r="267" spans="1:7" x14ac:dyDescent="0.35">
      <c r="A267" s="501"/>
      <c r="B267" s="152">
        <f t="shared" si="152"/>
        <v>45931</v>
      </c>
      <c r="C267" s="152">
        <f t="shared" si="153"/>
        <v>45961</v>
      </c>
      <c r="D267" s="260">
        <f t="shared" si="160"/>
        <v>30</v>
      </c>
      <c r="E267" s="81" t="s">
        <v>106</v>
      </c>
      <c r="F267" s="258">
        <f>IF(AND(B267&gt;=$E$1,EOMONTH(C267,0)&lt;=EOMONTH($E$2,0)),((VLOOKUP(YEAR(C267),'DIF MES'!A$2:E$38,5)*D267)/30),0)</f>
        <v>0</v>
      </c>
      <c r="G267" s="263">
        <f>IF(E267="adicional",F267,F267-((F267*12)/100))</f>
        <v>0</v>
      </c>
    </row>
    <row r="268" spans="1:7" x14ac:dyDescent="0.35">
      <c r="A268" s="501"/>
      <c r="B268" s="152">
        <f t="shared" si="152"/>
        <v>45962</v>
      </c>
      <c r="C268" s="152">
        <f t="shared" si="153"/>
        <v>45991</v>
      </c>
      <c r="D268" s="260">
        <f t="shared" si="160"/>
        <v>30</v>
      </c>
      <c r="E268" s="81" t="s">
        <v>107</v>
      </c>
      <c r="F268" s="258">
        <f>IF(AND(B268&gt;=$E$1,EOMONTH(C268,0)&lt;=EOMONTH($E$2,0)),((VLOOKUP(YEAR(C268),'DIF MES'!A$2:E$38,5)*D268)/30),0)</f>
        <v>0</v>
      </c>
      <c r="G268" s="263">
        <f>IF(E268="adicional",F268,F268-((F268*12)/100))</f>
        <v>0</v>
      </c>
    </row>
    <row r="269" spans="1:7" x14ac:dyDescent="0.35">
      <c r="A269" s="501"/>
      <c r="B269" s="156">
        <f t="shared" ref="B269" si="163">B268</f>
        <v>45962</v>
      </c>
      <c r="C269" s="156">
        <f t="shared" ref="C269" si="164">C268</f>
        <v>45991</v>
      </c>
      <c r="D269" s="260">
        <f t="shared" si="160"/>
        <v>30</v>
      </c>
      <c r="E269" s="261" t="s">
        <v>101</v>
      </c>
      <c r="F269" s="258">
        <f>IF(AND(B269&gt;=$E$1,EOMONTH(C269,0)&lt;=EOMONTH($E$2,0)),((VLOOKUP(YEAR(C269),'DIF MES'!A$2:E$38,5)*D269)/30),0)</f>
        <v>0</v>
      </c>
      <c r="G269" s="261">
        <f>IF(E269="adicional",F269,F269-((F269*12)/100))</f>
        <v>0</v>
      </c>
    </row>
    <row r="270" spans="1:7" x14ac:dyDescent="0.35">
      <c r="A270" s="501"/>
      <c r="B270" s="152">
        <f t="shared" ref="B270" si="165">IF(
AND(YEAR(C268)=YEAR(DATE(YEAR($E$1),MONTH($E$1)-1,1)),
MONTH(C268)=MONTH(DATE(YEAR($E$1),MONTH($E$1)-1,1))),
$E$1,
DATE(YEAR(C268),MONTH(C268)+1,1))</f>
        <v>45992</v>
      </c>
      <c r="C270" s="152">
        <f t="shared" ref="C270" si="166">IF(
AND(
YEAR(C268)=YEAR(DATE(YEAR($E$2),MONTH($E$2)-1,1)),
MONTH(C268)=MONTH(DATE(YEAR($E$2),MONTH($E$2)-1,1))
),
$E$2,
EOMONTH(C268,1)
)</f>
        <v>46022</v>
      </c>
      <c r="D270" s="260">
        <f t="shared" si="160"/>
        <v>30</v>
      </c>
      <c r="E270" s="81" t="s">
        <v>108</v>
      </c>
      <c r="F270" s="258">
        <f>IF(AND(B270&gt;=$E$1,EOMONTH(C270,0)&lt;=EOMONTH($E$2,0)),((VLOOKUP(YEAR(C270),'DIF MES'!A$2:E$38,5)*D270)/30),0)</f>
        <v>0</v>
      </c>
      <c r="G270" s="263">
        <f>IF(E270="adicional",F270,F270-((F270*12)/100))</f>
        <v>0</v>
      </c>
    </row>
    <row r="271" spans="1:7" x14ac:dyDescent="0.35">
      <c r="A271" s="264"/>
      <c r="B271" s="264"/>
      <c r="C271" s="264"/>
      <c r="D271" s="264"/>
      <c r="E271" s="264"/>
      <c r="F271" s="264"/>
      <c r="G271" s="264"/>
    </row>
    <row r="272" spans="1:7" x14ac:dyDescent="0.35">
      <c r="A272" s="491" t="s">
        <v>109</v>
      </c>
      <c r="B272" s="492"/>
      <c r="C272" s="492"/>
      <c r="D272" s="492"/>
      <c r="E272" s="492"/>
      <c r="F272" s="493"/>
      <c r="G272" s="265">
        <f>SUM(F4:F271)</f>
        <v>69073191.698261216</v>
      </c>
    </row>
    <row r="273" spans="1:7" x14ac:dyDescent="0.35">
      <c r="A273" s="494" t="s">
        <v>153</v>
      </c>
      <c r="B273" s="495"/>
      <c r="C273" s="495"/>
      <c r="D273" s="495"/>
      <c r="E273" s="495"/>
      <c r="F273" s="496"/>
      <c r="G273" s="208">
        <f>SUM(G4:G271)</f>
        <v>62015922.825139135</v>
      </c>
    </row>
  </sheetData>
  <mergeCells count="23">
    <mergeCell ref="A1:C1"/>
    <mergeCell ref="A2:C2"/>
    <mergeCell ref="A47:A60"/>
    <mergeCell ref="A145:A158"/>
    <mergeCell ref="A5:A18"/>
    <mergeCell ref="A19:A32"/>
    <mergeCell ref="A33:A46"/>
    <mergeCell ref="A272:F272"/>
    <mergeCell ref="A273:F273"/>
    <mergeCell ref="A61:A74"/>
    <mergeCell ref="A75:A88"/>
    <mergeCell ref="A89:A102"/>
    <mergeCell ref="A103:A116"/>
    <mergeCell ref="A117:A130"/>
    <mergeCell ref="A131:A144"/>
    <mergeCell ref="A159:A172"/>
    <mergeCell ref="A173:A186"/>
    <mergeCell ref="A201:A214"/>
    <mergeCell ref="A215:A228"/>
    <mergeCell ref="A229:A242"/>
    <mergeCell ref="A243:A256"/>
    <mergeCell ref="A187:A200"/>
    <mergeCell ref="A257:A27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56"/>
  <sheetViews>
    <sheetView zoomScale="97" zoomScaleNormal="140" workbookViewId="0">
      <pane ySplit="5" topLeftCell="A92" activePane="bottomLeft" state="frozen"/>
      <selection activeCell="L46" sqref="L46"/>
      <selection pane="bottomLeft" activeCell="J104" sqref="J104"/>
    </sheetView>
  </sheetViews>
  <sheetFormatPr baseColWidth="10" defaultColWidth="11.54296875" defaultRowHeight="14.5" x14ac:dyDescent="0.35"/>
  <cols>
    <col min="1" max="1" width="7.54296875" style="77" bestFit="1" customWidth="1"/>
    <col min="2" max="2" width="14.453125" style="77" customWidth="1"/>
    <col min="3" max="3" width="5.1796875" style="77" bestFit="1" customWidth="1"/>
    <col min="4" max="4" width="9.54296875" style="77" bestFit="1" customWidth="1"/>
    <col min="5" max="6" width="10.81640625" style="284" customWidth="1"/>
    <col min="7" max="7" width="11.81640625" style="210" bestFit="1" customWidth="1"/>
    <col min="8" max="8" width="11.7265625" style="77" bestFit="1" customWidth="1"/>
    <col min="9" max="9" width="7.453125" style="77" customWidth="1"/>
    <col min="10" max="10" width="10.81640625" style="77" customWidth="1"/>
    <col min="11" max="11" width="11.54296875" style="74"/>
    <col min="13" max="13" width="16.54296875" customWidth="1"/>
  </cols>
  <sheetData>
    <row r="1" spans="1:11" x14ac:dyDescent="0.35">
      <c r="A1" s="477" t="s">
        <v>116</v>
      </c>
      <c r="B1" s="477"/>
      <c r="C1" s="477"/>
      <c r="D1" s="92">
        <f>SABANA!C14 +DAY(1)</f>
        <v>44120</v>
      </c>
      <c r="E1" s="77"/>
      <c r="F1" s="77"/>
      <c r="G1" s="77"/>
      <c r="H1" s="210"/>
      <c r="K1" s="269"/>
    </row>
    <row r="2" spans="1:11" x14ac:dyDescent="0.35">
      <c r="A2" s="477" t="s">
        <v>117</v>
      </c>
      <c r="B2" s="477"/>
      <c r="C2" s="477"/>
      <c r="D2" s="92">
        <f>EDATE(D1,10)-DAY(1)</f>
        <v>44423</v>
      </c>
      <c r="E2" s="77" t="s">
        <v>118</v>
      </c>
      <c r="F2" s="77"/>
      <c r="G2" s="77"/>
      <c r="H2" s="210"/>
      <c r="K2" s="269"/>
    </row>
    <row r="3" spans="1:11" x14ac:dyDescent="0.35">
      <c r="A3" s="477" t="s">
        <v>119</v>
      </c>
      <c r="B3" s="477"/>
      <c r="C3" s="477"/>
      <c r="D3" s="92">
        <f>IF(ISBLANK(SABANA!C25 ),"",SABANA!C25 )</f>
        <v>44301</v>
      </c>
      <c r="E3" s="77"/>
      <c r="F3" s="77"/>
      <c r="G3" s="77"/>
      <c r="H3" s="210"/>
      <c r="K3" s="77"/>
    </row>
    <row r="4" spans="1:11" x14ac:dyDescent="0.35">
      <c r="A4" s="513" t="s">
        <v>143</v>
      </c>
      <c r="B4" s="513"/>
      <c r="C4" s="513"/>
      <c r="D4" s="92">
        <f>IF(ISBLANK(SABANA!D25),"",SABANA!D25)</f>
        <v>44392</v>
      </c>
      <c r="E4" s="77"/>
      <c r="F4" s="77"/>
      <c r="G4" s="77"/>
      <c r="H4" s="210"/>
      <c r="K4" s="77"/>
    </row>
    <row r="5" spans="1:11" s="1" customFormat="1" ht="30" x14ac:dyDescent="0.35">
      <c r="A5" s="145" t="s">
        <v>85</v>
      </c>
      <c r="B5" s="145" t="s">
        <v>86</v>
      </c>
      <c r="C5" s="145" t="s">
        <v>66</v>
      </c>
      <c r="D5" s="145" t="s">
        <v>87</v>
      </c>
      <c r="E5" s="270" t="s">
        <v>154</v>
      </c>
      <c r="F5" s="270" t="s">
        <v>89</v>
      </c>
      <c r="G5" s="145" t="s">
        <v>121</v>
      </c>
      <c r="H5" s="145" t="s">
        <v>122</v>
      </c>
      <c r="I5" s="145" t="s">
        <v>155</v>
      </c>
      <c r="J5" s="145" t="s">
        <v>124</v>
      </c>
      <c r="K5" s="107"/>
    </row>
    <row r="6" spans="1:11" x14ac:dyDescent="0.35">
      <c r="A6" s="152">
        <f>IF(
     AND(
       YEAR(B6)=YEAR(DATE(YEAR($D$1), MONTH($D$1), 1)),
       MONTH(B6)=MONTH(DATE(YEAR($D$1), MONTH($D$1), 1))
     ),
     $D$1,
IF(
     $D$4="",
     DATE(YEAR(B6), MONTH(B6), 1),
IF(
     AND(
       YEAR(B6)=YEAR(DATE(YEAR($D$4), MONTH($D$4), 1)),
       MONTH(B6)=MONTH(DATE(YEAR($D$4), MONTH($D$4), 1))
     ),
     $D$4,
DATE(YEAR(B6), MONTH(B6), 1))
))</f>
        <v>39083</v>
      </c>
      <c r="B6" s="152">
        <v>39113</v>
      </c>
      <c r="C6" s="437">
        <v>2007</v>
      </c>
      <c r="D6" s="149" t="s">
        <v>96</v>
      </c>
      <c r="E6" s="271">
        <f>'CAP POST'!G5</f>
        <v>0</v>
      </c>
      <c r="F6" s="271">
        <f>E6</f>
        <v>0</v>
      </c>
      <c r="G6" s="215">
        <v>6.8073784349999999E-2</v>
      </c>
      <c r="H6" s="272">
        <f>((1+G6)^(1/365)-1)</f>
        <v>1.8044593490729177E-4</v>
      </c>
      <c r="I6" s="273">
        <f>IF(OR(A6=SABANA!$C$14, D6="adicional"),0,_xlfn.DAYS(B6,A6)+1)</f>
        <v>31</v>
      </c>
      <c r="J6" s="271">
        <f>0</f>
        <v>0</v>
      </c>
    </row>
    <row r="7" spans="1:11" x14ac:dyDescent="0.35">
      <c r="A7" s="152">
        <f>IF(
    AND(
        YEAR(B6)=YEAR(DATE(YEAR($D$1), MONTH($D$1)-1, 1)),
        MONTH(B6)=MONTH(DATE(YEAR($D$1), MONTH($D$1)-1, 1))
    ),
    $D$1,
    IF(
        $D$4="",
        DATE(YEAR(B6), MONTH(B6)+1, 1),
        IF(
            AND(
                YEAR(B6)=YEAR(DATE(YEAR($D$4), MONTH($D$4)-1, 1)),
                MONTH(B6)=MONTH(DATE(YEAR($D$4), MONTH($D$4)-1, 1))
            ),
            $D$4,
            DATE(YEAR(B6), MONTH(B6)+1, 1)
        )
    )
)</f>
        <v>39114</v>
      </c>
      <c r="B7" s="152">
        <f>IF(
AND(
YEAR(B6)=YEAR(DATE(YEAR($D$2),MONTH($D$2)-1,1)),
MONTH(B6)=MONTH(DATE(YEAR($D$2),MONTH($D$2)-1,1))
),
$D$2,
IF(
$D$3="",
EOMONTH(B6,1),
IF(
AND(
YEAR(B6)=YEAR(DATE(YEAR($D$3),MONTH($D$3)-1,1)),
MONTH(B6)=MONTH(DATE(YEAR($D$3),MONTH($D$3)-1,1))
),
$D$3,
EOMONTH(B6,1)
)))</f>
        <v>39141</v>
      </c>
      <c r="C7" s="438"/>
      <c r="D7" s="149" t="s">
        <v>97</v>
      </c>
      <c r="E7" s="271">
        <f>'CAP POST'!G6</f>
        <v>0</v>
      </c>
      <c r="F7" s="271">
        <f>IF(AND(A7&gt;=$D$1,B7&lt;=$D$2),(F6+E7),0)</f>
        <v>0</v>
      </c>
      <c r="G7" s="215">
        <v>6.7990802860000005E-2</v>
      </c>
      <c r="H7" s="272">
        <f t="shared" ref="H7:H80" si="0">((1+G7)^(1/365)-1)</f>
        <v>1.8023303165604077E-4</v>
      </c>
      <c r="I7" s="273">
        <f>IF(OR(A7=SABANA!$C$14, D7="adicional"),0,_xlfn.DAYS(B7,A7)+1)</f>
        <v>28</v>
      </c>
      <c r="J7" s="271">
        <f>IF(AND(OR(A7&gt;=$D$4,B7&lt;=$D$3), AND(A6&gt;=$D$1,B6&lt;$D$2)),(F6*I7*H7),0)</f>
        <v>0</v>
      </c>
    </row>
    <row r="8" spans="1:11" x14ac:dyDescent="0.35">
      <c r="A8" s="152">
        <f>IF(
    AND(
        YEAR(B7)=YEAR(DATE(YEAR($D$1), MONTH($D$1)-1, 1)),
        MONTH(B7)=MONTH(DATE(YEAR($D$1), MONTH($D$1)-1, 1))
    ),
    $D$1,
    IF(
        $D$4="",
        DATE(YEAR(B7), MONTH(B7)+1, 1),
        IF(
            AND(
                YEAR(B7)=YEAR(DATE(YEAR($D$4), MONTH($D$4)-1, 1)),
                MONTH(B7)=MONTH(DATE(YEAR($D$4), MONTH($D$4)-1, 1))
            ),
            $D$4,
            DATE(YEAR(B7), MONTH(B7)+1, 1)
        )
    )
)</f>
        <v>39142</v>
      </c>
      <c r="B8" s="152">
        <f>IF(
AND(
YEAR(B7)=YEAR(DATE(YEAR($D$2),MONTH($D$2)-1,1)),
MONTH(B7)=MONTH(DATE(YEAR($D$2),MONTH($D$2)-1,1))
),
$D$2,
IF(
$D$3="",
EOMONTH(B7,1),
IF(
AND(
YEAR(B7)=YEAR(DATE(YEAR($D$3),MONTH($D$3)-1,1)),
MONTH(B7)=MONTH(DATE(YEAR($D$3),MONTH($D$3)-1,1))
),
$D$3,
EOMONTH(B7,1)
)))</f>
        <v>39172</v>
      </c>
      <c r="C8" s="438"/>
      <c r="D8" s="149" t="s">
        <v>98</v>
      </c>
      <c r="E8" s="271">
        <f>'CAP POST'!G7</f>
        <v>0</v>
      </c>
      <c r="F8" s="271">
        <f t="shared" ref="F8:F71" si="1">IF(AND(A8&gt;=$D$1,B8&lt;=$D$2),(F7+E8),0)</f>
        <v>0</v>
      </c>
      <c r="G8" s="215">
        <v>7.524708997E-2</v>
      </c>
      <c r="H8" s="272">
        <f t="shared" si="0"/>
        <v>1.9878821138252789E-4</v>
      </c>
      <c r="I8" s="273">
        <f>IF(OR(A8=SABANA!$C$14, D8="adicional"),0,_xlfn.DAYS(B8,A8)+1)</f>
        <v>31</v>
      </c>
      <c r="J8" s="271">
        <f t="shared" ref="J8:J71" si="2">IF(AND(OR(A8&gt;=$D$4,B8&lt;=$D$3), AND(A7&gt;=$D$1,B7&lt;$D$2)),(F7*I8*H8),0)</f>
        <v>0</v>
      </c>
    </row>
    <row r="9" spans="1:11" x14ac:dyDescent="0.35">
      <c r="A9" s="152">
        <f>IF(
    AND(
        YEAR(B8)=YEAR(DATE(YEAR($D$1), MONTH($D$1)-1, 1)),
        MONTH(B8)=MONTH(DATE(YEAR($D$1), MONTH($D$1)-1, 1))
    ),
    $D$1,
    IF(
        $D$4="",
        DATE(YEAR(B8), MONTH(B8)+1, 1),
        IF(
            AND(
                YEAR(B8)=YEAR(DATE(YEAR($D$4), MONTH($D$4)-1, 1)),
                MONTH(B8)=MONTH(DATE(YEAR($D$4), MONTH($D$4)-1, 1))
            ),
            $D$4,
            DATE(YEAR(B8), MONTH(B8)+1, 1)
        )
    )
)</f>
        <v>39173</v>
      </c>
      <c r="B9" s="152">
        <f>IF(
AND(
YEAR(B8)=YEAR(DATE(YEAR($D$2),MONTH($D$2)-1,1)),
MONTH(B8)=MONTH(DATE(YEAR($D$2),MONTH($D$2)-1,1))
),
$D$2,
IF(
$D$3="",
EOMONTH(B8,1),
IF(
AND(
YEAR(B8)=YEAR(DATE(YEAR($D$3),MONTH($D$3)-1,1)),
MONTH(B8)=MONTH(DATE(YEAR($D$3),MONTH($D$3)-1,1))
),
$D$3,
EOMONTH(B8,1)
)))</f>
        <v>39202</v>
      </c>
      <c r="C9" s="438"/>
      <c r="D9" s="149" t="s">
        <v>99</v>
      </c>
      <c r="E9" s="271">
        <f>'CAP POST'!G8</f>
        <v>0</v>
      </c>
      <c r="F9" s="271">
        <f t="shared" si="1"/>
        <v>0</v>
      </c>
      <c r="G9" s="215">
        <v>7.4474033869999998E-2</v>
      </c>
      <c r="H9" s="272">
        <f t="shared" si="0"/>
        <v>1.9681736881649314E-4</v>
      </c>
      <c r="I9" s="273">
        <f>IF(OR(A9=SABANA!$C$14, D9="adicional"),0,_xlfn.DAYS(B9,A9)+1)</f>
        <v>30</v>
      </c>
      <c r="J9" s="271">
        <f t="shared" si="2"/>
        <v>0</v>
      </c>
    </row>
    <row r="10" spans="1:11" x14ac:dyDescent="0.35">
      <c r="A10" s="152">
        <f>IF(
    AND(
        YEAR(B9)=YEAR(DATE(YEAR($D$1), MONTH($D$1)-1, 1)),
        MONTH(B9)=MONTH(DATE(YEAR($D$1), MONTH($D$1)-1, 1))
    ),
    $D$1,
    IF(
        $D$4="",
        DATE(YEAR(B9), MONTH(B9)+1, 1),
        IF(
            AND(
                YEAR(B9)=YEAR(DATE(YEAR($D$4), MONTH($D$4)-1, 1)),
                MONTH(B9)=MONTH(DATE(YEAR($D$4), MONTH($D$4)-1, 1))
            ),
            $D$4,
            DATE(YEAR(B9), MONTH(B9)+1, 1)
        )
    )
)</f>
        <v>39203</v>
      </c>
      <c r="B10" s="152">
        <f>IF(
AND(
YEAR(B9)=YEAR(DATE(YEAR($D$2),MONTH($D$2)-1,1)),
MONTH(B9)=MONTH(DATE(YEAR($D$2),MONTH($D$2)-1,1))
),
$D$2,
IF(
$D$3="",
EOMONTH(B9,1),
IF(
AND(
YEAR(B9)=YEAR(DATE(YEAR($D$3),MONTH($D$3)-1,1)),
MONTH(B9)=MONTH(DATE(YEAR($D$3),MONTH($D$3)-1,1))
),
$D$3,
EOMONTH(B9,1)
)))</f>
        <v>39233</v>
      </c>
      <c r="C10" s="438"/>
      <c r="D10" s="149" t="s">
        <v>100</v>
      </c>
      <c r="E10" s="271">
        <f>'CAP POST'!G9</f>
        <v>0</v>
      </c>
      <c r="F10" s="271">
        <f t="shared" si="1"/>
        <v>0</v>
      </c>
      <c r="G10" s="215">
        <v>7.6058611920000005E-2</v>
      </c>
      <c r="H10" s="272">
        <f t="shared" si="0"/>
        <v>2.0085559974614142E-4</v>
      </c>
      <c r="I10" s="273">
        <f>IF(OR(A10=SABANA!$C$14, D10="adicional"),0,_xlfn.DAYS(B10,A10)+1)</f>
        <v>31</v>
      </c>
      <c r="J10" s="271">
        <f t="shared" si="2"/>
        <v>0</v>
      </c>
    </row>
    <row r="11" spans="1:11" x14ac:dyDescent="0.35">
      <c r="A11" s="156">
        <f>A12</f>
        <v>39234</v>
      </c>
      <c r="B11" s="156">
        <f>B12</f>
        <v>39263</v>
      </c>
      <c r="C11" s="438"/>
      <c r="D11" s="157" t="s">
        <v>101</v>
      </c>
      <c r="E11" s="274">
        <f>'CAP POST'!G10</f>
        <v>0</v>
      </c>
      <c r="F11" s="271">
        <f t="shared" si="1"/>
        <v>0</v>
      </c>
      <c r="G11" s="275">
        <v>8.2934631250000002E-2</v>
      </c>
      <c r="H11" s="276"/>
      <c r="I11" s="273">
        <f>IF(OR(A11=SABANA!$C$14, D11="adicional"),0,_xlfn.DAYS(B11,A11)+1)</f>
        <v>0</v>
      </c>
      <c r="J11" s="271">
        <f t="shared" si="2"/>
        <v>0</v>
      </c>
    </row>
    <row r="12" spans="1:11" x14ac:dyDescent="0.35">
      <c r="A12" s="152">
        <f>IF(
    AND(
        YEAR(B10)=YEAR(DATE(YEAR($D$1), MONTH($D$1)-1, 1)),
        MONTH(B10)=MONTH(DATE(YEAR($D$1), MONTH($D$1)-1, 1))
    ),
    $D$1,
    IF(
        $D$4="",
        DATE(YEAR(B10), MONTH(B10)+1, 1),
        IF(
            AND(
                YEAR(B10)=YEAR(DATE(YEAR($D$4), MONTH($D$4)-1, 1)),
                MONTH(B10)=MONTH(DATE(YEAR($D$4), MONTH($D$4)-1, 1))
            ),
            $D$4,
            DATE(YEAR(B10), MONTH(B10)+1, 1)
        )
    )
)</f>
        <v>39234</v>
      </c>
      <c r="B12" s="152">
        <f>IF(
AND(
YEAR(B10)=YEAR(DATE(YEAR($D$2),MONTH($D$2)-1,1)),
MONTH(B10)=MONTH(DATE(YEAR($D$2),MONTH($D$2)-1,1))
),
$D$2,
IF(
$D$3="",
EOMONTH(B10,1),
IF(
AND(
YEAR(B10)=YEAR(DATE(YEAR($D$3),MONTH($D$3)-1,1)),
MONTH(B10)=MONTH(DATE(YEAR($D$3),MONTH($D$3)-1,1))
),
$D$3,
EOMONTH(B10,1)
)))</f>
        <v>39263</v>
      </c>
      <c r="C12" s="438"/>
      <c r="D12" s="149" t="s">
        <v>102</v>
      </c>
      <c r="E12" s="271">
        <f>'CAP POST'!G11</f>
        <v>0</v>
      </c>
      <c r="F12" s="271">
        <f t="shared" si="1"/>
        <v>0</v>
      </c>
      <c r="G12" s="215">
        <v>8.0197490819999995E-2</v>
      </c>
      <c r="H12" s="272">
        <f>((1+G12)^(1/365)-1)</f>
        <v>2.1137544976412848E-4</v>
      </c>
      <c r="I12" s="273">
        <f>IF(OR(A12=SABANA!$C$14, D12="adicional"),0,_xlfn.DAYS(B12,A12)+1)</f>
        <v>30</v>
      </c>
      <c r="J12" s="271">
        <f>IF(AND(OR(A12&gt;=$D$4,B12&lt;=$D$3), AND(A11&gt;=$D$1,B11&lt;$D$2)),(F10*I12*H12),0)</f>
        <v>0</v>
      </c>
    </row>
    <row r="13" spans="1:11" x14ac:dyDescent="0.35">
      <c r="A13" s="152">
        <f>IF(
    AND(
        YEAR(B12)=YEAR(DATE(YEAR($D$1), MONTH($D$1)-1, 1)),
        MONTH(B12)=MONTH(DATE(YEAR($D$1), MONTH($D$1)-1, 1))
    ),
    $D$1,
    IF(
        $D$4="",
        DATE(YEAR(B12), MONTH(B12)+1, 1),
        IF(
            AND(
                YEAR(B12)=YEAR(DATE(YEAR($D$4), MONTH($D$4)-1, 1)),
                MONTH(B12)=MONTH(DATE(YEAR($D$4), MONTH($D$4)-1, 1))
            ),
            $D$4,
            DATE(YEAR(B12), MONTH(B12)+1, 1)
        )
    )
)</f>
        <v>39264</v>
      </c>
      <c r="B13" s="152">
        <f>IF(
AND(
YEAR(B12)=YEAR(DATE(YEAR($D$2),MONTH($D$2)-1,1)),
MONTH(B12)=MONTH(DATE(YEAR($D$2),MONTH($D$2)-1,1))
),
$D$2,
IF(
$D$3="",
EOMONTH(B12,1),
IF(
AND(
YEAR(B12)=YEAR(DATE(YEAR($D$3),MONTH($D$3)-1,1)),
MONTH(B12)=MONTH(DATE(YEAR($D$3),MONTH($D$3)-1,1))
),
$D$3,
EOMONTH(B12,1)
)))</f>
        <v>39294</v>
      </c>
      <c r="C13" s="438"/>
      <c r="D13" s="149" t="s">
        <v>103</v>
      </c>
      <c r="E13" s="271">
        <f>'CAP POST'!G12</f>
        <v>0</v>
      </c>
      <c r="F13" s="271">
        <f t="shared" si="1"/>
        <v>0</v>
      </c>
      <c r="G13" s="215">
        <v>8.2934631250000002E-2</v>
      </c>
      <c r="H13" s="272">
        <f>((1+G13)^(1/365)-1)</f>
        <v>2.1831042143216628E-4</v>
      </c>
      <c r="I13" s="273">
        <f>IF(OR(A13=SABANA!$C$14, D13="adicional"),0,_xlfn.DAYS(B13,A13)+1)</f>
        <v>31</v>
      </c>
      <c r="J13" s="271">
        <f>IF(AND(OR(A13&gt;=$D$4,B13&lt;=$D$3), AND(A12&gt;=$D$1,B12&lt;$D$2)),(F12*I13*H13),0)</f>
        <v>0</v>
      </c>
    </row>
    <row r="14" spans="1:11" x14ac:dyDescent="0.35">
      <c r="A14" s="152">
        <f>IF(
    AND(
        YEAR(B13)=YEAR(DATE(YEAR($D$1), MONTH($D$1)-1, 1)),
        MONTH(B13)=MONTH(DATE(YEAR($D$1), MONTH($D$1)-1, 1))
    ),
    $D$1,
    IF(
        $D$4="",
        DATE(YEAR(B13), MONTH(B13)+1, 1),
        IF(
            AND(
                YEAR(B13)=YEAR(DATE(YEAR($D$4), MONTH($D$4)-1, 1)),
                MONTH(B13)=MONTH(DATE(YEAR($D$4), MONTH($D$4)-1, 1))
            ),
            $D$4,
            DATE(YEAR(B13), MONTH(B13)+1, 1)
        )
    )
)</f>
        <v>39295</v>
      </c>
      <c r="B14" s="152">
        <f>IF(
AND(
YEAR(B13)=YEAR(DATE(YEAR($D$2),MONTH($D$2)-1,1)),
MONTH(B13)=MONTH(DATE(YEAR($D$2),MONTH($D$2)-1,1))
),
$D$2,
IF(
$D$3="",
EOMONTH(B13,1),
IF(
AND(
YEAR(B13)=YEAR(DATE(YEAR($D$3),MONTH($D$3)-1,1)),
MONTH(B13)=MONTH(DATE(YEAR($D$3),MONTH($D$3)-1,1))
),
$D$3,
EOMONTH(B13,1)
)))</f>
        <v>39325</v>
      </c>
      <c r="C14" s="438"/>
      <c r="D14" s="149" t="s">
        <v>104</v>
      </c>
      <c r="E14" s="271">
        <f>'CAP POST'!G13</f>
        <v>0</v>
      </c>
      <c r="F14" s="271">
        <f t="shared" si="1"/>
        <v>0</v>
      </c>
      <c r="G14" s="215">
        <v>8.5360570979999995E-2</v>
      </c>
      <c r="H14" s="272">
        <f t="shared" si="0"/>
        <v>2.24442321133278E-4</v>
      </c>
      <c r="I14" s="273">
        <f>IF(OR(A14=SABANA!$C$14, D14="adicional"),0,_xlfn.DAYS(B14,A14)+1)</f>
        <v>31</v>
      </c>
      <c r="J14" s="271">
        <f>IF(AND(OR(A14&gt;=$D$4,B14&lt;=$D$3), AND(A13&gt;=$D$1,B13&lt;$D$2)),(F13*I14*H14),0)</f>
        <v>0</v>
      </c>
    </row>
    <row r="15" spans="1:11" x14ac:dyDescent="0.35">
      <c r="A15" s="152">
        <f>IF(
    AND(
        YEAR(B14)=YEAR(DATE(YEAR($D$1), MONTH($D$1)-1, 1)),
        MONTH(B14)=MONTH(DATE(YEAR($D$1), MONTH($D$1)-1, 1))
    ),
    $D$1,
    IF(
        $D$4="",
        DATE(YEAR(B14), MONTH(B14)+1, 1),
        IF(
            AND(
                YEAR(B14)=YEAR(DATE(YEAR($D$4), MONTH($D$4)-1, 1)),
                MONTH(B14)=MONTH(DATE(YEAR($D$4), MONTH($D$4)-1, 1))
            ),
            $D$4,
            DATE(YEAR(B14), MONTH(B14)+1, 1)
        )
    )
)</f>
        <v>39326</v>
      </c>
      <c r="B15" s="152">
        <f>IF(
AND(
YEAR(B14)=YEAR(DATE(YEAR($D$2),MONTH($D$2)-1,1)),
MONTH(B14)=MONTH(DATE(YEAR($D$2),MONTH($D$2)-1,1))
),
$D$2,
IF(
$D$3="",
EOMONTH(B14,1),
IF(
AND(
YEAR(B14)=YEAR(DATE(YEAR($D$3),MONTH($D$3)-1,1)),
MONTH(B14)=MONTH(DATE(YEAR($D$3),MONTH($D$3)-1,1))
),
$D$3,
EOMONTH(B14,1)
)))</f>
        <v>39355</v>
      </c>
      <c r="C15" s="438"/>
      <c r="D15" s="149" t="s">
        <v>105</v>
      </c>
      <c r="E15" s="271">
        <f>'CAP POST'!G14</f>
        <v>0</v>
      </c>
      <c r="F15" s="271">
        <f t="shared" si="1"/>
        <v>0</v>
      </c>
      <c r="G15" s="215">
        <v>8.8893967229999996E-2</v>
      </c>
      <c r="H15" s="272">
        <f t="shared" si="0"/>
        <v>2.3334906306082814E-4</v>
      </c>
      <c r="I15" s="273">
        <f>IF(OR(A15=SABANA!$C$14, D15="adicional"),0,_xlfn.DAYS(B15,A15)+1)</f>
        <v>30</v>
      </c>
      <c r="J15" s="271">
        <f>IF(AND(OR(A15&gt;=$D$4,B15&lt;=$D$3), AND(A14&gt;=$D$1,B14&lt;$D$2)),(F14*I15*H15),0)</f>
        <v>0</v>
      </c>
    </row>
    <row r="16" spans="1:11" x14ac:dyDescent="0.35">
      <c r="A16" s="152">
        <f>IF(
    AND(
        YEAR(B15)=YEAR(DATE(YEAR($D$1), MONTH($D$1)-1, 1)),
        MONTH(B15)=MONTH(DATE(YEAR($D$1), MONTH($D$1)-1, 1))
    ),
    $D$1,
    IF(
        $D$4="",
        DATE(YEAR(B15), MONTH(B15)+1, 1),
        IF(
            AND(
                YEAR(B15)=YEAR(DATE(YEAR($D$4), MONTH($D$4)-1, 1)),
                MONTH(B15)=MONTH(DATE(YEAR($D$4), MONTH($D$4)-1, 1))
            ),
            $D$4,
            DATE(YEAR(B15), MONTH(B15)+1, 1)
        )
    )
)</f>
        <v>39356</v>
      </c>
      <c r="B16" s="152">
        <f>IF(
AND(
YEAR(B15)=YEAR(DATE(YEAR($D$2),MONTH($D$2)-1,1)),
MONTH(B15)=MONTH(DATE(YEAR($D$2),MONTH($D$2)-1,1))
),
$D$2,
IF(
$D$3="",
EOMONTH(B15,1),
IF(
AND(
YEAR(B15)=YEAR(DATE(YEAR($D$3),MONTH($D$3)-1,1)),
MONTH(B15)=MONTH(DATE(YEAR($D$3),MONTH($D$3)-1,1))
),
$D$3,
EOMONTH(B15,1)
)))</f>
        <v>39386</v>
      </c>
      <c r="C16" s="438"/>
      <c r="D16" s="149" t="s">
        <v>106</v>
      </c>
      <c r="E16" s="271">
        <f>'CAP POST'!G15</f>
        <v>0</v>
      </c>
      <c r="F16" s="271">
        <f t="shared" si="1"/>
        <v>0</v>
      </c>
      <c r="G16" s="215">
        <v>8.5905296490000005E-2</v>
      </c>
      <c r="H16" s="272">
        <f t="shared" si="0"/>
        <v>2.2581731135851157E-4</v>
      </c>
      <c r="I16" s="273">
        <f>IF(OR(A16=SABANA!$C$14, D16="adicional"),0,_xlfn.DAYS(B16,A16)+1)</f>
        <v>31</v>
      </c>
      <c r="J16" s="271">
        <f>IF(AND(OR(A16&gt;=$D$4,B16&lt;=$D$3), AND(A15&gt;=$D$1,B15&lt;$D$2)),(F15*I16*H16),0)</f>
        <v>0</v>
      </c>
    </row>
    <row r="17" spans="1:10" x14ac:dyDescent="0.35">
      <c r="A17" s="152">
        <f>IF(
    AND(
        YEAR(B16)=YEAR(DATE(YEAR($D$1), MONTH($D$1)-1, 1)),
        MONTH(B16)=MONTH(DATE(YEAR($D$1), MONTH($D$1)-1, 1))
    ),
    $D$1,
    IF(
        $D$4="",
        DATE(YEAR(B16), MONTH(B16)+1, 1),
        IF(
            AND(
                YEAR(B16)=YEAR(DATE(YEAR($D$4), MONTH($D$4)-1, 1)),
                MONTH(B16)=MONTH(DATE(YEAR($D$4), MONTH($D$4)-1, 1))
            ),
            $D$4,
            DATE(YEAR(B16), MONTH(B16)+1, 1)
        )
    )
)</f>
        <v>39387</v>
      </c>
      <c r="B17" s="152">
        <f>IF(
AND(
YEAR(B16)=YEAR(DATE(YEAR($D$2),MONTH($D$2)-1,1)),
MONTH(B16)=MONTH(DATE(YEAR($D$2),MONTH($D$2)-1,1))
),
$D$2,
IF(
$D$3="",
EOMONTH(B16,1),
IF(
AND(
YEAR(B16)=YEAR(DATE(YEAR($D$3),MONTH($D$3)-1,1)),
MONTH(B16)=MONTH(DATE(YEAR($D$3),MONTH($D$3)-1,1))
),
$D$3,
EOMONTH(B16,1)
)))</f>
        <v>39416</v>
      </c>
      <c r="C17" s="438"/>
      <c r="D17" s="149" t="s">
        <v>107</v>
      </c>
      <c r="E17" s="271">
        <f>'CAP POST'!G16</f>
        <v>0</v>
      </c>
      <c r="F17" s="271">
        <f t="shared" si="1"/>
        <v>0</v>
      </c>
      <c r="G17" s="215">
        <v>8.6749441920000003E-2</v>
      </c>
      <c r="H17" s="272">
        <f t="shared" si="0"/>
        <v>2.2794673578774294E-4</v>
      </c>
      <c r="I17" s="273">
        <f>IF(OR(A17=SABANA!$C$14, D17="adicional"),0,_xlfn.DAYS(B17,A17)+1)</f>
        <v>30</v>
      </c>
      <c r="J17" s="271">
        <f>IF(AND(OR(A17&gt;=$D$4,B17&lt;=$D$3), AND(A16&gt;=$D$1,B16&lt;$D$2)),(F16*I17*H17),0)</f>
        <v>0</v>
      </c>
    </row>
    <row r="18" spans="1:10" x14ac:dyDescent="0.35">
      <c r="A18" s="156">
        <f>A17</f>
        <v>39387</v>
      </c>
      <c r="B18" s="156">
        <f>B17</f>
        <v>39416</v>
      </c>
      <c r="C18" s="438"/>
      <c r="D18" s="157" t="s">
        <v>101</v>
      </c>
      <c r="E18" s="274">
        <f>'CAP POST'!G17</f>
        <v>0</v>
      </c>
      <c r="F18" s="271">
        <f t="shared" si="1"/>
        <v>0</v>
      </c>
      <c r="G18" s="275">
        <v>8.9757508809999997E-2</v>
      </c>
      <c r="H18" s="276"/>
      <c r="I18" s="273">
        <f>IF(OR(A18=SABANA!$C$14, D18="adicional"),0,_xlfn.DAYS(B18,A18)+1)</f>
        <v>0</v>
      </c>
      <c r="J18" s="271">
        <f t="shared" si="2"/>
        <v>0</v>
      </c>
    </row>
    <row r="19" spans="1:10" x14ac:dyDescent="0.35">
      <c r="A19" s="152">
        <f>IF(
    AND(
        YEAR(B17)=YEAR(DATE(YEAR($D$1), MONTH($D$1)-1, 1)),
        MONTH(B17)=MONTH(DATE(YEAR($D$1), MONTH($D$1)-1, 1))
    ),
    $D$1,
    IF(
        $D$4="",
        DATE(YEAR(B17), MONTH(B17)+1, 1),
        IF(
            AND(
                YEAR(B17)=YEAR(DATE(YEAR($D$4), MONTH($D$4)-1, 1)),
                MONTH(B17)=MONTH(DATE(YEAR($D$4), MONTH($D$4)-1, 1))
            ),
            $D$4,
            DATE(YEAR(B17), MONTH(B17)+1, 1)
        )
    )
)</f>
        <v>39417</v>
      </c>
      <c r="B19" s="152">
        <f>IF(
AND(
YEAR(B17)=YEAR(DATE(YEAR($D$2),MONTH($D$2)-1,1)),
MONTH(B17)=MONTH(DATE(YEAR($D$2),MONTH($D$2)-1,1))
),
$D$2,
IF(
$D$3="",
EOMONTH(B17,1),
IF(
AND(
YEAR(B17)=YEAR(DATE(YEAR($D$3),MONTH($D$3)-1,1)),
MONTH(B17)=MONTH(DATE(YEAR($D$3),MONTH($D$3)-1,1))
),
$D$3,
EOMONTH(B17,1)
)))</f>
        <v>39447</v>
      </c>
      <c r="C19" s="439"/>
      <c r="D19" s="149" t="s">
        <v>108</v>
      </c>
      <c r="E19" s="271">
        <f>'CAP POST'!G18</f>
        <v>0</v>
      </c>
      <c r="F19" s="271">
        <f t="shared" si="1"/>
        <v>0</v>
      </c>
      <c r="G19" s="215">
        <v>8.9757508809999997E-2</v>
      </c>
      <c r="H19" s="272">
        <f>((1+G19)^(1/365)-1)</f>
        <v>2.3552143632499245E-4</v>
      </c>
      <c r="I19" s="273">
        <f>IF(OR(A19=SABANA!$C$14, D19="adicional"),0,_xlfn.DAYS(B19,A19)+1)</f>
        <v>31</v>
      </c>
      <c r="J19" s="271">
        <f>IF(AND(OR(A19&gt;=$D$4,B19&lt;=$D$3), AND(A18&gt;=$D$1,B18&lt;$D$2)),(F17*I19*H19),0)</f>
        <v>0</v>
      </c>
    </row>
    <row r="20" spans="1:10" x14ac:dyDescent="0.35">
      <c r="A20" s="152">
        <f>IF(
    AND(
        YEAR(B19)=YEAR(DATE(YEAR($D$1), MONTH($D$1)-1, 1)),
        MONTH(B19)=MONTH(DATE(YEAR($D$1), MONTH($D$1)-1, 1))
    ),
    $D$1,
    IF(
        $D$4="",
        DATE(YEAR(B19), MONTH(B19)+1, 1),
        IF(
            AND(
                YEAR(B19)=YEAR(DATE(YEAR($D$4), MONTH($D$4)-1, 1)),
                MONTH(B19)=MONTH(DATE(YEAR($D$4), MONTH($D$4)-1, 1))
            ),
            $D$4,
            DATE(YEAR(B19), MONTH(B19)+1, 1)
        )
    )
)</f>
        <v>39448</v>
      </c>
      <c r="B20" s="152">
        <f>IF(
AND(
YEAR(B19)=YEAR(DATE(YEAR($D$2),MONTH($D$2)-1,1)),
MONTH(B19)=MONTH(DATE(YEAR($D$2),MONTH($D$2)-1,1))
),
$D$2,
IF(
$D$3="",
EOMONTH(B19,1),
IF(
AND(
YEAR(B19)=YEAR(DATE(YEAR($D$3),MONTH($D$3)-1,1)),
MONTH(B19)=MONTH(DATE(YEAR($D$3),MONTH($D$3)-1,1))
),
$D$3,
EOMONTH(B19,1)
)))</f>
        <v>39478</v>
      </c>
      <c r="C20" s="437">
        <v>2008</v>
      </c>
      <c r="D20" s="149" t="s">
        <v>96</v>
      </c>
      <c r="E20" s="271">
        <f>'CAP POST'!G19</f>
        <v>0</v>
      </c>
      <c r="F20" s="271">
        <f t="shared" si="1"/>
        <v>0</v>
      </c>
      <c r="G20" s="215">
        <v>9.1165912710000005E-2</v>
      </c>
      <c r="H20" s="272">
        <f t="shared" si="0"/>
        <v>2.3906081504998511E-4</v>
      </c>
      <c r="I20" s="273">
        <f>IF(OR(A20=SABANA!$C$14, D20="adicional"),0,_xlfn.DAYS(B20,A20)+1)</f>
        <v>31</v>
      </c>
      <c r="J20" s="271">
        <f t="shared" si="2"/>
        <v>0</v>
      </c>
    </row>
    <row r="21" spans="1:10" x14ac:dyDescent="0.35">
      <c r="A21" s="152">
        <f>IF(
    AND(
        YEAR(B20)=YEAR(DATE(YEAR($D$1), MONTH($D$1)-1, 1)),
        MONTH(B20)=MONTH(DATE(YEAR($D$1), MONTH($D$1)-1, 1))
    ),
    $D$1,
    IF(
        $D$4="",
        DATE(YEAR(B20), MONTH(B20)+1, 1),
        IF(
            AND(
                YEAR(B20)=YEAR(DATE(YEAR($D$4), MONTH($D$4)-1, 1)),
                MONTH(B20)=MONTH(DATE(YEAR($D$4), MONTH($D$4)-1, 1))
            ),
            $D$4,
            DATE(YEAR(B20), MONTH(B20)+1, 1)
        )
    )
)</f>
        <v>39479</v>
      </c>
      <c r="B21" s="152">
        <f>IF(
AND(
YEAR(B20)=YEAR(DATE(YEAR($D$2),MONTH($D$2)-1,1)),
MONTH(B20)=MONTH(DATE(YEAR($D$2),MONTH($D$2)-1,1))
),
$D$2,
IF(
$D$3="",
EOMONTH(B20,1),
IF(
AND(
YEAR(B20)=YEAR(DATE(YEAR($D$3),MONTH($D$3)-1,1)),
MONTH(B20)=MONTH(DATE(YEAR($D$3),MONTH($D$3)-1,1))
),
$D$3,
EOMONTH(B20,1)
)))</f>
        <v>39507</v>
      </c>
      <c r="C21" s="438"/>
      <c r="D21" s="149" t="s">
        <v>97</v>
      </c>
      <c r="E21" s="271">
        <f>'CAP POST'!G20</f>
        <v>0</v>
      </c>
      <c r="F21" s="271">
        <f t="shared" si="1"/>
        <v>0</v>
      </c>
      <c r="G21" s="215">
        <v>9.2983036029999994E-2</v>
      </c>
      <c r="H21" s="272">
        <f t="shared" si="0"/>
        <v>2.4362059811977588E-4</v>
      </c>
      <c r="I21" s="273">
        <f>IF(OR(A21=SABANA!$C$14, D21="adicional"),0,_xlfn.DAYS(B21,A21)+1)</f>
        <v>29</v>
      </c>
      <c r="J21" s="271">
        <f t="shared" si="2"/>
        <v>0</v>
      </c>
    </row>
    <row r="22" spans="1:10" x14ac:dyDescent="0.35">
      <c r="A22" s="152">
        <f>IF(
    AND(
        YEAR(B21)=YEAR(DATE(YEAR($D$1), MONTH($D$1)-1, 1)),
        MONTH(B21)=MONTH(DATE(YEAR($D$1), MONTH($D$1)-1, 1))
    ),
    $D$1,
    IF(
        $D$4="",
        DATE(YEAR(B21), MONTH(B21)+1, 1),
        IF(
            AND(
                YEAR(B21)=YEAR(DATE(YEAR($D$4), MONTH($D$4)-1, 1)),
                MONTH(B21)=MONTH(DATE(YEAR($D$4), MONTH($D$4)-1, 1))
            ),
            $D$4,
            DATE(YEAR(B21), MONTH(B21)+1, 1)
        )
    )
)</f>
        <v>39508</v>
      </c>
      <c r="B22" s="152">
        <f>IF(
AND(
YEAR(B21)=YEAR(DATE(YEAR($D$2),MONTH($D$2)-1,1)),
MONTH(B21)=MONTH(DATE(YEAR($D$2),MONTH($D$2)-1,1))
),
$D$2,
IF(
$D$3="",
EOMONTH(B21,1),
IF(
AND(
YEAR(B21)=YEAR(DATE(YEAR($D$3),MONTH($D$3)-1,1)),
MONTH(B21)=MONTH(DATE(YEAR($D$3),MONTH($D$3)-1,1))
),
$D$3,
EOMONTH(B21,1)
)))</f>
        <v>39538</v>
      </c>
      <c r="C22" s="438"/>
      <c r="D22" s="149" t="s">
        <v>98</v>
      </c>
      <c r="E22" s="271">
        <f>'CAP POST'!G21</f>
        <v>0</v>
      </c>
      <c r="F22" s="271">
        <f t="shared" si="1"/>
        <v>0</v>
      </c>
      <c r="G22" s="215">
        <v>9.5919494699999996E-2</v>
      </c>
      <c r="H22" s="272">
        <f t="shared" si="0"/>
        <v>2.5097322025557922E-4</v>
      </c>
      <c r="I22" s="273">
        <f>IF(OR(A22=SABANA!$C$14, D22="adicional"),0,_xlfn.DAYS(B22,A22)+1)</f>
        <v>31</v>
      </c>
      <c r="J22" s="271">
        <f t="shared" si="2"/>
        <v>0</v>
      </c>
    </row>
    <row r="23" spans="1:10" x14ac:dyDescent="0.35">
      <c r="A23" s="152">
        <f>IF(
    AND(
        YEAR(B22)=YEAR(DATE(YEAR($D$1), MONTH($D$1)-1, 1)),
        MONTH(B22)=MONTH(DATE(YEAR($D$1), MONTH($D$1)-1, 1))
    ),
    $D$1,
    IF(
        $D$4="",
        DATE(YEAR(B22), MONTH(B22)+1, 1),
        IF(
            AND(
                YEAR(B22)=YEAR(DATE(YEAR($D$4), MONTH($D$4)-1, 1)),
                MONTH(B22)=MONTH(DATE(YEAR($D$4), MONTH($D$4)-1, 1))
            ),
            $D$4,
            DATE(YEAR(B22), MONTH(B22)+1, 1)
        )
    )
)</f>
        <v>39539</v>
      </c>
      <c r="B23" s="152">
        <f>IF(
AND(
YEAR(B22)=YEAR(DATE(YEAR($D$2),MONTH($D$2)-1,1)),
MONTH(B22)=MONTH(DATE(YEAR($D$2),MONTH($D$2)-1,1))
),
$D$2,
IF(
$D$3="",
EOMONTH(B22,1),
IF(
AND(
YEAR(B22)=YEAR(DATE(YEAR($D$3),MONTH($D$3)-1,1)),
MONTH(B22)=MONTH(DATE(YEAR($D$3),MONTH($D$3)-1,1))
),
$D$3,
EOMONTH(B22,1)
)))</f>
        <v>39568</v>
      </c>
      <c r="C23" s="438"/>
      <c r="D23" s="149" t="s">
        <v>99</v>
      </c>
      <c r="E23" s="271">
        <f>'CAP POST'!G22</f>
        <v>0</v>
      </c>
      <c r="F23" s="271">
        <f t="shared" si="1"/>
        <v>0</v>
      </c>
      <c r="G23" s="215">
        <v>9.7946644609999994E-2</v>
      </c>
      <c r="H23" s="272">
        <f t="shared" si="0"/>
        <v>2.5603756285930146E-4</v>
      </c>
      <c r="I23" s="273">
        <f>IF(OR(A23=SABANA!$C$14, D23="adicional"),0,_xlfn.DAYS(B23,A23)+1)</f>
        <v>30</v>
      </c>
      <c r="J23" s="271">
        <f t="shared" si="2"/>
        <v>0</v>
      </c>
    </row>
    <row r="24" spans="1:10" x14ac:dyDescent="0.35">
      <c r="A24" s="152">
        <f>IF(
    AND(
        YEAR(B23)=YEAR(DATE(YEAR($D$1), MONTH($D$1)-1, 1)),
        MONTH(B23)=MONTH(DATE(YEAR($D$1), MONTH($D$1)-1, 1))
    ),
    $D$1,
    IF(
        $D$4="",
        DATE(YEAR(B23), MONTH(B23)+1, 1),
        IF(
            AND(
                YEAR(B23)=YEAR(DATE(YEAR($D$4), MONTH($D$4)-1, 1)),
                MONTH(B23)=MONTH(DATE(YEAR($D$4), MONTH($D$4)-1, 1))
            ),
            $D$4,
            DATE(YEAR(B23), MONTH(B23)+1, 1)
        )
    )
)</f>
        <v>39569</v>
      </c>
      <c r="B24" s="152">
        <f>IF(
AND(
YEAR(B23)=YEAR(DATE(YEAR($D$2),MONTH($D$2)-1,1)),
MONTH(B23)=MONTH(DATE(YEAR($D$2),MONTH($D$2)-1,1))
),
$D$2,
IF(
$D$3="",
EOMONTH(B23,1),
IF(
AND(
YEAR(B23)=YEAR(DATE(YEAR($D$3),MONTH($D$3)-1,1)),
MONTH(B23)=MONTH(DATE(YEAR($D$3),MONTH($D$3)-1,1))
),
$D$3,
EOMONTH(B23,1)
)))</f>
        <v>39599</v>
      </c>
      <c r="C24" s="438"/>
      <c r="D24" s="149" t="s">
        <v>100</v>
      </c>
      <c r="E24" s="271">
        <f>'CAP POST'!G23</f>
        <v>0</v>
      </c>
      <c r="F24" s="271">
        <f t="shared" si="1"/>
        <v>0</v>
      </c>
      <c r="G24" s="215">
        <v>9.5899999999999999E-2</v>
      </c>
      <c r="H24" s="272">
        <f t="shared" si="0"/>
        <v>2.5092447213537206E-4</v>
      </c>
      <c r="I24" s="273">
        <f>IF(OR(A24=SABANA!$C$14, D24="adicional"),0,_xlfn.DAYS(B24,A24)+1)</f>
        <v>31</v>
      </c>
      <c r="J24" s="271">
        <f t="shared" si="2"/>
        <v>0</v>
      </c>
    </row>
    <row r="25" spans="1:10" x14ac:dyDescent="0.35">
      <c r="A25" s="156">
        <f>A26</f>
        <v>39600</v>
      </c>
      <c r="B25" s="156">
        <f>B26</f>
        <v>39629</v>
      </c>
      <c r="C25" s="438"/>
      <c r="D25" s="157" t="s">
        <v>101</v>
      </c>
      <c r="E25" s="274">
        <f>'CAP POST'!G24</f>
        <v>0</v>
      </c>
      <c r="F25" s="271">
        <f t="shared" si="1"/>
        <v>0</v>
      </c>
      <c r="G25" s="275">
        <v>9.606267516E-2</v>
      </c>
      <c r="H25" s="276"/>
      <c r="I25" s="273">
        <f>IF(OR(A25=SABANA!$C$14, D25="adicional"),0,_xlfn.DAYS(B25,A25)+1)</f>
        <v>0</v>
      </c>
      <c r="J25" s="271">
        <f t="shared" si="2"/>
        <v>0</v>
      </c>
    </row>
    <row r="26" spans="1:10" x14ac:dyDescent="0.35">
      <c r="A26" s="152">
        <f>IF(
    AND(
        YEAR(B24)=YEAR(DATE(YEAR($D$1), MONTH($D$1)-1, 1)),
        MONTH(B24)=MONTH(DATE(YEAR($D$1), MONTH($D$1)-1, 1))
    ),
    $D$1,
    IF(
        $D$4="",
        DATE(YEAR(B24), MONTH(B24)+1, 1),
        IF(
            AND(
                YEAR(B24)=YEAR(DATE(YEAR($D$4), MONTH($D$4)-1, 1)),
                MONTH(B24)=MONTH(DATE(YEAR($D$4), MONTH($D$4)-1, 1))
            ),
            $D$4,
            DATE(YEAR(B24), MONTH(B24)+1, 1)
        )
    )
)</f>
        <v>39600</v>
      </c>
      <c r="B26" s="152">
        <f>IF(
AND(
YEAR(B24)=YEAR(DATE(YEAR($D$2),MONTH($D$2)-1,1)),
MONTH(B24)=MONTH(DATE(YEAR($D$2),MONTH($D$2)-1,1))
),
$D$2,
IF(
$D$3="",
EOMONTH(B24,1),
IF(
AND(
YEAR(B24)=YEAR(DATE(YEAR($D$3),MONTH($D$3)-1,1)),
MONTH(B24)=MONTH(DATE(YEAR($D$3),MONTH($D$3)-1,1))
),
$D$3,
EOMONTH(B24,1)
)))</f>
        <v>39629</v>
      </c>
      <c r="C26" s="438"/>
      <c r="D26" s="149" t="s">
        <v>102</v>
      </c>
      <c r="E26" s="271">
        <f>'CAP POST'!G25</f>
        <v>0</v>
      </c>
      <c r="F26" s="271">
        <f t="shared" si="1"/>
        <v>0</v>
      </c>
      <c r="G26" s="215">
        <v>9.7488434750000005E-2</v>
      </c>
      <c r="H26" s="272">
        <f>((1+G26)^(1/365)-1)</f>
        <v>2.5489365274045106E-4</v>
      </c>
      <c r="I26" s="273">
        <f>IF(OR(A26=SABANA!$C$14, D26="adicional"),0,_xlfn.DAYS(B26,A26)+1)</f>
        <v>30</v>
      </c>
      <c r="J26" s="271">
        <f>IF(AND(OR(A26&gt;=$D$4,B26&lt;=$D$3), AND(A25&gt;=$D$1,B25&lt;$D$2)),(F24*I26*H26),0)</f>
        <v>0</v>
      </c>
    </row>
    <row r="27" spans="1:10" x14ac:dyDescent="0.35">
      <c r="A27" s="152">
        <f>IF(
    AND(
        YEAR(B26)=YEAR(DATE(YEAR($D$1), MONTH($D$1)-1, 1)),
        MONTH(B26)=MONTH(DATE(YEAR($D$1), MONTH($D$1)-1, 1))
    ),
    $D$1,
    IF(
        $D$4="",
        DATE(YEAR(B26), MONTH(B26)+1, 1),
        IF(
            AND(
                YEAR(B26)=YEAR(DATE(YEAR($D$4), MONTH($D$4)-1, 1)),
                MONTH(B26)=MONTH(DATE(YEAR($D$4), MONTH($D$4)-1, 1))
            ),
            $D$4,
            DATE(YEAR(B26), MONTH(B26)+1, 1)
        )
    )
)</f>
        <v>39630</v>
      </c>
      <c r="B27" s="152">
        <f>IF(
AND(
YEAR(B26)=YEAR(DATE(YEAR($D$2),MONTH($D$2)-1,1)),
MONTH(B26)=MONTH(DATE(YEAR($D$2),MONTH($D$2)-1,1))
),
$D$2,
IF(
$D$3="",
EOMONTH(B26,1),
IF(
AND(
YEAR(B26)=YEAR(DATE(YEAR($D$3),MONTH($D$3)-1,1)),
MONTH(B26)=MONTH(DATE(YEAR($D$3),MONTH($D$3)-1,1))
),
$D$3,
EOMONTH(B26,1)
)))</f>
        <v>39660</v>
      </c>
      <c r="C27" s="438"/>
      <c r="D27" s="149" t="s">
        <v>103</v>
      </c>
      <c r="E27" s="271">
        <f>'CAP POST'!G26</f>
        <v>0</v>
      </c>
      <c r="F27" s="271">
        <f t="shared" si="1"/>
        <v>0</v>
      </c>
      <c r="G27" s="215">
        <v>9.606267516E-2</v>
      </c>
      <c r="H27" s="272">
        <f>((1+G27)^(1/365)-1)</f>
        <v>2.5133122841802802E-4</v>
      </c>
      <c r="I27" s="273">
        <f>IF(OR(A27=SABANA!$C$14, D27="adicional"),0,_xlfn.DAYS(B27,A27)+1)</f>
        <v>31</v>
      </c>
      <c r="J27" s="271">
        <f t="shared" si="2"/>
        <v>0</v>
      </c>
    </row>
    <row r="28" spans="1:10" x14ac:dyDescent="0.35">
      <c r="A28" s="152">
        <f>IF(
    AND(
        YEAR(B27)=YEAR(DATE(YEAR($D$1), MONTH($D$1)-1, 1)),
        MONTH(B27)=MONTH(DATE(YEAR($D$1), MONTH($D$1)-1, 1))
    ),
    $D$1,
    IF(
        $D$4="",
        DATE(YEAR(B27), MONTH(B27)+1, 1),
        IF(
            AND(
                YEAR(B27)=YEAR(DATE(YEAR($D$4), MONTH($D$4)-1, 1)),
                MONTH(B27)=MONTH(DATE(YEAR($D$4), MONTH($D$4)-1, 1))
            ),
            $D$4,
            DATE(YEAR(B27), MONTH(B27)+1, 1)
        )
    )
)</f>
        <v>39661</v>
      </c>
      <c r="B28" s="152">
        <f>IF(
AND(
YEAR(B27)=YEAR(DATE(YEAR($D$2),MONTH($D$2)-1,1)),
MONTH(B27)=MONTH(DATE(YEAR($D$2),MONTH($D$2)-1,1))
),
$D$2,
IF(
$D$3="",
EOMONTH(B27,1),
IF(
AND(
YEAR(B27)=YEAR(DATE(YEAR($D$3),MONTH($D$3)-1,1)),
MONTH(B27)=MONTH(DATE(YEAR($D$3),MONTH($D$3)-1,1))
),
$D$3,
EOMONTH(B27,1)
)))</f>
        <v>39691</v>
      </c>
      <c r="C28" s="438"/>
      <c r="D28" s="149" t="s">
        <v>104</v>
      </c>
      <c r="E28" s="271">
        <f>'CAP POST'!G27</f>
        <v>0</v>
      </c>
      <c r="F28" s="271">
        <f t="shared" si="1"/>
        <v>0</v>
      </c>
      <c r="G28" s="215">
        <v>9.9613895590000001E-2</v>
      </c>
      <c r="H28" s="272">
        <f t="shared" si="0"/>
        <v>2.6019580171143808E-4</v>
      </c>
      <c r="I28" s="273">
        <f>IF(OR(A28=SABANA!$C$14, D28="adicional"),0,_xlfn.DAYS(B28,A28)+1)</f>
        <v>31</v>
      </c>
      <c r="J28" s="271">
        <f t="shared" si="2"/>
        <v>0</v>
      </c>
    </row>
    <row r="29" spans="1:10" x14ac:dyDescent="0.35">
      <c r="A29" s="152">
        <f>IF(
    AND(
        YEAR(B28)=YEAR(DATE(YEAR($D$1), MONTH($D$1)-1, 1)),
        MONTH(B28)=MONTH(DATE(YEAR($D$1), MONTH($D$1)-1, 1))
    ),
    $D$1,
    IF(
        $D$4="",
        DATE(YEAR(B28), MONTH(B28)+1, 1),
        IF(
            AND(
                YEAR(B28)=YEAR(DATE(YEAR($D$4), MONTH($D$4)-1, 1)),
                MONTH(B28)=MONTH(DATE(YEAR($D$4), MONTH($D$4)-1, 1))
            ),
            $D$4,
            DATE(YEAR(B28), MONTH(B28)+1, 1)
        )
    )
)</f>
        <v>39692</v>
      </c>
      <c r="B29" s="152">
        <f>IF(
AND(
YEAR(B28)=YEAR(DATE(YEAR($D$2),MONTH($D$2)-1,1)),
MONTH(B28)=MONTH(DATE(YEAR($D$2),MONTH($D$2)-1,1))
),
$D$2,
IF(
$D$3="",
EOMONTH(B28,1),
IF(
AND(
YEAR(B28)=YEAR(DATE(YEAR($D$3),MONTH($D$3)-1,1)),
MONTH(B28)=MONTH(DATE(YEAR($D$3),MONTH($D$3)-1,1))
),
$D$3,
EOMONTH(B28,1)
)))</f>
        <v>39721</v>
      </c>
      <c r="C29" s="438"/>
      <c r="D29" s="149" t="s">
        <v>105</v>
      </c>
      <c r="E29" s="271">
        <f>'CAP POST'!G28</f>
        <v>0</v>
      </c>
      <c r="F29" s="271">
        <f t="shared" si="1"/>
        <v>0</v>
      </c>
      <c r="G29" s="215">
        <v>9.917873797E-2</v>
      </c>
      <c r="H29" s="272">
        <f t="shared" si="0"/>
        <v>2.5911109529830334E-4</v>
      </c>
      <c r="I29" s="273">
        <f>IF(OR(A29=SABANA!$C$14, D29="adicional"),0,_xlfn.DAYS(B29,A29)+1)</f>
        <v>30</v>
      </c>
      <c r="J29" s="271">
        <f t="shared" si="2"/>
        <v>0</v>
      </c>
    </row>
    <row r="30" spans="1:10" x14ac:dyDescent="0.35">
      <c r="A30" s="152">
        <f>IF(
    AND(
        YEAR(B29)=YEAR(DATE(YEAR($D$1), MONTH($D$1)-1, 1)),
        MONTH(B29)=MONTH(DATE(YEAR($D$1), MONTH($D$1)-1, 1))
    ),
    $D$1,
    IF(
        $D$4="",
        DATE(YEAR(B29), MONTH(B29)+1, 1),
        IF(
            AND(
                YEAR(B29)=YEAR(DATE(YEAR($D$4), MONTH($D$4)-1, 1)),
                MONTH(B29)=MONTH(DATE(YEAR($D$4), MONTH($D$4)-1, 1))
            ),
            $D$4,
            DATE(YEAR(B29), MONTH(B29)+1, 1)
        )
    )
)</f>
        <v>39722</v>
      </c>
      <c r="B30" s="152">
        <f>IF(
AND(
YEAR(B29)=YEAR(DATE(YEAR($D$2),MONTH($D$2)-1,1)),
MONTH(B29)=MONTH(DATE(YEAR($D$2),MONTH($D$2)-1,1))
),
$D$2,
IF(
$D$3="",
EOMONTH(B29,1),
IF(
AND(
YEAR(B29)=YEAR(DATE(YEAR($D$3),MONTH($D$3)-1,1)),
MONTH(B29)=MONTH(DATE(YEAR($D$3),MONTH($D$3)-1,1))
),
$D$3,
EOMONTH(B29,1)
)))</f>
        <v>39752</v>
      </c>
      <c r="C30" s="438"/>
      <c r="D30" s="149" t="s">
        <v>106</v>
      </c>
      <c r="E30" s="271">
        <f>'CAP POST'!G29</f>
        <v>0</v>
      </c>
      <c r="F30" s="271">
        <f t="shared" si="1"/>
        <v>0</v>
      </c>
      <c r="G30" s="215">
        <v>0.1001595919</v>
      </c>
      <c r="H30" s="272">
        <f t="shared" si="0"/>
        <v>2.6155544028050315E-4</v>
      </c>
      <c r="I30" s="273">
        <f>IF(OR(A30=SABANA!$C$14, D30="adicional"),0,_xlfn.DAYS(B30,A30)+1)</f>
        <v>31</v>
      </c>
      <c r="J30" s="271">
        <f t="shared" si="2"/>
        <v>0</v>
      </c>
    </row>
    <row r="31" spans="1:10" x14ac:dyDescent="0.35">
      <c r="A31" s="152">
        <f>IF(
    AND(
        YEAR(B30)=YEAR(DATE(YEAR($D$1), MONTH($D$1)-1, 1)),
        MONTH(B30)=MONTH(DATE(YEAR($D$1), MONTH($D$1)-1, 1))
    ),
    $D$1,
    IF(
        $D$4="",
        DATE(YEAR(B30), MONTH(B30)+1, 1),
        IF(
            AND(
                YEAR(B30)=YEAR(DATE(YEAR($D$4), MONTH($D$4)-1, 1)),
                MONTH(B30)=MONTH(DATE(YEAR($D$4), MONTH($D$4)-1, 1))
            ),
            $D$4,
            DATE(YEAR(B30), MONTH(B30)+1, 1)
        )
    )
)</f>
        <v>39753</v>
      </c>
      <c r="B31" s="152">
        <f>IF(
AND(
YEAR(B30)=YEAR(DATE(YEAR($D$2),MONTH($D$2)-1,1)),
MONTH(B30)=MONTH(DATE(YEAR($D$2),MONTH($D$2)-1,1))
),
$D$2,
IF(
$D$3="",
EOMONTH(B30,1),
IF(
AND(
YEAR(B30)=YEAR(DATE(YEAR($D$3),MONTH($D$3)-1,1)),
MONTH(B30)=MONTH(DATE(YEAR($D$3),MONTH($D$3)-1,1))
),
$D$3,
EOMONTH(B30,1)
)))</f>
        <v>39782</v>
      </c>
      <c r="C31" s="438"/>
      <c r="D31" s="149" t="s">
        <v>107</v>
      </c>
      <c r="E31" s="271">
        <f>'CAP POST'!G30</f>
        <v>0</v>
      </c>
      <c r="F31" s="271">
        <f t="shared" si="1"/>
        <v>0</v>
      </c>
      <c r="G31" s="215">
        <v>0.1012695334</v>
      </c>
      <c r="H31" s="272">
        <f t="shared" si="0"/>
        <v>2.6431885920152887E-4</v>
      </c>
      <c r="I31" s="273">
        <f>IF(OR(A31=SABANA!$C$14, D31="adicional"),0,_xlfn.DAYS(B31,A31)+1)</f>
        <v>30</v>
      </c>
      <c r="J31" s="271">
        <f t="shared" si="2"/>
        <v>0</v>
      </c>
    </row>
    <row r="32" spans="1:10" x14ac:dyDescent="0.35">
      <c r="A32" s="156">
        <f>A31</f>
        <v>39753</v>
      </c>
      <c r="B32" s="156">
        <f>B31</f>
        <v>39782</v>
      </c>
      <c r="C32" s="438"/>
      <c r="D32" s="157" t="s">
        <v>101</v>
      </c>
      <c r="E32" s="274">
        <f>'CAP POST'!G31</f>
        <v>0</v>
      </c>
      <c r="F32" s="271">
        <f t="shared" si="1"/>
        <v>0</v>
      </c>
      <c r="G32" s="275">
        <v>0.1012300818</v>
      </c>
      <c r="H32" s="276"/>
      <c r="I32" s="273">
        <f>IF(OR(A32=SABANA!$C$14, D32="adicional"),0,_xlfn.DAYS(B32,A32)+1)</f>
        <v>0</v>
      </c>
      <c r="J32" s="271">
        <f t="shared" si="2"/>
        <v>0</v>
      </c>
    </row>
    <row r="33" spans="1:10" x14ac:dyDescent="0.35">
      <c r="A33" s="152">
        <f>IF(
    AND(
        YEAR(B31)=YEAR(DATE(YEAR($D$1), MONTH($D$1)-1, 1)),
        MONTH(B31)=MONTH(DATE(YEAR($D$1), MONTH($D$1)-1, 1))
    ),
    $D$1,
    IF(
        $D$4="",
        DATE(YEAR(B31), MONTH(B31)+1, 1),
        IF(
            AND(
                YEAR(B31)=YEAR(DATE(YEAR($D$4), MONTH($D$4)-1, 1)),
                MONTH(B31)=MONTH(DATE(YEAR($D$4), MONTH($D$4)-1, 1))
            ),
            $D$4,
            DATE(YEAR(B31), MONTH(B31)+1, 1)
        )
    )
)</f>
        <v>39783</v>
      </c>
      <c r="B33" s="152">
        <f>IF(
AND(
YEAR(B31)=YEAR(DATE(YEAR($D$2),MONTH($D$2)-1,1)),
MONTH(B31)=MONTH(DATE(YEAR($D$2),MONTH($D$2)-1,1))
),
$D$2,
IF(
$D$3="",
EOMONTH(B31,1),
IF(
AND(
YEAR(B31)=YEAR(DATE(YEAR($D$3),MONTH($D$3)-1,1)),
MONTH(B31)=MONTH(DATE(YEAR($D$3),MONTH($D$3)-1,1))
),
$D$3,
EOMONTH(B31,1)
)))</f>
        <v>39813</v>
      </c>
      <c r="C33" s="439"/>
      <c r="D33" s="149" t="s">
        <v>108</v>
      </c>
      <c r="E33" s="271">
        <f>'CAP POST'!G32</f>
        <v>0</v>
      </c>
      <c r="F33" s="271">
        <f t="shared" si="1"/>
        <v>0</v>
      </c>
      <c r="G33" s="215">
        <v>0.1012300818</v>
      </c>
      <c r="H33" s="272">
        <f>((1+G33)^(1/365)-1)</f>
        <v>2.642206842564665E-4</v>
      </c>
      <c r="I33" s="273">
        <f>IF(OR(A33=SABANA!$C$14, D33="adicional"),0,_xlfn.DAYS(B33,A33)+1)</f>
        <v>31</v>
      </c>
      <c r="J33" s="271">
        <f>IF(AND(OR(A33&gt;=$D$4,B33&lt;=$D$3), AND(A32&gt;=$D$1,B32&lt;$D$2)),(F31*I33*H33),0)</f>
        <v>0</v>
      </c>
    </row>
    <row r="34" spans="1:10" x14ac:dyDescent="0.35">
      <c r="A34" s="152">
        <f>IF(
    AND(
        YEAR(B33)=YEAR(DATE(YEAR($D$1), MONTH($D$1)-1, 1)),
        MONTH(B33)=MONTH(DATE(YEAR($D$1), MONTH($D$1)-1, 1))
    ),
    $D$1,
    IF(
        $D$4="",
        DATE(YEAR(B33), MONTH(B33)+1, 1),
        IF(
            AND(
                YEAR(B33)=YEAR(DATE(YEAR($D$4), MONTH($D$4)-1, 1)),
                MONTH(B33)=MONTH(DATE(YEAR($D$4), MONTH($D$4)-1, 1))
            ),
            $D$4,
            DATE(YEAR(B33), MONTH(B33)+1, 1)
        )
    )
)</f>
        <v>39814</v>
      </c>
      <c r="B34" s="152">
        <f>IF(
AND(
YEAR(B33)=YEAR(DATE(YEAR($D$2),MONTH($D$2)-1,1)),
MONTH(B33)=MONTH(DATE(YEAR($D$2),MONTH($D$2)-1,1))
),
$D$2,
IF(
$D$3="",
EOMONTH(B33,1),
IF(
AND(
YEAR(B33)=YEAR(DATE(YEAR($D$3),MONTH($D$3)-1,1)),
MONTH(B33)=MONTH(DATE(YEAR($D$3),MONTH($D$3)-1,1))
),
$D$3,
EOMONTH(B33,1)
)))</f>
        <v>39844</v>
      </c>
      <c r="C34" s="437">
        <v>2009</v>
      </c>
      <c r="D34" s="149" t="s">
        <v>96</v>
      </c>
      <c r="E34" s="271">
        <f>'CAP POST'!G33</f>
        <v>0</v>
      </c>
      <c r="F34" s="271">
        <f t="shared" si="1"/>
        <v>0</v>
      </c>
      <c r="G34" s="215">
        <v>9.6922504610000002E-2</v>
      </c>
      <c r="H34" s="272">
        <f t="shared" si="0"/>
        <v>2.5348016390291939E-4</v>
      </c>
      <c r="I34" s="273">
        <f>IF(OR(A34=SABANA!$C$14, D34="adicional"),0,_xlfn.DAYS(B34,A34)+1)</f>
        <v>31</v>
      </c>
      <c r="J34" s="271">
        <f t="shared" si="2"/>
        <v>0</v>
      </c>
    </row>
    <row r="35" spans="1:10" x14ac:dyDescent="0.35">
      <c r="A35" s="152">
        <f>IF(
    AND(
        YEAR(B34)=YEAR(DATE(YEAR($D$1), MONTH($D$1)-1, 1)),
        MONTH(B34)=MONTH(DATE(YEAR($D$1), MONTH($D$1)-1, 1))
    ),
    $D$1,
    IF(
        $D$4="",
        DATE(YEAR(B34), MONTH(B34)+1, 1),
        IF(
            AND(
                YEAR(B34)=YEAR(DATE(YEAR($D$4), MONTH($D$4)-1, 1)),
                MONTH(B34)=MONTH(DATE(YEAR($D$4), MONTH($D$4)-1, 1))
            ),
            $D$4,
            DATE(YEAR(B34), MONTH(B34)+1, 1)
        )
    )
)</f>
        <v>39845</v>
      </c>
      <c r="B35" s="152">
        <f>IF(
AND(
YEAR(B34)=YEAR(DATE(YEAR($D$2),MONTH($D$2)-1,1)),
MONTH(B34)=MONTH(DATE(YEAR($D$2),MONTH($D$2)-1,1))
),
$D$2,
IF(
$D$3="",
EOMONTH(B34,1),
IF(
AND(
YEAR(B34)=YEAR(DATE(YEAR($D$3),MONTH($D$3)-1,1)),
MONTH(B34)=MONTH(DATE(YEAR($D$3),MONTH($D$3)-1,1))
),
$D$3,
EOMONTH(B34,1)
)))</f>
        <v>39872</v>
      </c>
      <c r="C35" s="438"/>
      <c r="D35" s="149" t="s">
        <v>97</v>
      </c>
      <c r="E35" s="271">
        <f>'CAP POST'!G34</f>
        <v>0</v>
      </c>
      <c r="F35" s="271">
        <f t="shared" si="1"/>
        <v>0</v>
      </c>
      <c r="G35" s="215">
        <v>8.9788951140000003E-2</v>
      </c>
      <c r="H35" s="272">
        <f t="shared" si="0"/>
        <v>2.3560050200521765E-4</v>
      </c>
      <c r="I35" s="273">
        <f>IF(OR(A35=SABANA!$C$14, D35="adicional"),0,_xlfn.DAYS(B35,A35)+1)</f>
        <v>28</v>
      </c>
      <c r="J35" s="271">
        <f t="shared" si="2"/>
        <v>0</v>
      </c>
    </row>
    <row r="36" spans="1:10" x14ac:dyDescent="0.35">
      <c r="A36" s="152">
        <f>IF(
    AND(
        YEAR(B35)=YEAR(DATE(YEAR($D$1), MONTH($D$1)-1, 1)),
        MONTH(B35)=MONTH(DATE(YEAR($D$1), MONTH($D$1)-1, 1))
    ),
    $D$1,
    IF(
        $D$4="",
        DATE(YEAR(B35), MONTH(B35)+1, 1),
        IF(
            AND(
                YEAR(B35)=YEAR(DATE(YEAR($D$4), MONTH($D$4)-1, 1)),
                MONTH(B35)=MONTH(DATE(YEAR($D$4), MONTH($D$4)-1, 1))
            ),
            $D$4,
            DATE(YEAR(B35), MONTH(B35)+1, 1)
        )
    )
)</f>
        <v>39873</v>
      </c>
      <c r="B36" s="152">
        <f>IF(
AND(
YEAR(B35)=YEAR(DATE(YEAR($D$2),MONTH($D$2)-1,1)),
MONTH(B35)=MONTH(DATE(YEAR($D$2),MONTH($D$2)-1,1))
),
$D$2,
IF(
$D$3="",
EOMONTH(B35,1),
IF(
AND(
YEAR(B35)=YEAR(DATE(YEAR($D$3),MONTH($D$3)-1,1)),
MONTH(B35)=MONTH(DATE(YEAR($D$3),MONTH($D$3)-1,1))
),
$D$3,
EOMONTH(B35,1)
)))</f>
        <v>39903</v>
      </c>
      <c r="C36" s="438"/>
      <c r="D36" s="149" t="s">
        <v>98</v>
      </c>
      <c r="E36" s="271">
        <f>'CAP POST'!G35</f>
        <v>0</v>
      </c>
      <c r="F36" s="271">
        <f t="shared" si="1"/>
        <v>0</v>
      </c>
      <c r="G36" s="215">
        <v>8.1703718049999999E-2</v>
      </c>
      <c r="H36" s="272">
        <f t="shared" si="0"/>
        <v>2.1519387657042977E-4</v>
      </c>
      <c r="I36" s="273">
        <f>IF(OR(A36=SABANA!$C$14, D36="adicional"),0,_xlfn.DAYS(B36,A36)+1)</f>
        <v>31</v>
      </c>
      <c r="J36" s="271">
        <f t="shared" si="2"/>
        <v>0</v>
      </c>
    </row>
    <row r="37" spans="1:10" x14ac:dyDescent="0.35">
      <c r="A37" s="152">
        <f>IF(
    AND(
        YEAR(B36)=YEAR(DATE(YEAR($D$1), MONTH($D$1)-1, 1)),
        MONTH(B36)=MONTH(DATE(YEAR($D$1), MONTH($D$1)-1, 1))
    ),
    $D$1,
    IF(
        $D$4="",
        DATE(YEAR(B36), MONTH(B36)+1, 1),
        IF(
            AND(
                YEAR(B36)=YEAR(DATE(YEAR($D$4), MONTH($D$4)-1, 1)),
                MONTH(B36)=MONTH(DATE(YEAR($D$4), MONTH($D$4)-1, 1))
            ),
            $D$4,
            DATE(YEAR(B36), MONTH(B36)+1, 1)
        )
    )
)</f>
        <v>39904</v>
      </c>
      <c r="B37" s="152">
        <f>IF(
AND(
YEAR(B36)=YEAR(DATE(YEAR($D$2),MONTH($D$2)-1,1)),
MONTH(B36)=MONTH(DATE(YEAR($D$2),MONTH($D$2)-1,1))
),
$D$2,
IF(
$D$3="",
EOMONTH(B36,1),
IF(
AND(
YEAR(B36)=YEAR(DATE(YEAR($D$3),MONTH($D$3)-1,1)),
MONTH(B36)=MONTH(DATE(YEAR($D$3),MONTH($D$3)-1,1))
),
$D$3,
EOMONTH(B36,1)
)))</f>
        <v>39933</v>
      </c>
      <c r="C37" s="438"/>
      <c r="D37" s="149" t="s">
        <v>99</v>
      </c>
      <c r="E37" s="271">
        <f>'CAP POST'!G36</f>
        <v>0</v>
      </c>
      <c r="F37" s="271">
        <f t="shared" si="1"/>
        <v>0</v>
      </c>
      <c r="G37" s="215">
        <v>7.1242123429999998E-2</v>
      </c>
      <c r="H37" s="272">
        <f t="shared" si="0"/>
        <v>1.8856253790566768E-4</v>
      </c>
      <c r="I37" s="273">
        <f>IF(OR(A37=SABANA!$C$14, D37="adicional"),0,_xlfn.DAYS(B37,A37)+1)</f>
        <v>30</v>
      </c>
      <c r="J37" s="271">
        <f t="shared" si="2"/>
        <v>0</v>
      </c>
    </row>
    <row r="38" spans="1:10" x14ac:dyDescent="0.35">
      <c r="A38" s="152">
        <f>IF(
    AND(
        YEAR(B37)=YEAR(DATE(YEAR($D$1), MONTH($D$1)-1, 1)),
        MONTH(B37)=MONTH(DATE(YEAR($D$1), MONTH($D$1)-1, 1))
    ),
    $D$1,
    IF(
        $D$4="",
        DATE(YEAR(B37), MONTH(B37)+1, 1),
        IF(
            AND(
                YEAR(B37)=YEAR(DATE(YEAR($D$4), MONTH($D$4)-1, 1)),
                MONTH(B37)=MONTH(DATE(YEAR($D$4), MONTH($D$4)-1, 1))
            ),
            $D$4,
            DATE(YEAR(B37), MONTH(B37)+1, 1)
        )
    )
)</f>
        <v>39934</v>
      </c>
      <c r="B38" s="152">
        <f>IF(
AND(
YEAR(B37)=YEAR(DATE(YEAR($D$2),MONTH($D$2)-1,1)),
MONTH(B37)=MONTH(DATE(YEAR($D$2),MONTH($D$2)-1,1))
),
$D$2,
IF(
$D$3="",
EOMONTH(B37,1),
IF(
AND(
YEAR(B37)=YEAR(DATE(YEAR($D$3),MONTH($D$3)-1,1)),
MONTH(B37)=MONTH(DATE(YEAR($D$3),MONTH($D$3)-1,1))
),
$D$3,
EOMONTH(B37,1)
)))</f>
        <v>39964</v>
      </c>
      <c r="C38" s="438"/>
      <c r="D38" s="149" t="s">
        <v>100</v>
      </c>
      <c r="E38" s="271">
        <f>'CAP POST'!G37</f>
        <v>0</v>
      </c>
      <c r="F38" s="271">
        <f t="shared" si="1"/>
        <v>0</v>
      </c>
      <c r="G38" s="215">
        <v>6.2031263599999997E-2</v>
      </c>
      <c r="H38" s="272">
        <f t="shared" si="0"/>
        <v>1.648995144427623E-4</v>
      </c>
      <c r="I38" s="273">
        <f>IF(OR(A38=SABANA!$C$14, D38="adicional"),0,_xlfn.DAYS(B38,A38)+1)</f>
        <v>31</v>
      </c>
      <c r="J38" s="271">
        <f t="shared" si="2"/>
        <v>0</v>
      </c>
    </row>
    <row r="39" spans="1:10" x14ac:dyDescent="0.35">
      <c r="A39" s="156">
        <f t="shared" ref="A39" si="3">A40</f>
        <v>39965</v>
      </c>
      <c r="B39" s="156">
        <f t="shared" ref="B39" si="4">B40</f>
        <v>39994</v>
      </c>
      <c r="C39" s="438"/>
      <c r="D39" s="149" t="s">
        <v>102</v>
      </c>
      <c r="E39" s="271">
        <f>'CAP POST'!G39</f>
        <v>0</v>
      </c>
      <c r="F39" s="271">
        <f t="shared" si="1"/>
        <v>0</v>
      </c>
      <c r="G39" s="215">
        <v>5.5240039040000001E-2</v>
      </c>
      <c r="H39" s="272">
        <f t="shared" si="0"/>
        <v>1.4732116906635007E-4</v>
      </c>
      <c r="I39" s="273">
        <f>IF(OR(A39=SABANA!$C$14, D39="adicional"),0,_xlfn.DAYS(B39,A39)+1)</f>
        <v>30</v>
      </c>
      <c r="J39" s="271">
        <f t="shared" si="2"/>
        <v>0</v>
      </c>
    </row>
    <row r="40" spans="1:10" x14ac:dyDescent="0.35">
      <c r="A40" s="152">
        <f>IF(
    AND(
        YEAR(B38)=YEAR(DATE(YEAR($D$1), MONTH($D$1)-1, 1)),
        MONTH(B38)=MONTH(DATE(YEAR($D$1), MONTH($D$1)-1, 1))
    ),
    $D$1,
    IF(
        $D$4="",
        DATE(YEAR(B38), MONTH(B38)+1, 1),
        IF(
            AND(
                YEAR(B38)=YEAR(DATE(YEAR($D$4), MONTH($D$4)-1, 1)),
                MONTH(B38)=MONTH(DATE(YEAR($D$4), MONTH($D$4)-1, 1))
            ),
            $D$4,
            DATE(YEAR(B38), MONTH(B38)+1, 1)
        )
    )
)</f>
        <v>39965</v>
      </c>
      <c r="B40" s="152">
        <f>IF(
AND(
YEAR(B38)=YEAR(DATE(YEAR($D$2),MONTH($D$2)-1,1)),
MONTH(B38)=MONTH(DATE(YEAR($D$2),MONTH($D$2)-1,1))
),
$D$2,
IF(
$D$3="",
EOMONTH(B38,1),
IF(
AND(
YEAR(B38)=YEAR(DATE(YEAR($D$3),MONTH($D$3)-1,1)),
MONTH(B38)=MONTH(DATE(YEAR($D$3),MONTH($D$3)-1,1))
),
$D$3,
EOMONTH(B38,1)
)))</f>
        <v>39994</v>
      </c>
      <c r="C40" s="438"/>
      <c r="D40" s="157" t="s">
        <v>101</v>
      </c>
      <c r="E40" s="274">
        <f>'CAP POST'!G38</f>
        <v>0</v>
      </c>
      <c r="F40" s="271">
        <f t="shared" si="1"/>
        <v>0</v>
      </c>
      <c r="G40" s="275">
        <v>5.1511164980000003E-2</v>
      </c>
      <c r="H40" s="276"/>
      <c r="I40" s="273">
        <f>IF(OR(A40=SABANA!$C$14, D40="adicional"),0,_xlfn.DAYS(B40,A40)+1)</f>
        <v>0</v>
      </c>
      <c r="J40" s="271">
        <f t="shared" ref="J40" si="5">IF(AND(OR(A40&gt;=$D$4,B40&lt;=$D$3), AND(A39&gt;=$D$1,B39&lt;$D$2)),(F38*I40*H40),0)</f>
        <v>0</v>
      </c>
    </row>
    <row r="41" spans="1:10" x14ac:dyDescent="0.35">
      <c r="A41" s="152">
        <f>IF(
    AND(
        YEAR(B40)=YEAR(DATE(YEAR($D$1), MONTH($D$1)-1, 1)),
        MONTH(B40)=MONTH(DATE(YEAR($D$1), MONTH($D$1)-1, 1))
    ),
    $D$1,
    IF(
        $D$4="",
        DATE(YEAR(B40), MONTH(B40)+1, 1),
        IF(
            AND(
                YEAR(B40)=YEAR(DATE(YEAR($D$4), MONTH($D$4)-1, 1)),
                MONTH(B40)=MONTH(DATE(YEAR($D$4), MONTH($D$4)-1, 1))
            ),
            $D$4,
            DATE(YEAR(B40), MONTH(B40)+1, 1)
        )
    )
)</f>
        <v>39995</v>
      </c>
      <c r="B41" s="152">
        <f>IF(
AND(
YEAR(B40)=YEAR(DATE(YEAR($D$2),MONTH($D$2)-1,1)),
MONTH(B40)=MONTH(DATE(YEAR($D$2),MONTH($D$2)-1,1))
),
$D$2,
IF(
$D$3="",
EOMONTH(B40,1),
IF(
AND(
YEAR(B40)=YEAR(DATE(YEAR($D$3),MONTH($D$3)-1,1)),
MONTH(B40)=MONTH(DATE(YEAR($D$3),MONTH($D$3)-1,1))
),
$D$3,
EOMONTH(B40,1)
)))</f>
        <v>40025</v>
      </c>
      <c r="C41" s="438"/>
      <c r="D41" s="149" t="s">
        <v>103</v>
      </c>
      <c r="E41" s="271">
        <f>'CAP POST'!G40</f>
        <v>0</v>
      </c>
      <c r="F41" s="271">
        <f t="shared" si="1"/>
        <v>0</v>
      </c>
      <c r="G41" s="215">
        <v>5.1511164980000003E-2</v>
      </c>
      <c r="H41" s="272">
        <f>((1+G41)^(1/365)-1)</f>
        <v>1.3762134360528755E-4</v>
      </c>
      <c r="I41" s="273">
        <f>IF(OR(A41=SABANA!$C$14, D41="adicional"),0,_xlfn.DAYS(B41,A41)+1)</f>
        <v>31</v>
      </c>
      <c r="J41" s="271">
        <f t="shared" si="2"/>
        <v>0</v>
      </c>
    </row>
    <row r="42" spans="1:10" x14ac:dyDescent="0.35">
      <c r="A42" s="152">
        <f>IF(
    AND(
        YEAR(B41)=YEAR(DATE(YEAR($D$1), MONTH($D$1)-1, 1)),
        MONTH(B41)=MONTH(DATE(YEAR($D$1), MONTH($D$1)-1, 1))
    ),
    $D$1,
    IF(
        $D$4="",
        DATE(YEAR(B41), MONTH(B41)+1, 1),
        IF(
            AND(
                YEAR(B41)=YEAR(DATE(YEAR($D$4), MONTH($D$4)-1, 1)),
                MONTH(B41)=MONTH(DATE(YEAR($D$4), MONTH($D$4)-1, 1))
            ),
            $D$4,
            DATE(YEAR(B41), MONTH(B41)+1, 1)
        )
    )
)</f>
        <v>40026</v>
      </c>
      <c r="B42" s="152">
        <f>IF(
AND(
YEAR(B41)=YEAR(DATE(YEAR($D$2),MONTH($D$2)-1,1)),
MONTH(B41)=MONTH(DATE(YEAR($D$2),MONTH($D$2)-1,1))
),
$D$2,
IF(
$D$3="",
EOMONTH(B41,1),
IF(
AND(
YEAR(B41)=YEAR(DATE(YEAR($D$3),MONTH($D$3)-1,1)),
MONTH(B41)=MONTH(DATE(YEAR($D$3),MONTH($D$3)-1,1))
),
$D$3,
EOMONTH(B41,1)
)))</f>
        <v>40056</v>
      </c>
      <c r="C42" s="438"/>
      <c r="D42" s="149" t="s">
        <v>104</v>
      </c>
      <c r="E42" s="271">
        <f>'CAP POST'!G41</f>
        <v>0</v>
      </c>
      <c r="F42" s="271">
        <f t="shared" si="1"/>
        <v>0</v>
      </c>
      <c r="G42" s="215">
        <v>5.0779249229999997E-2</v>
      </c>
      <c r="H42" s="272">
        <f t="shared" si="0"/>
        <v>1.3571340286633315E-4</v>
      </c>
      <c r="I42" s="273">
        <f>IF(OR(A42=SABANA!$C$14, D42="adicional"),0,_xlfn.DAYS(B42,A42)+1)</f>
        <v>31</v>
      </c>
      <c r="J42" s="271">
        <f t="shared" si="2"/>
        <v>0</v>
      </c>
    </row>
    <row r="43" spans="1:10" x14ac:dyDescent="0.35">
      <c r="A43" s="152">
        <f>IF(
    AND(
        YEAR(B42)=YEAR(DATE(YEAR($D$1), MONTH($D$1)-1, 1)),
        MONTH(B42)=MONTH(DATE(YEAR($D$1), MONTH($D$1)-1, 1))
    ),
    $D$1,
    IF(
        $D$4="",
        DATE(YEAR(B42), MONTH(B42)+1, 1),
        IF(
            AND(
                YEAR(B42)=YEAR(DATE(YEAR($D$4), MONTH($D$4)-1, 1)),
                MONTH(B42)=MONTH(DATE(YEAR($D$4), MONTH($D$4)-1, 1))
            ),
            $D$4,
            DATE(YEAR(B42), MONTH(B42)+1, 1)
        )
    )
)</f>
        <v>40057</v>
      </c>
      <c r="B43" s="152">
        <f>IF(
AND(
YEAR(B42)=YEAR(DATE(YEAR($D$2),MONTH($D$2)-1,1)),
MONTH(B42)=MONTH(DATE(YEAR($D$2),MONTH($D$2)-1,1))
),
$D$2,
IF(
$D$3="",
EOMONTH(B42,1),
IF(
AND(
YEAR(B42)=YEAR(DATE(YEAR($D$3),MONTH($D$3)-1,1)),
MONTH(B42)=MONTH(DATE(YEAR($D$3),MONTH($D$3)-1,1))
),
$D$3,
EOMONTH(B42,1)
)))</f>
        <v>40086</v>
      </c>
      <c r="C43" s="438"/>
      <c r="D43" s="149" t="s">
        <v>105</v>
      </c>
      <c r="E43" s="271">
        <f>'CAP POST'!G42</f>
        <v>0</v>
      </c>
      <c r="F43" s="271">
        <f t="shared" si="1"/>
        <v>0</v>
      </c>
      <c r="G43" s="215">
        <v>4.8910099110000001E-2</v>
      </c>
      <c r="H43" s="272">
        <f t="shared" si="0"/>
        <v>1.3083492588439327E-4</v>
      </c>
      <c r="I43" s="273">
        <f>IF(OR(A43=SABANA!$C$14, D43="adicional"),0,_xlfn.DAYS(B43,A43)+1)</f>
        <v>30</v>
      </c>
      <c r="J43" s="271">
        <f t="shared" si="2"/>
        <v>0</v>
      </c>
    </row>
    <row r="44" spans="1:10" x14ac:dyDescent="0.35">
      <c r="A44" s="152">
        <f>IF(
    AND(
        YEAR(B43)=YEAR(DATE(YEAR($D$1), MONTH($D$1)-1, 1)),
        MONTH(B43)=MONTH(DATE(YEAR($D$1), MONTH($D$1)-1, 1))
    ),
    $D$1,
    IF(
        $D$4="",
        DATE(YEAR(B43), MONTH(B43)+1, 1),
        IF(
            AND(
                YEAR(B43)=YEAR(DATE(YEAR($D$4), MONTH($D$4)-1, 1)),
                MONTH(B43)=MONTH(DATE(YEAR($D$4), MONTH($D$4)-1, 1))
            ),
            $D$4,
            DATE(YEAR(B43), MONTH(B43)+1, 1)
        )
    )
)</f>
        <v>40087</v>
      </c>
      <c r="B44" s="152">
        <f>IF(
AND(
YEAR(B43)=YEAR(DATE(YEAR($D$2),MONTH($D$2)-1,1)),
MONTH(B43)=MONTH(DATE(YEAR($D$2),MONTH($D$2)-1,1))
),
$D$2,
IF(
$D$3="",
EOMONTH(B43,1),
IF(
AND(
YEAR(B43)=YEAR(DATE(YEAR($D$3),MONTH($D$3)-1,1)),
MONTH(B43)=MONTH(DATE(YEAR($D$3),MONTH($D$3)-1,1))
),
$D$3,
EOMONTH(B43,1)
)))</f>
        <v>40117</v>
      </c>
      <c r="C44" s="438"/>
      <c r="D44" s="149" t="s">
        <v>106</v>
      </c>
      <c r="E44" s="271">
        <f>'CAP POST'!G43</f>
        <v>0</v>
      </c>
      <c r="F44" s="271">
        <f t="shared" si="1"/>
        <v>0</v>
      </c>
      <c r="G44" s="215">
        <v>4.4145648359999998E-2</v>
      </c>
      <c r="H44" s="272">
        <f t="shared" si="0"/>
        <v>1.1836040034962636E-4</v>
      </c>
      <c r="I44" s="273">
        <f>IF(OR(A44=SABANA!$C$14, D44="adicional"),0,_xlfn.DAYS(B44,A44)+1)</f>
        <v>31</v>
      </c>
      <c r="J44" s="271">
        <f t="shared" si="2"/>
        <v>0</v>
      </c>
    </row>
    <row r="45" spans="1:10" x14ac:dyDescent="0.35">
      <c r="A45" s="152">
        <f>IF(
    AND(
        YEAR(B44)=YEAR(DATE(YEAR($D$1), MONTH($D$1)-1, 1)),
        MONTH(B44)=MONTH(DATE(YEAR($D$1), MONTH($D$1)-1, 1))
    ),
    $D$1,
    IF(
        $D$4="",
        DATE(YEAR(B44), MONTH(B44)+1, 1),
        IF(
            AND(
                YEAR(B44)=YEAR(DATE(YEAR($D$4), MONTH($D$4)-1, 1)),
                MONTH(B44)=MONTH(DATE(YEAR($D$4), MONTH($D$4)-1, 1))
            ),
            $D$4,
            DATE(YEAR(B44), MONTH(B44)+1, 1)
        )
    )
)</f>
        <v>40118</v>
      </c>
      <c r="B45" s="152">
        <f>IF(
AND(
YEAR(B44)=YEAR(DATE(YEAR($D$2),MONTH($D$2)-1,1)),
MONTH(B44)=MONTH(DATE(YEAR($D$2),MONTH($D$2)-1,1))
),
$D$2,
IF(
$D$3="",
EOMONTH(B44,1),
IF(
AND(
YEAR(B44)=YEAR(DATE(YEAR($D$3),MONTH($D$3)-1,1)),
MONTH(B44)=MONTH(DATE(YEAR($D$3),MONTH($D$3)-1,1))
),
$D$3,
EOMONTH(B44,1)
)))</f>
        <v>40147</v>
      </c>
      <c r="C45" s="438"/>
      <c r="D45" s="149" t="s">
        <v>107</v>
      </c>
      <c r="E45" s="271">
        <f>'CAP POST'!G44</f>
        <v>0</v>
      </c>
      <c r="F45" s="271">
        <f t="shared" si="1"/>
        <v>0</v>
      </c>
      <c r="G45" s="215">
        <v>4.4043867620000003E-2</v>
      </c>
      <c r="H45" s="272">
        <f t="shared" si="0"/>
        <v>1.1809329402789892E-4</v>
      </c>
      <c r="I45" s="273">
        <f>IF(OR(A45=SABANA!$C$14, D45="adicional"),0,_xlfn.DAYS(B45,A45)+1)</f>
        <v>30</v>
      </c>
      <c r="J45" s="271">
        <f t="shared" si="2"/>
        <v>0</v>
      </c>
    </row>
    <row r="46" spans="1:10" x14ac:dyDescent="0.35">
      <c r="A46" s="156">
        <f t="shared" ref="A46" si="6">A45</f>
        <v>40118</v>
      </c>
      <c r="B46" s="156">
        <f t="shared" ref="B46" si="7">B45</f>
        <v>40147</v>
      </c>
      <c r="C46" s="438"/>
      <c r="D46" s="157" t="s">
        <v>101</v>
      </c>
      <c r="E46" s="274">
        <f>'CAP POST'!G45</f>
        <v>0</v>
      </c>
      <c r="F46" s="271">
        <f t="shared" si="1"/>
        <v>0</v>
      </c>
      <c r="G46" s="275">
        <v>4.1175381599999998E-2</v>
      </c>
      <c r="H46" s="276"/>
      <c r="I46" s="273">
        <f>IF(OR(A46=SABANA!$C$14, D46="adicional"),0,_xlfn.DAYS(B46,A46)+1)</f>
        <v>0</v>
      </c>
      <c r="J46" s="271">
        <f t="shared" si="2"/>
        <v>0</v>
      </c>
    </row>
    <row r="47" spans="1:10" x14ac:dyDescent="0.35">
      <c r="A47" s="152">
        <f>IF(
    AND(
        YEAR(B45)=YEAR(DATE(YEAR($D$1), MONTH($D$1)-1, 1)),
        MONTH(B45)=MONTH(DATE(YEAR($D$1), MONTH($D$1)-1, 1))
    ),
    $D$1,
    IF(
        $D$4="",
        DATE(YEAR(B45), MONTH(B45)+1, 1),
        IF(
            AND(
                YEAR(B45)=YEAR(DATE(YEAR($D$4), MONTH($D$4)-1, 1)),
                MONTH(B45)=MONTH(DATE(YEAR($D$4), MONTH($D$4)-1, 1))
            ),
            $D$4,
            DATE(YEAR(B45), MONTH(B45)+1, 1)
        )
    )
)</f>
        <v>40148</v>
      </c>
      <c r="B47" s="152">
        <f>IF(
AND(
YEAR(B45)=YEAR(DATE(YEAR($D$2),MONTH($D$2)-1,1)),
MONTH(B45)=MONTH(DATE(YEAR($D$2),MONTH($D$2)-1,1))
),
$D$2,
IF(
$D$3="",
EOMONTH(B45,1),
IF(
AND(
YEAR(B45)=YEAR(DATE(YEAR($D$3),MONTH($D$3)-1,1)),
MONTH(B45)=MONTH(DATE(YEAR($D$3),MONTH($D$3)-1,1))
),
$D$3,
EOMONTH(B45,1)
)))</f>
        <v>40178</v>
      </c>
      <c r="C47" s="439"/>
      <c r="D47" s="149" t="s">
        <v>108</v>
      </c>
      <c r="E47" s="271">
        <f>'CAP POST'!G46</f>
        <v>0</v>
      </c>
      <c r="F47" s="271">
        <f t="shared" si="1"/>
        <v>0</v>
      </c>
      <c r="G47" s="215">
        <v>4.1175381599999998E-2</v>
      </c>
      <c r="H47" s="272">
        <f>((1+G47)^(1/365)-1)</f>
        <v>1.105547397717288E-4</v>
      </c>
      <c r="I47" s="273">
        <f>IF(OR(A47=SABANA!$C$14, D47="adicional"),0,_xlfn.DAYS(B47,A47)+1)</f>
        <v>31</v>
      </c>
      <c r="J47" s="271">
        <f>IF(AND(OR(A47&gt;=$D$4,B47&lt;=$D$3), AND(A46&gt;=$D$1,B46&lt;$D$2)),(F45*I47*H47),0)</f>
        <v>0</v>
      </c>
    </row>
    <row r="48" spans="1:10" x14ac:dyDescent="0.35">
      <c r="A48" s="152">
        <f>IF(
    AND(
        YEAR(B47)=YEAR(DATE(YEAR($D$1), MONTH($D$1)-1, 1)),
        MONTH(B47)=MONTH(DATE(YEAR($D$1), MONTH($D$1)-1, 1))
    ),
    $D$1,
    IF(
        $D$4="",
        DATE(YEAR(B47), MONTH(B47)+1, 1),
        IF(
            AND(
                YEAR(B47)=YEAR(DATE(YEAR($D$4), MONTH($D$4)-1, 1)),
                MONTH(B47)=MONTH(DATE(YEAR($D$4), MONTH($D$4)-1, 1))
            ),
            $D$4,
            DATE(YEAR(B47), MONTH(B47)+1, 1)
        )
    )
)</f>
        <v>40179</v>
      </c>
      <c r="B48" s="152">
        <f>IF(
AND(
YEAR(B47)=YEAR(DATE(YEAR($D$2),MONTH($D$2)-1,1)),
MONTH(B47)=MONTH(DATE(YEAR($D$2),MONTH($D$2)-1,1))
),
$D$2,
IF(
$D$3="",
EOMONTH(B47,1),
IF(
AND(
YEAR(B47)=YEAR(DATE(YEAR($D$3),MONTH($D$3)-1,1)),
MONTH(B47)=MONTH(DATE(YEAR($D$3),MONTH($D$3)-1,1))
),
$D$3,
EOMONTH(B47,1)
)))</f>
        <v>40209</v>
      </c>
      <c r="C48" s="468">
        <v>2010</v>
      </c>
      <c r="D48" s="149" t="s">
        <v>96</v>
      </c>
      <c r="E48" s="271">
        <f>'CAP POST'!G47</f>
        <v>0</v>
      </c>
      <c r="F48" s="271">
        <f t="shared" si="1"/>
        <v>0</v>
      </c>
      <c r="G48" s="215">
        <v>4.0398731110000002E-2</v>
      </c>
      <c r="H48" s="272">
        <f t="shared" si="0"/>
        <v>1.0851009220291807E-4</v>
      </c>
      <c r="I48" s="273">
        <f>IF(OR(A48=SABANA!$C$14, D48="adicional"),0,_xlfn.DAYS(B48,A48)+1)</f>
        <v>31</v>
      </c>
      <c r="J48" s="271">
        <f t="shared" si="2"/>
        <v>0</v>
      </c>
    </row>
    <row r="49" spans="1:10" x14ac:dyDescent="0.35">
      <c r="A49" s="152">
        <f>IF(
    AND(
        YEAR(B48)=YEAR(DATE(YEAR($D$1), MONTH($D$1)-1, 1)),
        MONTH(B48)=MONTH(DATE(YEAR($D$1), MONTH($D$1)-1, 1))
    ),
    $D$1,
    IF(
        $D$4="",
        DATE(YEAR(B48), MONTH(B48)+1, 1),
        IF(
            AND(
                YEAR(B48)=YEAR(DATE(YEAR($D$4), MONTH($D$4)-1, 1)),
                MONTH(B48)=MONTH(DATE(YEAR($D$4), MONTH($D$4)-1, 1))
            ),
            $D$4,
            DATE(YEAR(B48), MONTH(B48)+1, 1)
        )
    )
)</f>
        <v>40210</v>
      </c>
      <c r="B49" s="152">
        <f>IF(
AND(
YEAR(B48)=YEAR(DATE(YEAR($D$2),MONTH($D$2)-1,1)),
MONTH(B48)=MONTH(DATE(YEAR($D$2),MONTH($D$2)-1,1))
),
$D$2,
IF(
$D$3="",
EOMONTH(B48,1),
IF(
AND(
YEAR(B48)=YEAR(DATE(YEAR($D$3),MONTH($D$3)-1,1)),
MONTH(B48)=MONTH(DATE(YEAR($D$3),MONTH($D$3)-1,1))
),
$D$3,
EOMONTH(B48,1)
)))</f>
        <v>40237</v>
      </c>
      <c r="C49" s="471"/>
      <c r="D49" s="149" t="s">
        <v>97</v>
      </c>
      <c r="E49" s="271">
        <f>'CAP POST'!G48</f>
        <v>0</v>
      </c>
      <c r="F49" s="271">
        <f t="shared" si="1"/>
        <v>0</v>
      </c>
      <c r="G49" s="215">
        <v>4.0032041140000002E-2</v>
      </c>
      <c r="H49" s="272">
        <f t="shared" si="0"/>
        <v>1.0754419744118948E-4</v>
      </c>
      <c r="I49" s="273">
        <f>IF(OR(A49=SABANA!$C$14, D49="adicional"),0,_xlfn.DAYS(B49,A49)+1)</f>
        <v>28</v>
      </c>
      <c r="J49" s="271">
        <f t="shared" si="2"/>
        <v>0</v>
      </c>
    </row>
    <row r="50" spans="1:10" x14ac:dyDescent="0.35">
      <c r="A50" s="152">
        <f>IF(
    AND(
        YEAR(B49)=YEAR(DATE(YEAR($D$1), MONTH($D$1)-1, 1)),
        MONTH(B49)=MONTH(DATE(YEAR($D$1), MONTH($D$1)-1, 1))
    ),
    $D$1,
    IF(
        $D$4="",
        DATE(YEAR(B49), MONTH(B49)+1, 1),
        IF(
            AND(
                YEAR(B49)=YEAR(DATE(YEAR($D$4), MONTH($D$4)-1, 1)),
                MONTH(B49)=MONTH(DATE(YEAR($D$4), MONTH($D$4)-1, 1))
            ),
            $D$4,
            DATE(YEAR(B49), MONTH(B49)+1, 1)
        )
    )
)</f>
        <v>40238</v>
      </c>
      <c r="B50" s="152">
        <f>IF(
AND(
YEAR(B49)=YEAR(DATE(YEAR($D$2),MONTH($D$2)-1,1)),
MONTH(B49)=MONTH(DATE(YEAR($D$2),MONTH($D$2)-1,1))
),
$D$2,
IF(
$D$3="",
EOMONTH(B49,1),
IF(
AND(
YEAR(B49)=YEAR(DATE(YEAR($D$3),MONTH($D$3)-1,1)),
MONTH(B49)=MONTH(DATE(YEAR($D$3),MONTH($D$3)-1,1))
),
$D$3,
EOMONTH(B49,1)
)))</f>
        <v>40268</v>
      </c>
      <c r="C50" s="471"/>
      <c r="D50" s="149" t="s">
        <v>98</v>
      </c>
      <c r="E50" s="271">
        <f>'CAP POST'!G49</f>
        <v>0</v>
      </c>
      <c r="F50" s="271">
        <f t="shared" si="1"/>
        <v>0</v>
      </c>
      <c r="G50" s="215">
        <v>3.9305437899999997E-2</v>
      </c>
      <c r="H50" s="272">
        <f t="shared" si="0"/>
        <v>1.0562925473389662E-4</v>
      </c>
      <c r="I50" s="273">
        <f>IF(OR(A50=SABANA!$C$14, D50="adicional"),0,_xlfn.DAYS(B50,A50)+1)</f>
        <v>31</v>
      </c>
      <c r="J50" s="271">
        <f t="shared" si="2"/>
        <v>0</v>
      </c>
    </row>
    <row r="51" spans="1:10" x14ac:dyDescent="0.35">
      <c r="A51" s="152">
        <f>IF(
    AND(
        YEAR(B50)=YEAR(DATE(YEAR($D$1), MONTH($D$1)-1, 1)),
        MONTH(B50)=MONTH(DATE(YEAR($D$1), MONTH($D$1)-1, 1))
    ),
    $D$1,
    IF(
        $D$4="",
        DATE(YEAR(B50), MONTH(B50)+1, 1),
        IF(
            AND(
                YEAR(B50)=YEAR(DATE(YEAR($D$4), MONTH($D$4)-1, 1)),
                MONTH(B50)=MONTH(DATE(YEAR($D$4), MONTH($D$4)-1, 1))
            ),
            $D$4,
            DATE(YEAR(B50), MONTH(B50)+1, 1)
        )
    )
)</f>
        <v>40269</v>
      </c>
      <c r="B51" s="152">
        <f>IF(
AND(
YEAR(B50)=YEAR(DATE(YEAR($D$2),MONTH($D$2)-1,1)),
MONTH(B50)=MONTH(DATE(YEAR($D$2),MONTH($D$2)-1,1))
),
$D$2,
IF(
$D$3="",
EOMONTH(B50,1),
IF(
AND(
YEAR(B50)=YEAR(DATE(YEAR($D$3),MONTH($D$3)-1,1)),
MONTH(B50)=MONTH(DATE(YEAR($D$3),MONTH($D$3)-1,1))
),
$D$3,
EOMONTH(B50,1)
)))</f>
        <v>40298</v>
      </c>
      <c r="C51" s="471"/>
      <c r="D51" s="149" t="s">
        <v>99</v>
      </c>
      <c r="E51" s="271">
        <f>'CAP POST'!G50</f>
        <v>0</v>
      </c>
      <c r="F51" s="271">
        <f t="shared" si="1"/>
        <v>0</v>
      </c>
      <c r="G51" s="215">
        <v>3.9195058169999998E-2</v>
      </c>
      <c r="H51" s="272">
        <f t="shared" si="0"/>
        <v>1.0533823520364471E-4</v>
      </c>
      <c r="I51" s="273">
        <f>IF(OR(A51=SABANA!$C$14, D51="adicional"),0,_xlfn.DAYS(B51,A51)+1)</f>
        <v>30</v>
      </c>
      <c r="J51" s="271">
        <f t="shared" si="2"/>
        <v>0</v>
      </c>
    </row>
    <row r="52" spans="1:10" x14ac:dyDescent="0.35">
      <c r="A52" s="152">
        <f>IF(
    AND(
        YEAR(B51)=YEAR(DATE(YEAR($D$1), MONTH($D$1)-1, 1)),
        MONTH(B51)=MONTH(DATE(YEAR($D$1), MONTH($D$1)-1, 1))
    ),
    $D$1,
    IF(
        $D$4="",
        DATE(YEAR(B51), MONTH(B51)+1, 1),
        IF(
            AND(
                YEAR(B51)=YEAR(DATE(YEAR($D$4), MONTH($D$4)-1, 1)),
                MONTH(B51)=MONTH(DATE(YEAR($D$4), MONTH($D$4)-1, 1))
            ),
            $D$4,
            DATE(YEAR(B51), MONTH(B51)+1, 1)
        )
    )
)</f>
        <v>40299</v>
      </c>
      <c r="B52" s="152">
        <f>IF(
AND(
YEAR(B51)=YEAR(DATE(YEAR($D$2),MONTH($D$2)-1,1)),
MONTH(B51)=MONTH(DATE(YEAR($D$2),MONTH($D$2)-1,1))
),
$D$2,
IF(
$D$3="",
EOMONTH(B51,1),
IF(
AND(
YEAR(B51)=YEAR(DATE(YEAR($D$3),MONTH($D$3)-1,1)),
MONTH(B51)=MONTH(DATE(YEAR($D$3),MONTH($D$3)-1,1))
),
$D$3,
EOMONTH(B51,1)
)))</f>
        <v>40329</v>
      </c>
      <c r="C52" s="471"/>
      <c r="D52" s="149" t="s">
        <v>100</v>
      </c>
      <c r="E52" s="271">
        <f>'CAP POST'!G51</f>
        <v>0</v>
      </c>
      <c r="F52" s="271">
        <f t="shared" si="1"/>
        <v>0</v>
      </c>
      <c r="G52" s="215">
        <v>3.6342321470000001E-2</v>
      </c>
      <c r="H52" s="272">
        <f t="shared" si="0"/>
        <v>9.7806194735872154E-5</v>
      </c>
      <c r="I52" s="273">
        <f>IF(OR(A52=SABANA!$C$14, D52="adicional"),0,_xlfn.DAYS(B52,A52)+1)</f>
        <v>31</v>
      </c>
      <c r="J52" s="271">
        <f t="shared" si="2"/>
        <v>0</v>
      </c>
    </row>
    <row r="53" spans="1:10" x14ac:dyDescent="0.35">
      <c r="A53" s="156">
        <f t="shared" ref="A53" si="8">A54</f>
        <v>40330</v>
      </c>
      <c r="B53" s="156">
        <f t="shared" ref="B53" si="9">B54</f>
        <v>40359</v>
      </c>
      <c r="C53" s="471"/>
      <c r="D53" s="157" t="s">
        <v>101</v>
      </c>
      <c r="E53" s="274">
        <f>'CAP POST'!G52</f>
        <v>0</v>
      </c>
      <c r="F53" s="271">
        <f t="shared" si="1"/>
        <v>0</v>
      </c>
      <c r="G53" s="275">
        <v>3.5185380439999997E-2</v>
      </c>
      <c r="H53" s="276"/>
      <c r="I53" s="273">
        <f>IF(OR(A53=SABANA!$C$14, D53="adicional"),0,_xlfn.DAYS(B53,A53)+1)</f>
        <v>0</v>
      </c>
      <c r="J53" s="271">
        <f t="shared" si="2"/>
        <v>0</v>
      </c>
    </row>
    <row r="54" spans="1:10" x14ac:dyDescent="0.35">
      <c r="A54" s="152">
        <f>IF(
    AND(
        YEAR(B52)=YEAR(DATE(YEAR($D$1), MONTH($D$1)-1, 1)),
        MONTH(B52)=MONTH(DATE(YEAR($D$1), MONTH($D$1)-1, 1))
    ),
    $D$1,
    IF(
        $D$4="",
        DATE(YEAR(B52), MONTH(B52)+1, 1),
        IF(
            AND(
                YEAR(B52)=YEAR(DATE(YEAR($D$4), MONTH($D$4)-1, 1)),
                MONTH(B52)=MONTH(DATE(YEAR($D$4), MONTH($D$4)-1, 1))
            ),
            $D$4,
            DATE(YEAR(B52), MONTH(B52)+1, 1)
        )
    )
)</f>
        <v>40330</v>
      </c>
      <c r="B54" s="152">
        <f>IF(
AND(
YEAR(B52)=YEAR(DATE(YEAR($D$2),MONTH($D$2)-1,1)),
MONTH(B52)=MONTH(DATE(YEAR($D$2),MONTH($D$2)-1,1))
),
$D$2,
IF(
$D$3="",
EOMONTH(B52,1),
IF(
AND(
YEAR(B52)=YEAR(DATE(YEAR($D$3),MONTH($D$3)-1,1)),
MONTH(B52)=MONTH(DATE(YEAR($D$3),MONTH($D$3)-1,1))
),
$D$3,
EOMONTH(B52,1)
)))</f>
        <v>40359</v>
      </c>
      <c r="C54" s="471"/>
      <c r="D54" s="149" t="s">
        <v>102</v>
      </c>
      <c r="E54" s="271">
        <f>'CAP POST'!G53</f>
        <v>0</v>
      </c>
      <c r="F54" s="271">
        <f t="shared" si="1"/>
        <v>0</v>
      </c>
      <c r="G54" s="215">
        <v>3.5365145180000002E-2</v>
      </c>
      <c r="H54" s="272">
        <f>((1+G54)^(1/365)-1)</f>
        <v>9.5221414844859353E-5</v>
      </c>
      <c r="I54" s="273">
        <f>IF(OR(A54=SABANA!$C$14, D54="adicional"),0,_xlfn.DAYS(B54,A54)+1)</f>
        <v>30</v>
      </c>
      <c r="J54" s="271">
        <f>IF(AND(OR(A54&gt;=$D$4,B54&lt;=$D$3), AND(A53&gt;=$D$1,B53&lt;$D$2)),(F52*I54*H54),0)</f>
        <v>0</v>
      </c>
    </row>
    <row r="55" spans="1:10" x14ac:dyDescent="0.35">
      <c r="A55" s="152">
        <f>IF(
    AND(
        YEAR(B54)=YEAR(DATE(YEAR($D$1), MONTH($D$1)-1, 1)),
        MONTH(B54)=MONTH(DATE(YEAR($D$1), MONTH($D$1)-1, 1))
    ),
    $D$1,
    IF(
        $D$4="",
        DATE(YEAR(B54), MONTH(B54)+1, 1),
        IF(
            AND(
                YEAR(B54)=YEAR(DATE(YEAR($D$4), MONTH($D$4)-1, 1)),
                MONTH(B54)=MONTH(DATE(YEAR($D$4), MONTH($D$4)-1, 1))
            ),
            $D$4,
            DATE(YEAR(B54), MONTH(B54)+1, 1)
        )
    )
)</f>
        <v>40360</v>
      </c>
      <c r="B55" s="152">
        <f>IF(
AND(
YEAR(B54)=YEAR(DATE(YEAR($D$2),MONTH($D$2)-1,1)),
MONTH(B54)=MONTH(DATE(YEAR($D$2),MONTH($D$2)-1,1))
),
$D$2,
IF(
$D$3="",
EOMONTH(B54,1),
IF(
AND(
YEAR(B54)=YEAR(DATE(YEAR($D$3),MONTH($D$3)-1,1)),
MONTH(B54)=MONTH(DATE(YEAR($D$3),MONTH($D$3)-1,1))
),
$D$3,
EOMONTH(B54,1)
)))</f>
        <v>40390</v>
      </c>
      <c r="C55" s="471"/>
      <c r="D55" s="149" t="s">
        <v>103</v>
      </c>
      <c r="E55" s="271">
        <f>'CAP POST'!G54</f>
        <v>0</v>
      </c>
      <c r="F55" s="271">
        <f t="shared" si="1"/>
        <v>0</v>
      </c>
      <c r="G55" s="215">
        <v>3.5185380439999997E-2</v>
      </c>
      <c r="H55" s="272">
        <f>((1+G55)^(1/365)-1)</f>
        <v>9.4745644838578613E-5</v>
      </c>
      <c r="I55" s="273">
        <f>IF(OR(A55=SABANA!$C$14, D55="adicional"),0,_xlfn.DAYS(B55,A55)+1)</f>
        <v>31</v>
      </c>
      <c r="J55" s="271">
        <f t="shared" si="2"/>
        <v>0</v>
      </c>
    </row>
    <row r="56" spans="1:10" x14ac:dyDescent="0.35">
      <c r="A56" s="152">
        <f>IF(
    AND(
        YEAR(B55)=YEAR(DATE(YEAR($D$1), MONTH($D$1)-1, 1)),
        MONTH(B55)=MONTH(DATE(YEAR($D$1), MONTH($D$1)-1, 1))
    ),
    $D$1,
    IF(
        $D$4="",
        DATE(YEAR(B55), MONTH(B55)+1, 1),
        IF(
            AND(
                YEAR(B55)=YEAR(DATE(YEAR($D$4), MONTH($D$4)-1, 1)),
                MONTH(B55)=MONTH(DATE(YEAR($D$4), MONTH($D$4)-1, 1))
            ),
            $D$4,
            DATE(YEAR(B55), MONTH(B55)+1, 1)
        )
    )
)</f>
        <v>40391</v>
      </c>
      <c r="B56" s="152">
        <f>IF(
AND(
YEAR(B55)=YEAR(DATE(YEAR($D$2),MONTH($D$2)-1,1)),
MONTH(B55)=MONTH(DATE(YEAR($D$2),MONTH($D$2)-1,1))
),
$D$2,
IF(
$D$3="",
EOMONTH(B55,1),
IF(
AND(
YEAR(B55)=YEAR(DATE(YEAR($D$3),MONTH($D$3)-1,1)),
MONTH(B55)=MONTH(DATE(YEAR($D$3),MONTH($D$3)-1,1))
),
$D$3,
EOMONTH(B55,1)
)))</f>
        <v>40421</v>
      </c>
      <c r="C56" s="471"/>
      <c r="D56" s="149" t="s">
        <v>104</v>
      </c>
      <c r="E56" s="271">
        <f>'CAP POST'!G55</f>
        <v>0</v>
      </c>
      <c r="F56" s="271">
        <f t="shared" si="1"/>
        <v>0</v>
      </c>
      <c r="G56" s="215">
        <v>3.4965900389999999E-2</v>
      </c>
      <c r="H56" s="272">
        <f t="shared" si="0"/>
        <v>9.4164651545325384E-5</v>
      </c>
      <c r="I56" s="273">
        <f>IF(OR(A56=SABANA!$C$14, D56="adicional"),0,_xlfn.DAYS(B56,A56)+1)</f>
        <v>31</v>
      </c>
      <c r="J56" s="271">
        <f t="shared" si="2"/>
        <v>0</v>
      </c>
    </row>
    <row r="57" spans="1:10" x14ac:dyDescent="0.35">
      <c r="A57" s="152">
        <f>IF(
    AND(
        YEAR(B56)=YEAR(DATE(YEAR($D$1), MONTH($D$1)-1, 1)),
        MONTH(B56)=MONTH(DATE(YEAR($D$1), MONTH($D$1)-1, 1))
    ),
    $D$1,
    IF(
        $D$4="",
        DATE(YEAR(B56), MONTH(B56)+1, 1),
        IF(
            AND(
                YEAR(B56)=YEAR(DATE(YEAR($D$4), MONTH($D$4)-1, 1)),
                MONTH(B56)=MONTH(DATE(YEAR($D$4), MONTH($D$4)-1, 1))
            ),
            $D$4,
            DATE(YEAR(B56), MONTH(B56)+1, 1)
        )
    )
)</f>
        <v>40422</v>
      </c>
      <c r="B57" s="152">
        <f>IF(
AND(
YEAR(B56)=YEAR(DATE(YEAR($D$2),MONTH($D$2)-1,1)),
MONTH(B56)=MONTH(DATE(YEAR($D$2),MONTH($D$2)-1,1))
),
$D$2,
IF(
$D$3="",
EOMONTH(B56,1),
IF(
AND(
YEAR(B56)=YEAR(DATE(YEAR($D$3),MONTH($D$3)-1,1)),
MONTH(B56)=MONTH(DATE(YEAR($D$3),MONTH($D$3)-1,1))
),
$D$3,
EOMONTH(B56,1)
)))</f>
        <v>40451</v>
      </c>
      <c r="C57" s="471"/>
      <c r="D57" s="149" t="s">
        <v>105</v>
      </c>
      <c r="E57" s="271">
        <f>'CAP POST'!G56</f>
        <v>0</v>
      </c>
      <c r="F57" s="271">
        <f t="shared" si="1"/>
        <v>0</v>
      </c>
      <c r="G57" s="215">
        <v>3.4740004220000002E-2</v>
      </c>
      <c r="H57" s="272">
        <f t="shared" si="0"/>
        <v>9.3566545591894368E-5</v>
      </c>
      <c r="I57" s="273">
        <f>IF(OR(A57=SABANA!$C$14, D57="adicional"),0,_xlfn.DAYS(B57,A57)+1)</f>
        <v>30</v>
      </c>
      <c r="J57" s="271">
        <f t="shared" si="2"/>
        <v>0</v>
      </c>
    </row>
    <row r="58" spans="1:10" x14ac:dyDescent="0.35">
      <c r="A58" s="152">
        <f>IF(
    AND(
        YEAR(B57)=YEAR(DATE(YEAR($D$1), MONTH($D$1)-1, 1)),
        MONTH(B57)=MONTH(DATE(YEAR($D$1), MONTH($D$1)-1, 1))
    ),
    $D$1,
    IF(
        $D$4="",
        DATE(YEAR(B57), MONTH(B57)+1, 1),
        IF(
            AND(
                YEAR(B57)=YEAR(DATE(YEAR($D$4), MONTH($D$4)-1, 1)),
                MONTH(B57)=MONTH(DATE(YEAR($D$4), MONTH($D$4)-1, 1))
            ),
            $D$4,
            DATE(YEAR(B57), MONTH(B57)+1, 1)
        )
    )
)</f>
        <v>40452</v>
      </c>
      <c r="B58" s="152">
        <f>IF(
AND(
YEAR(B57)=YEAR(DATE(YEAR($D$2),MONTH($D$2)-1,1)),
MONTH(B57)=MONTH(DATE(YEAR($D$2),MONTH($D$2)-1,1))
),
$D$2,
IF(
$D$3="",
EOMONTH(B57,1),
IF(
AND(
YEAR(B57)=YEAR(DATE(YEAR($D$3),MONTH($D$3)-1,1)),
MONTH(B57)=MONTH(DATE(YEAR($D$3),MONTH($D$3)-1,1))
),
$D$3,
EOMONTH(B57,1)
)))</f>
        <v>40482</v>
      </c>
      <c r="C58" s="471"/>
      <c r="D58" s="149" t="s">
        <v>106</v>
      </c>
      <c r="E58" s="271">
        <f>'CAP POST'!G57</f>
        <v>0</v>
      </c>
      <c r="F58" s="271">
        <f t="shared" si="1"/>
        <v>0</v>
      </c>
      <c r="G58" s="215">
        <v>3.4523691949999998E-2</v>
      </c>
      <c r="H58" s="272">
        <f t="shared" si="0"/>
        <v>9.2993692899723257E-5</v>
      </c>
      <c r="I58" s="273">
        <f>IF(OR(A58=SABANA!$C$14, D58="adicional"),0,_xlfn.DAYS(B58,A58)+1)</f>
        <v>31</v>
      </c>
      <c r="J58" s="271">
        <f t="shared" si="2"/>
        <v>0</v>
      </c>
    </row>
    <row r="59" spans="1:10" x14ac:dyDescent="0.35">
      <c r="A59" s="152">
        <f>IF(
    AND(
        YEAR(B58)=YEAR(DATE(YEAR($D$1), MONTH($D$1)-1, 1)),
        MONTH(B58)=MONTH(DATE(YEAR($D$1), MONTH($D$1)-1, 1))
    ),
    $D$1,
    IF(
        $D$4="",
        DATE(YEAR(B58), MONTH(B58)+1, 1),
        IF(
            AND(
                YEAR(B58)=YEAR(DATE(YEAR($D$4), MONTH($D$4)-1, 1)),
                MONTH(B58)=MONTH(DATE(YEAR($D$4), MONTH($D$4)-1, 1))
            ),
            $D$4,
            DATE(YEAR(B58), MONTH(B58)+1, 1)
        )
    )
)</f>
        <v>40483</v>
      </c>
      <c r="B59" s="152">
        <f>IF(
AND(
YEAR(B58)=YEAR(DATE(YEAR($D$2),MONTH($D$2)-1,1)),
MONTH(B58)=MONTH(DATE(YEAR($D$2),MONTH($D$2)-1,1))
),
$D$2,
IF(
$D$3="",
EOMONTH(B58,1),
IF(
AND(
YEAR(B58)=YEAR(DATE(YEAR($D$3),MONTH($D$3)-1,1)),
MONTH(B58)=MONTH(DATE(YEAR($D$3),MONTH($D$3)-1,1))
),
$D$3,
EOMONTH(B58,1)
)))</f>
        <v>40512</v>
      </c>
      <c r="C59" s="471"/>
      <c r="D59" s="149" t="s">
        <v>107</v>
      </c>
      <c r="E59" s="271">
        <f>'CAP POST'!G58</f>
        <v>0</v>
      </c>
      <c r="F59" s="271">
        <f t="shared" si="1"/>
        <v>0</v>
      </c>
      <c r="G59" s="215">
        <v>3.4378323369999998E-2</v>
      </c>
      <c r="H59" s="272">
        <f t="shared" si="0"/>
        <v>9.2608650940517734E-5</v>
      </c>
      <c r="I59" s="273">
        <f>IF(OR(A59=SABANA!$C$14, D59="adicional"),0,_xlfn.DAYS(B59,A59)+1)</f>
        <v>30</v>
      </c>
      <c r="J59" s="271">
        <f t="shared" si="2"/>
        <v>0</v>
      </c>
    </row>
    <row r="60" spans="1:10" x14ac:dyDescent="0.35">
      <c r="A60" s="156">
        <f t="shared" ref="A60" si="10">A59</f>
        <v>40483</v>
      </c>
      <c r="B60" s="156">
        <f t="shared" ref="B60" si="11">B59</f>
        <v>40512</v>
      </c>
      <c r="C60" s="471"/>
      <c r="D60" s="157" t="s">
        <v>101</v>
      </c>
      <c r="E60" s="274">
        <f>'CAP POST'!G59</f>
        <v>0</v>
      </c>
      <c r="F60" s="271">
        <f t="shared" si="1"/>
        <v>0</v>
      </c>
      <c r="G60" s="275">
        <v>3.4991729870000002E-2</v>
      </c>
      <c r="H60" s="276"/>
      <c r="I60" s="273">
        <f>IF(OR(A60=SABANA!$C$14, D60="adicional"),0,_xlfn.DAYS(B60,A60)+1)</f>
        <v>0</v>
      </c>
      <c r="J60" s="271">
        <f t="shared" si="2"/>
        <v>0</v>
      </c>
    </row>
    <row r="61" spans="1:10" x14ac:dyDescent="0.35">
      <c r="A61" s="152">
        <f>IF(
    AND(
        YEAR(B59)=YEAR(DATE(YEAR($D$1), MONTH($D$1)-1, 1)),
        MONTH(B59)=MONTH(DATE(YEAR($D$1), MONTH($D$1)-1, 1))
    ),
    $D$1,
    IF(
        $D$4="",
        DATE(YEAR(B59), MONTH(B59)+1, 1),
        IF(
            AND(
                YEAR(B59)=YEAR(DATE(YEAR($D$4), MONTH($D$4)-1, 1)),
                MONTH(B59)=MONTH(DATE(YEAR($D$4), MONTH($D$4)-1, 1))
            ),
            $D$4,
            DATE(YEAR(B59), MONTH(B59)+1, 1)
        )
    )
)</f>
        <v>40513</v>
      </c>
      <c r="B61" s="152">
        <f>IF(
AND(
YEAR(B59)=YEAR(DATE(YEAR($D$2),MONTH($D$2)-1,1)),
MONTH(B59)=MONTH(DATE(YEAR($D$2),MONTH($D$2)-1,1))
),
$D$2,
IF(
$D$3="",
EOMONTH(B59,1),
IF(
AND(
YEAR(B59)=YEAR(DATE(YEAR($D$3),MONTH($D$3)-1,1)),
MONTH(B59)=MONTH(DATE(YEAR($D$3),MONTH($D$3)-1,1))
),
$D$3,
EOMONTH(B59,1)
)))</f>
        <v>40543</v>
      </c>
      <c r="C61" s="472"/>
      <c r="D61" s="149" t="s">
        <v>108</v>
      </c>
      <c r="E61" s="271">
        <f>'CAP POST'!G60</f>
        <v>0</v>
      </c>
      <c r="F61" s="271">
        <f t="shared" si="1"/>
        <v>0</v>
      </c>
      <c r="G61" s="215">
        <v>3.4991729870000002E-2</v>
      </c>
      <c r="H61" s="272">
        <f>((1+G61)^(1/365)-1)</f>
        <v>9.4233032041257658E-5</v>
      </c>
      <c r="I61" s="273">
        <f>IF(OR(A61=SABANA!$C$14, D61="adicional"),0,_xlfn.DAYS(B61,A61)+1)</f>
        <v>31</v>
      </c>
      <c r="J61" s="271">
        <f>IF(AND(OR(A61&gt;=$D$4,B61&lt;=$D$3), AND(A60&gt;=$D$1,B60&lt;$D$2)),(F59*I61*H61),0)</f>
        <v>0</v>
      </c>
    </row>
    <row r="62" spans="1:10" x14ac:dyDescent="0.35">
      <c r="A62" s="152">
        <f>IF(
    AND(
        YEAR(B61)=YEAR(DATE(YEAR($D$1), MONTH($D$1)-1, 1)),
        MONTH(B61)=MONTH(DATE(YEAR($D$1), MONTH($D$1)-1, 1))
    ),
    $D$1,
    IF(
        $D$4="",
        DATE(YEAR(B61), MONTH(B61)+1, 1),
        IF(
            AND(
                YEAR(B61)=YEAR(DATE(YEAR($D$4), MONTH($D$4)-1, 1)),
                MONTH(B61)=MONTH(DATE(YEAR($D$4), MONTH($D$4)-1, 1))
            ),
            $D$4,
            DATE(YEAR(B61), MONTH(B61)+1, 1)
        )
    )
)</f>
        <v>40544</v>
      </c>
      <c r="B62" s="152">
        <f>IF(
AND(
YEAR(B61)=YEAR(DATE(YEAR($D$2),MONTH($D$2)-1,1)),
MONTH(B61)=MONTH(DATE(YEAR($D$2),MONTH($D$2)-1,1))
),
$D$2,
IF(
$D$3="",
EOMONTH(B61,1),
IF(
AND(
YEAR(B61)=YEAR(DATE(YEAR($D$3),MONTH($D$3)-1,1)),
MONTH(B61)=MONTH(DATE(YEAR($D$3),MONTH($D$3)-1,1))
),
$D$3,
EOMONTH(B61,1)
)))</f>
        <v>40574</v>
      </c>
      <c r="C62" s="468">
        <v>2011</v>
      </c>
      <c r="D62" s="149" t="s">
        <v>96</v>
      </c>
      <c r="E62" s="271">
        <f>'CAP POST'!G61</f>
        <v>0</v>
      </c>
      <c r="F62" s="271">
        <f t="shared" si="1"/>
        <v>0</v>
      </c>
      <c r="G62" s="215">
        <v>3.475336289E-2</v>
      </c>
      <c r="H62" s="272">
        <f t="shared" si="0"/>
        <v>9.3601919004093759E-5</v>
      </c>
      <c r="I62" s="273">
        <f>IF(OR(A62=SABANA!$C$14, D62="adicional"),0,_xlfn.DAYS(B62,A62)+1)</f>
        <v>31</v>
      </c>
      <c r="J62" s="271">
        <f t="shared" si="2"/>
        <v>0</v>
      </c>
    </row>
    <row r="63" spans="1:10" x14ac:dyDescent="0.35">
      <c r="A63" s="152">
        <f>IF(
    AND(
        YEAR(B62)=YEAR(DATE(YEAR($D$1), MONTH($D$1)-1, 1)),
        MONTH(B62)=MONTH(DATE(YEAR($D$1), MONTH($D$1)-1, 1))
    ),
    $D$1,
    IF(
        $D$4="",
        DATE(YEAR(B62), MONTH(B62)+1, 1),
        IF(
            AND(
                YEAR(B62)=YEAR(DATE(YEAR($D$4), MONTH($D$4)-1, 1)),
                MONTH(B62)=MONTH(DATE(YEAR($D$4), MONTH($D$4)-1, 1))
            ),
            $D$4,
            DATE(YEAR(B62), MONTH(B62)+1, 1)
        )
    )
)</f>
        <v>40575</v>
      </c>
      <c r="B63" s="152">
        <f>IF(
AND(
YEAR(B62)=YEAR(DATE(YEAR($D$2),MONTH($D$2)-1,1)),
MONTH(B62)=MONTH(DATE(YEAR($D$2),MONTH($D$2)-1,1))
),
$D$2,
IF(
$D$3="",
EOMONTH(B62,1),
IF(
AND(
YEAR(B62)=YEAR(DATE(YEAR($D$3),MONTH($D$3)-1,1)),
MONTH(B62)=MONTH(DATE(YEAR($D$3),MONTH($D$3)-1,1))
),
$D$3,
EOMONTH(B62,1)
)))</f>
        <v>40602</v>
      </c>
      <c r="C63" s="471"/>
      <c r="D63" s="149" t="s">
        <v>97</v>
      </c>
      <c r="E63" s="271">
        <f>'CAP POST'!G62</f>
        <v>0</v>
      </c>
      <c r="F63" s="271">
        <f t="shared" si="1"/>
        <v>0</v>
      </c>
      <c r="G63" s="215">
        <v>3.4602043149999998E-2</v>
      </c>
      <c r="H63" s="272">
        <f t="shared" si="0"/>
        <v>9.3201201610160211E-5</v>
      </c>
      <c r="I63" s="273">
        <f>IF(OR(A63=SABANA!$C$14, D63="adicional"),0,_xlfn.DAYS(B63,A63)+1)</f>
        <v>28</v>
      </c>
      <c r="J63" s="271">
        <f t="shared" si="2"/>
        <v>0</v>
      </c>
    </row>
    <row r="64" spans="1:10" x14ac:dyDescent="0.35">
      <c r="A64" s="152">
        <f>IF(
    AND(
        YEAR(B63)=YEAR(DATE(YEAR($D$1), MONTH($D$1)-1, 1)),
        MONTH(B63)=MONTH(DATE(YEAR($D$1), MONTH($D$1)-1, 1))
    ),
    $D$1,
    IF(
        $D$4="",
        DATE(YEAR(B63), MONTH(B63)+1, 1),
        IF(
            AND(
                YEAR(B63)=YEAR(DATE(YEAR($D$4), MONTH($D$4)-1, 1)),
                MONTH(B63)=MONTH(DATE(YEAR($D$4), MONTH($D$4)-1, 1))
            ),
            $D$4,
            DATE(YEAR(B63), MONTH(B63)+1, 1)
        )
    )
)</f>
        <v>40603</v>
      </c>
      <c r="B64" s="152">
        <f>IF(
AND(
YEAR(B63)=YEAR(DATE(YEAR($D$2),MONTH($D$2)-1,1)),
MONTH(B63)=MONTH(DATE(YEAR($D$2),MONTH($D$2)-1,1))
),
$D$2,
IF(
$D$3="",
EOMONTH(B63,1),
IF(
AND(
YEAR(B63)=YEAR(DATE(YEAR($D$3),MONTH($D$3)-1,1)),
MONTH(B63)=MONTH(DATE(YEAR($D$3),MONTH($D$3)-1,1))
),
$D$3,
EOMONTH(B63,1)
)))</f>
        <v>40633</v>
      </c>
      <c r="C64" s="471"/>
      <c r="D64" s="149" t="s">
        <v>98</v>
      </c>
      <c r="E64" s="271">
        <f>'CAP POST'!G63</f>
        <v>0</v>
      </c>
      <c r="F64" s="271">
        <f t="shared" si="1"/>
        <v>0</v>
      </c>
      <c r="G64" s="215">
        <v>3.5912002679999999E-2</v>
      </c>
      <c r="H64" s="272">
        <f t="shared" si="0"/>
        <v>9.6668235721075746E-5</v>
      </c>
      <c r="I64" s="273">
        <f>IF(OR(A64=SABANA!$C$14, D64="adicional"),0,_xlfn.DAYS(B64,A64)+1)</f>
        <v>31</v>
      </c>
      <c r="J64" s="271">
        <f t="shared" si="2"/>
        <v>0</v>
      </c>
    </row>
    <row r="65" spans="1:10" x14ac:dyDescent="0.35">
      <c r="A65" s="152">
        <f>IF(
    AND(
        YEAR(B64)=YEAR(DATE(YEAR($D$1), MONTH($D$1)-1, 1)),
        MONTH(B64)=MONTH(DATE(YEAR($D$1), MONTH($D$1)-1, 1))
    ),
    $D$1,
    IF(
        $D$4="",
        DATE(YEAR(B64), MONTH(B64)+1, 1),
        IF(
            AND(
                YEAR(B64)=YEAR(DATE(YEAR($D$4), MONTH($D$4)-1, 1)),
                MONTH(B64)=MONTH(DATE(YEAR($D$4), MONTH($D$4)-1, 1))
            ),
            $D$4,
            DATE(YEAR(B64), MONTH(B64)+1, 1)
        )
    )
)</f>
        <v>40634</v>
      </c>
      <c r="B65" s="152">
        <f>IF(
AND(
YEAR(B64)=YEAR(DATE(YEAR($D$2),MONTH($D$2)-1,1)),
MONTH(B64)=MONTH(DATE(YEAR($D$2),MONTH($D$2)-1,1))
),
$D$2,
IF(
$D$3="",
EOMONTH(B64,1),
IF(
AND(
YEAR(B64)=YEAR(DATE(YEAR($D$3),MONTH($D$3)-1,1)),
MONTH(B64)=MONTH(DATE(YEAR($D$3),MONTH($D$3)-1,1))
),
$D$3,
EOMONTH(B64,1)
)))</f>
        <v>40663</v>
      </c>
      <c r="C65" s="471"/>
      <c r="D65" s="149" t="s">
        <v>99</v>
      </c>
      <c r="E65" s="271">
        <f>'CAP POST'!G64</f>
        <v>0</v>
      </c>
      <c r="F65" s="271">
        <f t="shared" si="1"/>
        <v>0</v>
      </c>
      <c r="G65" s="215">
        <v>3.7384651429999999E-2</v>
      </c>
      <c r="H65" s="272">
        <f t="shared" si="0"/>
        <v>1.005606383401858E-4</v>
      </c>
      <c r="I65" s="273">
        <f>IF(OR(A65=SABANA!$C$14, D65="adicional"),0,_xlfn.DAYS(B65,A65)+1)</f>
        <v>30</v>
      </c>
      <c r="J65" s="271">
        <f t="shared" si="2"/>
        <v>0</v>
      </c>
    </row>
    <row r="66" spans="1:10" x14ac:dyDescent="0.35">
      <c r="A66" s="152">
        <f>IF(
    AND(
        YEAR(B65)=YEAR(DATE(YEAR($D$1), MONTH($D$1)-1, 1)),
        MONTH(B65)=MONTH(DATE(YEAR($D$1), MONTH($D$1)-1, 1))
    ),
    $D$1,
    IF(
        $D$4="",
        DATE(YEAR(B65), MONTH(B65)+1, 1),
        IF(
            AND(
                YEAR(B65)=YEAR(DATE(YEAR($D$4), MONTH($D$4)-1, 1)),
                MONTH(B65)=MONTH(DATE(YEAR($D$4), MONTH($D$4)-1, 1))
            ),
            $D$4,
            DATE(YEAR(B65), MONTH(B65)+1, 1)
        )
    )
)</f>
        <v>40664</v>
      </c>
      <c r="B66" s="152">
        <f>IF(
AND(
YEAR(B65)=YEAR(DATE(YEAR($D$2),MONTH($D$2)-1,1)),
MONTH(B65)=MONTH(DATE(YEAR($D$2),MONTH($D$2)-1,1))
),
$D$2,
IF(
$D$3="",
EOMONTH(B65,1),
IF(
AND(
YEAR(B65)=YEAR(DATE(YEAR($D$3),MONTH($D$3)-1,1)),
MONTH(B65)=MONTH(DATE(YEAR($D$3),MONTH($D$3)-1,1))
),
$D$3,
EOMONTH(B65,1)
)))</f>
        <v>40694</v>
      </c>
      <c r="C66" s="471"/>
      <c r="D66" s="149" t="s">
        <v>100</v>
      </c>
      <c r="E66" s="271">
        <f>'CAP POST'!G65</f>
        <v>0</v>
      </c>
      <c r="F66" s="271">
        <f t="shared" si="1"/>
        <v>0</v>
      </c>
      <c r="G66" s="215">
        <v>3.8757233209999999E-2</v>
      </c>
      <c r="H66" s="272">
        <f t="shared" si="0"/>
        <v>1.0418359260300214E-4</v>
      </c>
      <c r="I66" s="273">
        <f>IF(OR(A66=SABANA!$C$14, D66="adicional"),0,_xlfn.DAYS(B66,A66)+1)</f>
        <v>31</v>
      </c>
      <c r="J66" s="271">
        <f t="shared" si="2"/>
        <v>0</v>
      </c>
    </row>
    <row r="67" spans="1:10" x14ac:dyDescent="0.35">
      <c r="A67" s="156">
        <f t="shared" ref="A67" si="12">A68</f>
        <v>40695</v>
      </c>
      <c r="B67" s="156">
        <f t="shared" ref="B67" si="13">B68</f>
        <v>40724</v>
      </c>
      <c r="C67" s="471"/>
      <c r="D67" s="157" t="s">
        <v>101</v>
      </c>
      <c r="E67" s="274">
        <f>'CAP POST'!G66</f>
        <v>0</v>
      </c>
      <c r="F67" s="271">
        <f t="shared" si="1"/>
        <v>0</v>
      </c>
      <c r="G67" s="275">
        <v>4.2072567429999999E-2</v>
      </c>
      <c r="H67" s="276"/>
      <c r="I67" s="273">
        <f>IF(OR(A67=SABANA!$C$14, D67="adicional"),0,_xlfn.DAYS(B67,A67)+1)</f>
        <v>0</v>
      </c>
      <c r="J67" s="271">
        <f t="shared" si="2"/>
        <v>0</v>
      </c>
    </row>
    <row r="68" spans="1:10" x14ac:dyDescent="0.35">
      <c r="A68" s="152">
        <f>IF(
    AND(
        YEAR(B66)=YEAR(DATE(YEAR($D$1), MONTH($D$1)-1, 1)),
        MONTH(B66)=MONTH(DATE(YEAR($D$1), MONTH($D$1)-1, 1))
    ),
    $D$1,
    IF(
        $D$4="",
        DATE(YEAR(B66), MONTH(B66)+1, 1),
        IF(
            AND(
                YEAR(B66)=YEAR(DATE(YEAR($D$4), MONTH($D$4)-1, 1)),
                MONTH(B66)=MONTH(DATE(YEAR($D$4), MONTH($D$4)-1, 1))
            ),
            $D$4,
            DATE(YEAR(B66), MONTH(B66)+1, 1)
        )
    )
)</f>
        <v>40695</v>
      </c>
      <c r="B68" s="152">
        <f>IF(
AND(
YEAR(B66)=YEAR(DATE(YEAR($D$2),MONTH($D$2)-1,1)),
MONTH(B66)=MONTH(DATE(YEAR($D$2),MONTH($D$2)-1,1))
),
$D$2,
IF(
$D$3="",
EOMONTH(B66,1),
IF(
AND(
YEAR(B66)=YEAR(DATE(YEAR($D$3),MONTH($D$3)-1,1)),
MONTH(B66)=MONTH(DATE(YEAR($D$3),MONTH($D$3)-1,1))
),
$D$3,
EOMONTH(B66,1)
)))</f>
        <v>40724</v>
      </c>
      <c r="C68" s="471"/>
      <c r="D68" s="149" t="s">
        <v>102</v>
      </c>
      <c r="E68" s="271">
        <f>'CAP POST'!G67</f>
        <v>0</v>
      </c>
      <c r="F68" s="271">
        <f t="shared" si="1"/>
        <v>0</v>
      </c>
      <c r="G68" s="215">
        <v>4.1012877750000003E-2</v>
      </c>
      <c r="H68" s="272">
        <f>((1+G68)^(1/365)-1)</f>
        <v>1.1012705015067681E-4</v>
      </c>
      <c r="I68" s="273">
        <f>IF(OR(A68=SABANA!$C$14, D68="adicional"),0,_xlfn.DAYS(B68,A68)+1)</f>
        <v>30</v>
      </c>
      <c r="J68" s="271">
        <f>IF(AND(OR(A68&gt;=$D$4,B68&lt;=$D$3), AND(A67&gt;=$D$1,B67&lt;$D$2)),(F66*I68*H68),0)</f>
        <v>0</v>
      </c>
    </row>
    <row r="69" spans="1:10" x14ac:dyDescent="0.35">
      <c r="A69" s="152">
        <f>IF(
    AND(
        YEAR(B68)=YEAR(DATE(YEAR($D$1), MONTH($D$1)-1, 1)),
        MONTH(B68)=MONTH(DATE(YEAR($D$1), MONTH($D$1)-1, 1))
    ),
    $D$1,
    IF(
        $D$4="",
        DATE(YEAR(B68), MONTH(B68)+1, 1),
        IF(
            AND(
                YEAR(B68)=YEAR(DATE(YEAR($D$4), MONTH($D$4)-1, 1)),
                MONTH(B68)=MONTH(DATE(YEAR($D$4), MONTH($D$4)-1, 1))
            ),
            $D$4,
            DATE(YEAR(B68), MONTH(B68)+1, 1)
        )
    )
)</f>
        <v>40725</v>
      </c>
      <c r="B69" s="152">
        <f>IF(
AND(
YEAR(B68)=YEAR(DATE(YEAR($D$2),MONTH($D$2)-1,1)),
MONTH(B68)=MONTH(DATE(YEAR($D$2),MONTH($D$2)-1,1))
),
$D$2,
IF(
$D$3="",
EOMONTH(B68,1),
IF(
AND(
YEAR(B68)=YEAR(DATE(YEAR($D$3),MONTH($D$3)-1,1)),
MONTH(B68)=MONTH(DATE(YEAR($D$3),MONTH($D$3)-1,1))
),
$D$3,
EOMONTH(B68,1)
)))</f>
        <v>40755</v>
      </c>
      <c r="C69" s="471"/>
      <c r="D69" s="149" t="s">
        <v>103</v>
      </c>
      <c r="E69" s="271">
        <f>'CAP POST'!G68</f>
        <v>0</v>
      </c>
      <c r="F69" s="271">
        <f t="shared" si="1"/>
        <v>0</v>
      </c>
      <c r="G69" s="215">
        <v>4.2072567429999999E-2</v>
      </c>
      <c r="H69" s="272">
        <f>((1+G69)^(1/365)-1)</f>
        <v>1.1291482194231151E-4</v>
      </c>
      <c r="I69" s="273">
        <f>IF(OR(A69=SABANA!$C$14, D69="adicional"),0,_xlfn.DAYS(B69,A69)+1)</f>
        <v>31</v>
      </c>
      <c r="J69" s="271">
        <f t="shared" si="2"/>
        <v>0</v>
      </c>
    </row>
    <row r="70" spans="1:10" x14ac:dyDescent="0.35">
      <c r="A70" s="152">
        <f>IF(
    AND(
        YEAR(B69)=YEAR(DATE(YEAR($D$1), MONTH($D$1)-1, 1)),
        MONTH(B69)=MONTH(DATE(YEAR($D$1), MONTH($D$1)-1, 1))
    ),
    $D$1,
    IF(
        $D$4="",
        DATE(YEAR(B69), MONTH(B69)+1, 1),
        IF(
            AND(
                YEAR(B69)=YEAR(DATE(YEAR($D$4), MONTH($D$4)-1, 1)),
                MONTH(B69)=MONTH(DATE(YEAR($D$4), MONTH($D$4)-1, 1))
            ),
            $D$4,
            DATE(YEAR(B69), MONTH(B69)+1, 1)
        )
    )
)</f>
        <v>40756</v>
      </c>
      <c r="B70" s="152">
        <f>IF(
AND(
YEAR(B69)=YEAR(DATE(YEAR($D$2),MONTH($D$2)-1,1)),
MONTH(B69)=MONTH(DATE(YEAR($D$2),MONTH($D$2)-1,1))
),
$D$2,
IF(
$D$3="",
EOMONTH(B69,1),
IF(
AND(
YEAR(B69)=YEAR(DATE(YEAR($D$3),MONTH($D$3)-1,1)),
MONTH(B69)=MONTH(DATE(YEAR($D$3),MONTH($D$3)-1,1))
),
$D$3,
EOMONTH(B69,1)
)))</f>
        <v>40786</v>
      </c>
      <c r="C70" s="471"/>
      <c r="D70" s="149" t="s">
        <v>104</v>
      </c>
      <c r="E70" s="271">
        <f>'CAP POST'!G69</f>
        <v>0</v>
      </c>
      <c r="F70" s="271">
        <f t="shared" si="1"/>
        <v>0</v>
      </c>
      <c r="G70" s="215">
        <v>4.4920919169999997E-2</v>
      </c>
      <c r="H70" s="272">
        <f t="shared" si="0"/>
        <v>1.2039411560582636E-4</v>
      </c>
      <c r="I70" s="273">
        <f>IF(OR(A70=SABANA!$C$14, D70="adicional"),0,_xlfn.DAYS(B70,A70)+1)</f>
        <v>31</v>
      </c>
      <c r="J70" s="271">
        <f t="shared" si="2"/>
        <v>0</v>
      </c>
    </row>
    <row r="71" spans="1:10" x14ac:dyDescent="0.35">
      <c r="A71" s="152">
        <f>IF(
    AND(
        YEAR(B70)=YEAR(DATE(YEAR($D$1), MONTH($D$1)-1, 1)),
        MONTH(B70)=MONTH(DATE(YEAR($D$1), MONTH($D$1)-1, 1))
    ),
    $D$1,
    IF(
        $D$4="",
        DATE(YEAR(B70), MONTH(B70)+1, 1),
        IF(
            AND(
                YEAR(B70)=YEAR(DATE(YEAR($D$4), MONTH($D$4)-1, 1)),
                MONTH(B70)=MONTH(DATE(YEAR($D$4), MONTH($D$4)-1, 1))
            ),
            $D$4,
            DATE(YEAR(B70), MONTH(B70)+1, 1)
        )
    )
)</f>
        <v>40787</v>
      </c>
      <c r="B71" s="152">
        <f>IF(
AND(
YEAR(B70)=YEAR(DATE(YEAR($D$2),MONTH($D$2)-1,1)),
MONTH(B70)=MONTH(DATE(YEAR($D$2),MONTH($D$2)-1,1))
),
$D$2,
IF(
$D$3="",
EOMONTH(B70,1),
IF(
AND(
YEAR(B70)=YEAR(DATE(YEAR($D$3),MONTH($D$3)-1,1)),
MONTH(B70)=MONTH(DATE(YEAR($D$3),MONTH($D$3)-1,1))
),
$D$3,
EOMONTH(B70,1)
)))</f>
        <v>40816</v>
      </c>
      <c r="C71" s="471"/>
      <c r="D71" s="149" t="s">
        <v>105</v>
      </c>
      <c r="E71" s="271">
        <f>'CAP POST'!G70</f>
        <v>0</v>
      </c>
      <c r="F71" s="271">
        <f t="shared" si="1"/>
        <v>0</v>
      </c>
      <c r="G71" s="215">
        <v>4.6068825590000001E-2</v>
      </c>
      <c r="H71" s="272">
        <f t="shared" si="0"/>
        <v>1.234025787357762E-4</v>
      </c>
      <c r="I71" s="273">
        <f>IF(OR(A71=SABANA!$C$14, D71="adicional"),0,_xlfn.DAYS(B71,A71)+1)</f>
        <v>30</v>
      </c>
      <c r="J71" s="271">
        <f t="shared" si="2"/>
        <v>0</v>
      </c>
    </row>
    <row r="72" spans="1:10" x14ac:dyDescent="0.35">
      <c r="A72" s="152">
        <f>IF(
    AND(
        YEAR(B71)=YEAR(DATE(YEAR($D$1), MONTH($D$1)-1, 1)),
        MONTH(B71)=MONTH(DATE(YEAR($D$1), MONTH($D$1)-1, 1))
    ),
    $D$1,
    IF(
        $D$4="",
        DATE(YEAR(B71), MONTH(B71)+1, 1),
        IF(
            AND(
                YEAR(B71)=YEAR(DATE(YEAR($D$4), MONTH($D$4)-1, 1)),
                MONTH(B71)=MONTH(DATE(YEAR($D$4), MONTH($D$4)-1, 1))
            ),
            $D$4,
            DATE(YEAR(B71), MONTH(B71)+1, 1)
        )
    )
)</f>
        <v>40817</v>
      </c>
      <c r="B72" s="152">
        <f>IF(
AND(
YEAR(B71)=YEAR(DATE(YEAR($D$2),MONTH($D$2)-1,1)),
MONTH(B71)=MONTH(DATE(YEAR($D$2),MONTH($D$2)-1,1))
),
$D$2,
IF(
$D$3="",
EOMONTH(B71,1),
IF(
AND(
YEAR(B71)=YEAR(DATE(YEAR($D$3),MONTH($D$3)-1,1)),
MONTH(B71)=MONTH(DATE(YEAR($D$3),MONTH($D$3)-1,1))
),
$D$3,
EOMONTH(B71,1)
)))</f>
        <v>40847</v>
      </c>
      <c r="C72" s="471"/>
      <c r="D72" s="149" t="s">
        <v>106</v>
      </c>
      <c r="E72" s="271">
        <f>'CAP POST'!G71</f>
        <v>0</v>
      </c>
      <c r="F72" s="271">
        <f t="shared" ref="F72:F135" si="14">IF(AND(A72&gt;=$D$1,B72&lt;=$D$2),(F71+E72),0)</f>
        <v>0</v>
      </c>
      <c r="G72" s="215">
        <v>4.7237177249999998E-2</v>
      </c>
      <c r="H72" s="272">
        <f t="shared" si="0"/>
        <v>1.2646124639603684E-4</v>
      </c>
      <c r="I72" s="273">
        <f>IF(OR(A72=SABANA!$C$14, D72="adicional"),0,_xlfn.DAYS(B72,A72)+1)</f>
        <v>31</v>
      </c>
      <c r="J72" s="271">
        <f t="shared" ref="J72:J135" si="15">IF(AND(OR(A72&gt;=$D$4,B72&lt;=$D$3), AND(A71&gt;=$D$1,B71&lt;$D$2)),(F71*I72*H72),0)</f>
        <v>0</v>
      </c>
    </row>
    <row r="73" spans="1:10" x14ac:dyDescent="0.35">
      <c r="A73" s="152">
        <f>IF(
    AND(
        YEAR(B72)=YEAR(DATE(YEAR($D$1), MONTH($D$1)-1, 1)),
        MONTH(B72)=MONTH(DATE(YEAR($D$1), MONTH($D$1)-1, 1))
    ),
    $D$1,
    IF(
        $D$4="",
        DATE(YEAR(B72), MONTH(B72)+1, 1),
        IF(
            AND(
                YEAR(B72)=YEAR(DATE(YEAR($D$4), MONTH($D$4)-1, 1)),
                MONTH(B72)=MONTH(DATE(YEAR($D$4), MONTH($D$4)-1, 1))
            ),
            $D$4,
            DATE(YEAR(B72), MONTH(B72)+1, 1)
        )
    )
)</f>
        <v>40848</v>
      </c>
      <c r="B73" s="152">
        <f>IF(
AND(
YEAR(B72)=YEAR(DATE(YEAR($D$2),MONTH($D$2)-1,1)),
MONTH(B72)=MONTH(DATE(YEAR($D$2),MONTH($D$2)-1,1))
),
$D$2,
IF(
$D$3="",
EOMONTH(B72,1),
IF(
AND(
YEAR(B72)=YEAR(DATE(YEAR($D$3),MONTH($D$3)-1,1)),
MONTH(B72)=MONTH(DATE(YEAR($D$3),MONTH($D$3)-1,1))
),
$D$3,
EOMONTH(B72,1)
)))</f>
        <v>40877</v>
      </c>
      <c r="C73" s="471"/>
      <c r="D73" s="149" t="s">
        <v>107</v>
      </c>
      <c r="E73" s="271">
        <f>'CAP POST'!G72</f>
        <v>0</v>
      </c>
      <c r="F73" s="271">
        <f t="shared" si="14"/>
        <v>0</v>
      </c>
      <c r="G73" s="215">
        <v>5.0825849499999999E-2</v>
      </c>
      <c r="H73" s="272">
        <f t="shared" si="0"/>
        <v>1.3583491885160726E-4</v>
      </c>
      <c r="I73" s="273">
        <f>IF(OR(A73=SABANA!$C$14, D73="adicional"),0,_xlfn.DAYS(B73,A73)+1)</f>
        <v>30</v>
      </c>
      <c r="J73" s="271">
        <f t="shared" si="15"/>
        <v>0</v>
      </c>
    </row>
    <row r="74" spans="1:10" x14ac:dyDescent="0.35">
      <c r="A74" s="156">
        <f t="shared" ref="A74" si="16">A73</f>
        <v>40848</v>
      </c>
      <c r="B74" s="156">
        <f t="shared" ref="B74" si="17">B73</f>
        <v>40877</v>
      </c>
      <c r="C74" s="471"/>
      <c r="D74" s="157" t="s">
        <v>101</v>
      </c>
      <c r="E74" s="274">
        <f>'CAP POST'!G73</f>
        <v>0</v>
      </c>
      <c r="F74" s="271">
        <f t="shared" si="14"/>
        <v>0</v>
      </c>
      <c r="G74" s="275">
        <v>5.1165419320000002E-2</v>
      </c>
      <c r="H74" s="276"/>
      <c r="I74" s="273">
        <f>IF(OR(A74=SABANA!$C$14, D74="adicional"),0,_xlfn.DAYS(B74,A74)+1)</f>
        <v>0</v>
      </c>
      <c r="J74" s="271">
        <f t="shared" si="15"/>
        <v>0</v>
      </c>
    </row>
    <row r="75" spans="1:10" x14ac:dyDescent="0.35">
      <c r="A75" s="152">
        <f>IF(
    AND(
        YEAR(B73)=YEAR(DATE(YEAR($D$1), MONTH($D$1)-1, 1)),
        MONTH(B73)=MONTH(DATE(YEAR($D$1), MONTH($D$1)-1, 1))
    ),
    $D$1,
    IF(
        $D$4="",
        DATE(YEAR(B73), MONTH(B73)+1, 1),
        IF(
            AND(
                YEAR(B73)=YEAR(DATE(YEAR($D$4), MONTH($D$4)-1, 1)),
                MONTH(B73)=MONTH(DATE(YEAR($D$4), MONTH($D$4)-1, 1))
            ),
            $D$4,
            DATE(YEAR(B73), MONTH(B73)+1, 1)
        )
    )
)</f>
        <v>40878</v>
      </c>
      <c r="B75" s="152">
        <f>IF(
AND(
YEAR(B73)=YEAR(DATE(YEAR($D$2),MONTH($D$2)-1,1)),
MONTH(B73)=MONTH(DATE(YEAR($D$2),MONTH($D$2)-1,1))
),
$D$2,
IF(
$D$3="",
EOMONTH(B73,1),
IF(
AND(
YEAR(B73)=YEAR(DATE(YEAR($D$3),MONTH($D$3)-1,1)),
MONTH(B73)=MONTH(DATE(YEAR($D$3),MONTH($D$3)-1,1))
),
$D$3,
EOMONTH(B73,1)
)))</f>
        <v>40908</v>
      </c>
      <c r="C75" s="472"/>
      <c r="D75" s="149" t="s">
        <v>108</v>
      </c>
      <c r="E75" s="271">
        <f>'CAP POST'!G74</f>
        <v>0</v>
      </c>
      <c r="F75" s="271">
        <f t="shared" si="14"/>
        <v>0</v>
      </c>
      <c r="G75" s="215">
        <v>5.1165419320000002E-2</v>
      </c>
      <c r="H75" s="272">
        <f>((1+G75)^(1/365)-1)</f>
        <v>1.3672022706257003E-4</v>
      </c>
      <c r="I75" s="273">
        <f>IF(OR(A75=SABANA!$C$14, D75="adicional"),0,_xlfn.DAYS(B75,A75)+1)</f>
        <v>31</v>
      </c>
      <c r="J75" s="271">
        <f>IF(AND(OR(A75&gt;=$D$4,B75&lt;=$D$3), AND(A74&gt;=$D$1,B74&lt;$D$2)),(F73*I75*H75),0)</f>
        <v>0</v>
      </c>
    </row>
    <row r="76" spans="1:10" x14ac:dyDescent="0.35">
      <c r="A76" s="152">
        <f>IF(
    AND(
        YEAR(B75)=YEAR(DATE(YEAR($D$1), MONTH($D$1)-1, 1)),
        MONTH(B75)=MONTH(DATE(YEAR($D$1), MONTH($D$1)-1, 1))
    ),
    $D$1,
    IF(
        $D$4="",
        DATE(YEAR(B75), MONTH(B75)+1, 1),
        IF(
            AND(
                YEAR(B75)=YEAR(DATE(YEAR($D$4), MONTH($D$4)-1, 1)),
                MONTH(B75)=MONTH(DATE(YEAR($D$4), MONTH($D$4)-1, 1))
            ),
            $D$4,
            DATE(YEAR(B75), MONTH(B75)+1, 1)
        )
    )
)</f>
        <v>40909</v>
      </c>
      <c r="B76" s="152">
        <f>IF(
AND(
YEAR(B75)=YEAR(DATE(YEAR($D$2),MONTH($D$2)-1,1)),
MONTH(B75)=MONTH(DATE(YEAR($D$2),MONTH($D$2)-1,1))
),
$D$2,
IF(
$D$3="",
EOMONTH(B75,1),
IF(
AND(
YEAR(B75)=YEAR(DATE(YEAR($D$3),MONTH($D$3)-1,1)),
MONTH(B75)=MONTH(DATE(YEAR($D$3),MONTH($D$3)-1,1))
),
$D$3,
EOMONTH(B75,1)
)))</f>
        <v>40939</v>
      </c>
      <c r="C76" s="468">
        <v>2012</v>
      </c>
      <c r="D76" s="149" t="s">
        <v>96</v>
      </c>
      <c r="E76" s="271">
        <f>'CAP POST'!G75</f>
        <v>0</v>
      </c>
      <c r="F76" s="271">
        <f t="shared" si="14"/>
        <v>0</v>
      </c>
      <c r="G76" s="215">
        <v>5.1295329430000002E-2</v>
      </c>
      <c r="H76" s="272">
        <f t="shared" si="0"/>
        <v>1.370588463036615E-4</v>
      </c>
      <c r="I76" s="273">
        <f>IF(OR(A76=SABANA!$C$14, D76="adicional"),0,_xlfn.DAYS(B76,A76)+1)</f>
        <v>31</v>
      </c>
      <c r="J76" s="271">
        <f t="shared" si="15"/>
        <v>0</v>
      </c>
    </row>
    <row r="77" spans="1:10" x14ac:dyDescent="0.35">
      <c r="A77" s="152">
        <f>IF(
    AND(
        YEAR(B76)=YEAR(DATE(YEAR($D$1), MONTH($D$1)-1, 1)),
        MONTH(B76)=MONTH(DATE(YEAR($D$1), MONTH($D$1)-1, 1))
    ),
    $D$1,
    IF(
        $D$4="",
        DATE(YEAR(B76), MONTH(B76)+1, 1),
        IF(
            AND(
                YEAR(B76)=YEAR(DATE(YEAR($D$4), MONTH($D$4)-1, 1)),
                MONTH(B76)=MONTH(DATE(YEAR($D$4), MONTH($D$4)-1, 1))
            ),
            $D$4,
            DATE(YEAR(B76), MONTH(B76)+1, 1)
        )
    )
)</f>
        <v>40940</v>
      </c>
      <c r="B77" s="152">
        <f>IF(
AND(
YEAR(B76)=YEAR(DATE(YEAR($D$2),MONTH($D$2)-1,1)),
MONTH(B76)=MONTH(DATE(YEAR($D$2),MONTH($D$2)-1,1))
),
$D$2,
IF(
$D$3="",
EOMONTH(B76,1),
IF(
AND(
YEAR(B76)=YEAR(DATE(YEAR($D$3),MONTH($D$3)-1,1)),
MONTH(B76)=MONTH(DATE(YEAR($D$3),MONTH($D$3)-1,1))
),
$D$3,
EOMONTH(B76,1)
)))</f>
        <v>40968</v>
      </c>
      <c r="C77" s="471"/>
      <c r="D77" s="149" t="s">
        <v>97</v>
      </c>
      <c r="E77" s="271">
        <f>'CAP POST'!G76</f>
        <v>0</v>
      </c>
      <c r="F77" s="271">
        <f t="shared" si="14"/>
        <v>0</v>
      </c>
      <c r="G77" s="215">
        <v>5.2700988579999997E-2</v>
      </c>
      <c r="H77" s="272">
        <f t="shared" si="0"/>
        <v>1.4072012306454162E-4</v>
      </c>
      <c r="I77" s="273">
        <f>IF(OR(A77=SABANA!$C$14, D77="adicional"),0,_xlfn.DAYS(B77,A77)+1)</f>
        <v>29</v>
      </c>
      <c r="J77" s="271">
        <f t="shared" si="15"/>
        <v>0</v>
      </c>
    </row>
    <row r="78" spans="1:10" x14ac:dyDescent="0.35">
      <c r="A78" s="152">
        <f>IF(
    AND(
        YEAR(B77)=YEAR(DATE(YEAR($D$1), MONTH($D$1)-1, 1)),
        MONTH(B77)=MONTH(DATE(YEAR($D$1), MONTH($D$1)-1, 1))
    ),
    $D$1,
    IF(
        $D$4="",
        DATE(YEAR(B77), MONTH(B77)+1, 1),
        IF(
            AND(
                YEAR(B77)=YEAR(DATE(YEAR($D$4), MONTH($D$4)-1, 1)),
                MONTH(B77)=MONTH(DATE(YEAR($D$4), MONTH($D$4)-1, 1))
            ),
            $D$4,
            DATE(YEAR(B77), MONTH(B77)+1, 1)
        )
    )
)</f>
        <v>40969</v>
      </c>
      <c r="B78" s="152">
        <f>IF(
AND(
YEAR(B77)=YEAR(DATE(YEAR($D$2),MONTH($D$2)-1,1)),
MONTH(B77)=MONTH(DATE(YEAR($D$2),MONTH($D$2)-1,1))
),
$D$2,
IF(
$D$3="",
EOMONTH(B77,1),
IF(
AND(
YEAR(B77)=YEAR(DATE(YEAR($D$3),MONTH($D$3)-1,1)),
MONTH(B77)=MONTH(DATE(YEAR($D$3),MONTH($D$3)-1,1))
),
$D$3,
EOMONTH(B77,1)
)))</f>
        <v>40999</v>
      </c>
      <c r="C78" s="471"/>
      <c r="D78" s="149" t="s">
        <v>98</v>
      </c>
      <c r="E78" s="271">
        <f>'CAP POST'!G77</f>
        <v>0</v>
      </c>
      <c r="F78" s="271">
        <f t="shared" si="14"/>
        <v>0</v>
      </c>
      <c r="G78" s="215">
        <v>5.360848176E-2</v>
      </c>
      <c r="H78" s="272">
        <f t="shared" si="0"/>
        <v>1.4308125344841827E-4</v>
      </c>
      <c r="I78" s="273">
        <f>IF(OR(A78=SABANA!$C$14, D78="adicional"),0,_xlfn.DAYS(B78,A78)+1)</f>
        <v>31</v>
      </c>
      <c r="J78" s="271">
        <f t="shared" si="15"/>
        <v>0</v>
      </c>
    </row>
    <row r="79" spans="1:10" x14ac:dyDescent="0.35">
      <c r="A79" s="152">
        <f>IF(
    AND(
        YEAR(B78)=YEAR(DATE(YEAR($D$1), MONTH($D$1)-1, 1)),
        MONTH(B78)=MONTH(DATE(YEAR($D$1), MONTH($D$1)-1, 1))
    ),
    $D$1,
    IF(
        $D$4="",
        DATE(YEAR(B78), MONTH(B78)+1, 1),
        IF(
            AND(
                YEAR(B78)=YEAR(DATE(YEAR($D$4), MONTH($D$4)-1, 1)),
                MONTH(B78)=MONTH(DATE(YEAR($D$4), MONTH($D$4)-1, 1))
            ),
            $D$4,
            DATE(YEAR(B78), MONTH(B78)+1, 1)
        )
    )
)</f>
        <v>41000</v>
      </c>
      <c r="B79" s="152">
        <f>IF(
AND(
YEAR(B78)=YEAR(DATE(YEAR($D$2),MONTH($D$2)-1,1)),
MONTH(B78)=MONTH(DATE(YEAR($D$2),MONTH($D$2)-1,1))
),
$D$2,
IF(
$D$3="",
EOMONTH(B78,1),
IF(
AND(
YEAR(B78)=YEAR(DATE(YEAR($D$3),MONTH($D$3)-1,1)),
MONTH(B78)=MONTH(DATE(YEAR($D$3),MONTH($D$3)-1,1))
),
$D$3,
EOMONTH(B78,1)
)))</f>
        <v>41029</v>
      </c>
      <c r="C79" s="471"/>
      <c r="D79" s="149" t="s">
        <v>99</v>
      </c>
      <c r="E79" s="271">
        <f>'CAP POST'!G78</f>
        <v>0</v>
      </c>
      <c r="F79" s="271">
        <f t="shared" si="14"/>
        <v>0</v>
      </c>
      <c r="G79" s="215">
        <v>5.4728978150000003E-2</v>
      </c>
      <c r="H79" s="272">
        <f t="shared" si="0"/>
        <v>1.4599378256652251E-4</v>
      </c>
      <c r="I79" s="273">
        <f>IF(OR(A79=SABANA!$C$14, D79="adicional"),0,_xlfn.DAYS(B79,A79)+1)</f>
        <v>30</v>
      </c>
      <c r="J79" s="271">
        <f t="shared" si="15"/>
        <v>0</v>
      </c>
    </row>
    <row r="80" spans="1:10" x14ac:dyDescent="0.35">
      <c r="A80" s="152">
        <f>IF(
    AND(
        YEAR(B79)=YEAR(DATE(YEAR($D$1), MONTH($D$1)-1, 1)),
        MONTH(B79)=MONTH(DATE(YEAR($D$1), MONTH($D$1)-1, 1))
    ),
    $D$1,
    IF(
        $D$4="",
        DATE(YEAR(B79), MONTH(B79)+1, 1),
        IF(
            AND(
                YEAR(B79)=YEAR(DATE(YEAR($D$4), MONTH($D$4)-1, 1)),
                MONTH(B79)=MONTH(DATE(YEAR($D$4), MONTH($D$4)-1, 1))
            ),
            $D$4,
            DATE(YEAR(B79), MONTH(B79)+1, 1)
        )
    )
)</f>
        <v>41030</v>
      </c>
      <c r="B80" s="152">
        <f>IF(
AND(
YEAR(B79)=YEAR(DATE(YEAR($D$2),MONTH($D$2)-1,1)),
MONTH(B79)=MONTH(DATE(YEAR($D$2),MONTH($D$2)-1,1))
),
$D$2,
IF(
$D$3="",
EOMONTH(B79,1),
IF(
AND(
YEAR(B79)=YEAR(DATE(YEAR($D$3),MONTH($D$3)-1,1)),
MONTH(B79)=MONTH(DATE(YEAR($D$3),MONTH($D$3)-1,1))
),
$D$3,
EOMONTH(B79,1)
)))</f>
        <v>41060</v>
      </c>
      <c r="C80" s="471"/>
      <c r="D80" s="149" t="s">
        <v>100</v>
      </c>
      <c r="E80" s="271">
        <f>'CAP POST'!G79</f>
        <v>0</v>
      </c>
      <c r="F80" s="271">
        <f t="shared" si="14"/>
        <v>0</v>
      </c>
      <c r="G80" s="215">
        <v>5.4496844699999998E-2</v>
      </c>
      <c r="H80" s="272">
        <f t="shared" si="0"/>
        <v>1.4539064684893077E-4</v>
      </c>
      <c r="I80" s="273">
        <f>IF(OR(A80=SABANA!$C$14, D80="adicional"),0,_xlfn.DAYS(B80,A80)+1)</f>
        <v>31</v>
      </c>
      <c r="J80" s="271">
        <f t="shared" si="15"/>
        <v>0</v>
      </c>
    </row>
    <row r="81" spans="1:10" x14ac:dyDescent="0.35">
      <c r="A81" s="156">
        <f t="shared" ref="A81" si="18">A82</f>
        <v>41061</v>
      </c>
      <c r="B81" s="156">
        <f t="shared" ref="B81" si="19">B82</f>
        <v>41090</v>
      </c>
      <c r="C81" s="471"/>
      <c r="D81" s="157" t="s">
        <v>101</v>
      </c>
      <c r="E81" s="274">
        <f>'CAP POST'!G80</f>
        <v>0</v>
      </c>
      <c r="F81" s="271">
        <f t="shared" si="14"/>
        <v>0</v>
      </c>
      <c r="G81" s="275">
        <v>5.440033298E-2</v>
      </c>
      <c r="H81" s="276"/>
      <c r="I81" s="273">
        <f>IF(OR(A81=SABANA!$C$14, D81="adicional"),0,_xlfn.DAYS(B81,A81)+1)</f>
        <v>0</v>
      </c>
      <c r="J81" s="271">
        <f t="shared" si="15"/>
        <v>0</v>
      </c>
    </row>
    <row r="82" spans="1:10" x14ac:dyDescent="0.35">
      <c r="A82" s="152">
        <f>IF(
    AND(
        YEAR(B80)=YEAR(DATE(YEAR($D$1), MONTH($D$1)-1, 1)),
        MONTH(B80)=MONTH(DATE(YEAR($D$1), MONTH($D$1)-1, 1))
    ),
    $D$1,
    IF(
        $D$4="",
        DATE(YEAR(B80), MONTH(B80)+1, 1),
        IF(
            AND(
                YEAR(B80)=YEAR(DATE(YEAR($D$4), MONTH($D$4)-1, 1)),
                MONTH(B80)=MONTH(DATE(YEAR($D$4), MONTH($D$4)-1, 1))
            ),
            $D$4,
            DATE(YEAR(B80), MONTH(B80)+1, 1)
        )
    )
)</f>
        <v>41061</v>
      </c>
      <c r="B82" s="152">
        <f>IF(
AND(
YEAR(B80)=YEAR(DATE(YEAR($D$2),MONTH($D$2)-1,1)),
MONTH(B80)=MONTH(DATE(YEAR($D$2),MONTH($D$2)-1,1))
),
$D$2,
IF(
$D$3="",
EOMONTH(B80,1),
IF(
AND(
YEAR(B80)=YEAR(DATE(YEAR($D$3),MONTH($D$3)-1,1)),
MONTH(B80)=MONTH(DATE(YEAR($D$3),MONTH($D$3)-1,1))
),
$D$3,
EOMONTH(B80,1)
)))</f>
        <v>41090</v>
      </c>
      <c r="C82" s="471"/>
      <c r="D82" s="149" t="s">
        <v>102</v>
      </c>
      <c r="E82" s="271">
        <f>'CAP POST'!G81</f>
        <v>0</v>
      </c>
      <c r="F82" s="271">
        <f t="shared" si="14"/>
        <v>0</v>
      </c>
      <c r="G82" s="215">
        <v>5.450731407E-2</v>
      </c>
      <c r="H82" s="272">
        <f>((1+G82)^(1/365)-1)</f>
        <v>1.4541785151434006E-4</v>
      </c>
      <c r="I82" s="273">
        <f>IF(OR(A82=SABANA!$C$14, D82="adicional"),0,_xlfn.DAYS(B82,A82)+1)</f>
        <v>30</v>
      </c>
      <c r="J82" s="271">
        <f>IF(AND(OR(A82&gt;=$D$4,B82&lt;=$D$3), AND(A81&gt;=$D$1,B81&lt;$D$2)),(F80*I82*H82),0)</f>
        <v>0</v>
      </c>
    </row>
    <row r="83" spans="1:10" x14ac:dyDescent="0.35">
      <c r="A83" s="152">
        <f>IF(
    AND(
        YEAR(B82)=YEAR(DATE(YEAR($D$1), MONTH($D$1)-1, 1)),
        MONTH(B82)=MONTH(DATE(YEAR($D$1), MONTH($D$1)-1, 1))
    ),
    $D$1,
    IF(
        $D$4="",
        DATE(YEAR(B82), MONTH(B82)+1, 1),
        IF(
            AND(
                YEAR(B82)=YEAR(DATE(YEAR($D$4), MONTH($D$4)-1, 1)),
                MONTH(B82)=MONTH(DATE(YEAR($D$4), MONTH($D$4)-1, 1))
            ),
            $D$4,
            DATE(YEAR(B82), MONTH(B82)+1, 1)
        )
    )
)</f>
        <v>41091</v>
      </c>
      <c r="B83" s="152">
        <f>IF(
AND(
YEAR(B82)=YEAR(DATE(YEAR($D$2),MONTH($D$2)-1,1)),
MONTH(B82)=MONTH(DATE(YEAR($D$2),MONTH($D$2)-1,1))
),
$D$2,
IF(
$D$3="",
EOMONTH(B82,1),
IF(
AND(
YEAR(B82)=YEAR(DATE(YEAR($D$3),MONTH($D$3)-1,1)),
MONTH(B82)=MONTH(DATE(YEAR($D$3),MONTH($D$3)-1,1))
),
$D$3,
EOMONTH(B82,1)
)))</f>
        <v>41121</v>
      </c>
      <c r="C83" s="471"/>
      <c r="D83" s="149" t="s">
        <v>103</v>
      </c>
      <c r="E83" s="271">
        <f>'CAP POST'!G82</f>
        <v>0</v>
      </c>
      <c r="F83" s="271">
        <f t="shared" si="14"/>
        <v>0</v>
      </c>
      <c r="G83" s="215">
        <v>5.440033298E-2</v>
      </c>
      <c r="H83" s="272">
        <f>((1+G83)^(1/365)-1)</f>
        <v>1.451398483893751E-4</v>
      </c>
      <c r="I83" s="273">
        <f>IF(OR(A83=SABANA!$C$14, D83="adicional"),0,_xlfn.DAYS(B83,A83)+1)</f>
        <v>31</v>
      </c>
      <c r="J83" s="271">
        <f t="shared" si="15"/>
        <v>0</v>
      </c>
    </row>
    <row r="84" spans="1:10" x14ac:dyDescent="0.35">
      <c r="A84" s="152">
        <f>IF(
    AND(
        YEAR(B83)=YEAR(DATE(YEAR($D$1), MONTH($D$1)-1, 1)),
        MONTH(B83)=MONTH(DATE(YEAR($D$1), MONTH($D$1)-1, 1))
    ),
    $D$1,
    IF(
        $D$4="",
        DATE(YEAR(B83), MONTH(B83)+1, 1),
        IF(
            AND(
                YEAR(B83)=YEAR(DATE(YEAR($D$4), MONTH($D$4)-1, 1)),
                MONTH(B83)=MONTH(DATE(YEAR($D$4), MONTH($D$4)-1, 1))
            ),
            $D$4,
            DATE(YEAR(B83), MONTH(B83)+1, 1)
        )
    )
)</f>
        <v>41122</v>
      </c>
      <c r="B84" s="152">
        <f>IF(
AND(
YEAR(B83)=YEAR(DATE(YEAR($D$2),MONTH($D$2)-1,1)),
MONTH(B83)=MONTH(DATE(YEAR($D$2),MONTH($D$2)-1,1))
),
$D$2,
IF(
$D$3="",
EOMONTH(B83,1),
IF(
AND(
YEAR(B83)=YEAR(DATE(YEAR($D$3),MONTH($D$3)-1,1)),
MONTH(B83)=MONTH(DATE(YEAR($D$3),MONTH($D$3)-1,1))
),
$D$3,
EOMONTH(B83,1)
)))</f>
        <v>41152</v>
      </c>
      <c r="C84" s="471"/>
      <c r="D84" s="149" t="s">
        <v>104</v>
      </c>
      <c r="E84" s="271">
        <f>'CAP POST'!G83</f>
        <v>0</v>
      </c>
      <c r="F84" s="271">
        <f t="shared" si="14"/>
        <v>0</v>
      </c>
      <c r="G84" s="215">
        <v>5.4146318089999999E-2</v>
      </c>
      <c r="H84" s="272">
        <f t="shared" ref="H84:H155" si="20">((1+G84)^(1/365)-1)</f>
        <v>1.4447964769037647E-4</v>
      </c>
      <c r="I84" s="273">
        <f>IF(OR(A84=SABANA!$C$14, D84="adicional"),0,_xlfn.DAYS(B84,A84)+1)</f>
        <v>31</v>
      </c>
      <c r="J84" s="271">
        <f t="shared" si="15"/>
        <v>0</v>
      </c>
    </row>
    <row r="85" spans="1:10" x14ac:dyDescent="0.35">
      <c r="A85" s="152">
        <f>IF(
    AND(
        YEAR(B84)=YEAR(DATE(YEAR($D$1), MONTH($D$1)-1, 1)),
        MONTH(B84)=MONTH(DATE(YEAR($D$1), MONTH($D$1)-1, 1))
    ),
    $D$1,
    IF(
        $D$4="",
        DATE(YEAR(B84), MONTH(B84)+1, 1),
        IF(
            AND(
                YEAR(B84)=YEAR(DATE(YEAR($D$4), MONTH($D$4)-1, 1)),
                MONTH(B84)=MONTH(DATE(YEAR($D$4), MONTH($D$4)-1, 1))
            ),
            $D$4,
            DATE(YEAR(B84), MONTH(B84)+1, 1)
        )
    )
)</f>
        <v>41153</v>
      </c>
      <c r="B85" s="152">
        <f>IF(
AND(
YEAR(B84)=YEAR(DATE(YEAR($D$2),MONTH($D$2)-1,1)),
MONTH(B84)=MONTH(DATE(YEAR($D$2),MONTH($D$2)-1,1))
),
$D$2,
IF(
$D$3="",
EOMONTH(B84,1),
IF(
AND(
YEAR(B84)=YEAR(DATE(YEAR($D$3),MONTH($D$3)-1,1)),
MONTH(B84)=MONTH(DATE(YEAR($D$3),MONTH($D$3)-1,1))
),
$D$3,
EOMONTH(B84,1)
)))</f>
        <v>41182</v>
      </c>
      <c r="C85" s="471"/>
      <c r="D85" s="149" t="s">
        <v>105</v>
      </c>
      <c r="E85" s="271">
        <f>'CAP POST'!G84</f>
        <v>0</v>
      </c>
      <c r="F85" s="271">
        <f t="shared" si="14"/>
        <v>0</v>
      </c>
      <c r="G85" s="215">
        <v>5.3221066880000001E-2</v>
      </c>
      <c r="H85" s="272">
        <f t="shared" si="20"/>
        <v>1.4207351936201817E-4</v>
      </c>
      <c r="I85" s="273">
        <f>IF(OR(A85=SABANA!$C$14, D85="adicional"),0,_xlfn.DAYS(B85,A85)+1)</f>
        <v>30</v>
      </c>
      <c r="J85" s="271">
        <f t="shared" si="15"/>
        <v>0</v>
      </c>
    </row>
    <row r="86" spans="1:10" x14ac:dyDescent="0.35">
      <c r="A86" s="152">
        <f>IF(
    AND(
        YEAR(B85)=YEAR(DATE(YEAR($D$1), MONTH($D$1)-1, 1)),
        MONTH(B85)=MONTH(DATE(YEAR($D$1), MONTH($D$1)-1, 1))
    ),
    $D$1,
    IF(
        $D$4="",
        DATE(YEAR(B85), MONTH(B85)+1, 1),
        IF(
            AND(
                YEAR(B85)=YEAR(DATE(YEAR($D$4), MONTH($D$4)-1, 1)),
                MONTH(B85)=MONTH(DATE(YEAR($D$4), MONTH($D$4)-1, 1))
            ),
            $D$4,
            DATE(YEAR(B85), MONTH(B85)+1, 1)
        )
    )
)</f>
        <v>41183</v>
      </c>
      <c r="B86" s="152">
        <f>IF(
AND(
YEAR(B85)=YEAR(DATE(YEAR($D$2),MONTH($D$2)-1,1)),
MONTH(B85)=MONTH(DATE(YEAR($D$2),MONTH($D$2)-1,1))
),
$D$2,
IF(
$D$3="",
EOMONTH(B85,1),
IF(
AND(
YEAR(B85)=YEAR(DATE(YEAR($D$3),MONTH($D$3)-1,1)),
MONTH(B85)=MONTH(DATE(YEAR($D$3),MONTH($D$3)-1,1))
),
$D$3,
EOMONTH(B85,1)
)))</f>
        <v>41213</v>
      </c>
      <c r="C86" s="471"/>
      <c r="D86" s="149" t="s">
        <v>106</v>
      </c>
      <c r="E86" s="271">
        <f>'CAP POST'!G85</f>
        <v>0</v>
      </c>
      <c r="F86" s="271">
        <f t="shared" si="14"/>
        <v>0</v>
      </c>
      <c r="G86" s="215">
        <v>5.4222042149999997E-2</v>
      </c>
      <c r="H86" s="272">
        <f t="shared" si="20"/>
        <v>1.4467647588856103E-4</v>
      </c>
      <c r="I86" s="273">
        <f>IF(OR(A86=SABANA!$C$14, D86="adicional"),0,_xlfn.DAYS(B86,A86)+1)</f>
        <v>31</v>
      </c>
      <c r="J86" s="271">
        <f t="shared" si="15"/>
        <v>0</v>
      </c>
    </row>
    <row r="87" spans="1:10" x14ac:dyDescent="0.35">
      <c r="A87" s="152">
        <f>IF(
    AND(
        YEAR(B86)=YEAR(DATE(YEAR($D$1), MONTH($D$1)-1, 1)),
        MONTH(B86)=MONTH(DATE(YEAR($D$1), MONTH($D$1)-1, 1))
    ),
    $D$1,
    IF(
        $D$4="",
        DATE(YEAR(B86), MONTH(B86)+1, 1),
        IF(
            AND(
                YEAR(B86)=YEAR(DATE(YEAR($D$4), MONTH($D$4)-1, 1)),
                MONTH(B86)=MONTH(DATE(YEAR($D$4), MONTH($D$4)-1, 1))
            ),
            $D$4,
            DATE(YEAR(B86), MONTH(B86)+1, 1)
        )
    )
)</f>
        <v>41214</v>
      </c>
      <c r="B87" s="152">
        <f>IF(
AND(
YEAR(B86)=YEAR(DATE(YEAR($D$2),MONTH($D$2)-1,1)),
MONTH(B86)=MONTH(DATE(YEAR($D$2),MONTH($D$2)-1,1))
),
$D$2,
IF(
$D$3="",
EOMONTH(B86,1),
IF(
AND(
YEAR(B86)=YEAR(DATE(YEAR($D$3),MONTH($D$3)-1,1)),
MONTH(B86)=MONTH(DATE(YEAR($D$3),MONTH($D$3)-1,1))
),
$D$3,
EOMONTH(B86,1)
)))</f>
        <v>41243</v>
      </c>
      <c r="C87" s="471"/>
      <c r="D87" s="149" t="s">
        <v>107</v>
      </c>
      <c r="E87" s="271">
        <f>'CAP POST'!G86</f>
        <v>0</v>
      </c>
      <c r="F87" s="271">
        <f t="shared" si="14"/>
        <v>0</v>
      </c>
      <c r="G87" s="215">
        <v>5.3135200690000002E-2</v>
      </c>
      <c r="H87" s="272">
        <f t="shared" si="20"/>
        <v>1.4185011628820021E-4</v>
      </c>
      <c r="I87" s="273">
        <f>IF(OR(A87=SABANA!$C$14, D87="adicional"),0,_xlfn.DAYS(B87,A87)+1)</f>
        <v>30</v>
      </c>
      <c r="J87" s="271">
        <f t="shared" si="15"/>
        <v>0</v>
      </c>
    </row>
    <row r="88" spans="1:10" x14ac:dyDescent="0.35">
      <c r="A88" s="156">
        <f t="shared" ref="A88" si="21">A87</f>
        <v>41214</v>
      </c>
      <c r="B88" s="156">
        <f t="shared" ref="B88" si="22">B87</f>
        <v>41243</v>
      </c>
      <c r="C88" s="471"/>
      <c r="D88" s="157" t="s">
        <v>101</v>
      </c>
      <c r="E88" s="274">
        <f>'CAP POST'!G87</f>
        <v>0</v>
      </c>
      <c r="F88" s="271">
        <f t="shared" si="14"/>
        <v>0</v>
      </c>
      <c r="G88" s="275">
        <v>5.2237163179999997E-2</v>
      </c>
      <c r="H88" s="276"/>
      <c r="I88" s="273">
        <f>IF(OR(A88=SABANA!$C$14, D88="adicional"),0,_xlfn.DAYS(B88,A88)+1)</f>
        <v>0</v>
      </c>
      <c r="J88" s="271">
        <f t="shared" si="15"/>
        <v>0</v>
      </c>
    </row>
    <row r="89" spans="1:10" x14ac:dyDescent="0.35">
      <c r="A89" s="152">
        <f>IF(
    AND(
        YEAR(B87)=YEAR(DATE(YEAR($D$1), MONTH($D$1)-1, 1)),
        MONTH(B87)=MONTH(DATE(YEAR($D$1), MONTH($D$1)-1, 1))
    ),
    $D$1,
    IF(
        $D$4="",
        DATE(YEAR(B87), MONTH(B87)+1, 1),
        IF(
            AND(
                YEAR(B87)=YEAR(DATE(YEAR($D$4), MONTH($D$4)-1, 1)),
                MONTH(B87)=MONTH(DATE(YEAR($D$4), MONTH($D$4)-1, 1))
            ),
            $D$4,
            DATE(YEAR(B87), MONTH(B87)+1, 1)
        )
    )
)</f>
        <v>41244</v>
      </c>
      <c r="B89" s="152">
        <f>IF(
AND(
YEAR(B87)=YEAR(DATE(YEAR($D$2),MONTH($D$2)-1,1)),
MONTH(B87)=MONTH(DATE(YEAR($D$2),MONTH($D$2)-1,1))
),
$D$2,
IF(
$D$3="",
EOMONTH(B87,1),
IF(
AND(
YEAR(B87)=YEAR(DATE(YEAR($D$3),MONTH($D$3)-1,1)),
MONTH(B87)=MONTH(DATE(YEAR($D$3),MONTH($D$3)-1,1))
),
$D$3,
EOMONTH(B87,1)
)))</f>
        <v>41274</v>
      </c>
      <c r="C89" s="472"/>
      <c r="D89" s="149" t="s">
        <v>108</v>
      </c>
      <c r="E89" s="271">
        <f>'CAP POST'!G88</f>
        <v>0</v>
      </c>
      <c r="F89" s="271">
        <f t="shared" si="14"/>
        <v>0</v>
      </c>
      <c r="G89" s="215">
        <v>5.2237163179999997E-2</v>
      </c>
      <c r="H89" s="272">
        <f>((1+G89)^(1/365)-1)</f>
        <v>1.3951255067734536E-4</v>
      </c>
      <c r="I89" s="273">
        <f>IF(OR(A89=SABANA!$C$14, D89="adicional"),0,_xlfn.DAYS(B89,A89)+1)</f>
        <v>31</v>
      </c>
      <c r="J89" s="271">
        <f>IF(AND(OR(A89&gt;=$D$4,B89&lt;=$D$3), AND(A88&gt;=$D$1,B88&lt;$D$2)),(F87*I89*H89),0)</f>
        <v>0</v>
      </c>
    </row>
    <row r="90" spans="1:10" x14ac:dyDescent="0.35">
      <c r="A90" s="152">
        <f>IF(
    AND(
        YEAR(B89)=YEAR(DATE(YEAR($D$1), MONTH($D$1)-1, 1)),
        MONTH(B89)=MONTH(DATE(YEAR($D$1), MONTH($D$1)-1, 1))
    ),
    $D$1,
    IF(
        $D$4="",
        DATE(YEAR(B89), MONTH(B89)+1, 1),
        IF(
            AND(
                YEAR(B89)=YEAR(DATE(YEAR($D$4), MONTH($D$4)-1, 1)),
                MONTH(B89)=MONTH(DATE(YEAR($D$4), MONTH($D$4)-1, 1))
            ),
            $D$4,
            DATE(YEAR(B89), MONTH(B89)+1, 1)
        )
    )
)</f>
        <v>41275</v>
      </c>
      <c r="B90" s="152">
        <f>IF(
AND(
YEAR(B89)=YEAR(DATE(YEAR($D$2),MONTH($D$2)-1,1)),
MONTH(B89)=MONTH(DATE(YEAR($D$2),MONTH($D$2)-1,1))
),
$D$2,
IF(
$D$3="",
EOMONTH(B89,1),
IF(
AND(
YEAR(B89)=YEAR(DATE(YEAR($D$3),MONTH($D$3)-1,1)),
MONTH(B89)=MONTH(DATE(YEAR($D$3),MONTH($D$3)-1,1))
),
$D$3,
EOMONTH(B89,1)
)))</f>
        <v>41305</v>
      </c>
      <c r="C90" s="468">
        <v>2013</v>
      </c>
      <c r="D90" s="149" t="s">
        <v>96</v>
      </c>
      <c r="E90" s="271">
        <f>'CAP POST'!G89</f>
        <v>0</v>
      </c>
      <c r="F90" s="271">
        <f t="shared" si="14"/>
        <v>0</v>
      </c>
      <c r="G90" s="215">
        <v>5.1196027569999997E-2</v>
      </c>
      <c r="H90" s="272">
        <f t="shared" si="20"/>
        <v>1.3680001323623792E-4</v>
      </c>
      <c r="I90" s="273">
        <f>IF(OR(A90=SABANA!$C$14, D90="adicional"),0,_xlfn.DAYS(B90,A90)+1)</f>
        <v>31</v>
      </c>
      <c r="J90" s="271">
        <f t="shared" si="15"/>
        <v>0</v>
      </c>
    </row>
    <row r="91" spans="1:10" x14ac:dyDescent="0.35">
      <c r="A91" s="152">
        <f>IF(
    AND(
        YEAR(B90)=YEAR(DATE(YEAR($D$1), MONTH($D$1)-1, 1)),
        MONTH(B90)=MONTH(DATE(YEAR($D$1), MONTH($D$1)-1, 1))
    ),
    $D$1,
    IF(
        $D$4="",
        DATE(YEAR(B90), MONTH(B90)+1, 1),
        IF(
            AND(
                YEAR(B90)=YEAR(DATE(YEAR($D$4), MONTH($D$4)-1, 1)),
                MONTH(B90)=MONTH(DATE(YEAR($D$4), MONTH($D$4)-1, 1))
            ),
            $D$4,
            DATE(YEAR(B90), MONTH(B90)+1, 1)
        )
    )
)</f>
        <v>41306</v>
      </c>
      <c r="B91" s="152">
        <f>IF(
AND(
YEAR(B90)=YEAR(DATE(YEAR($D$2),MONTH($D$2)-1,1)),
MONTH(B90)=MONTH(DATE(YEAR($D$2),MONTH($D$2)-1,1))
),
$D$2,
IF(
$D$3="",
EOMONTH(B90,1),
IF(
AND(
YEAR(B90)=YEAR(DATE(YEAR($D$3),MONTH($D$3)-1,1)),
MONTH(B90)=MONTH(DATE(YEAR($D$3),MONTH($D$3)-1,1))
),
$D$3,
EOMONTH(B90,1)
)))</f>
        <v>41333</v>
      </c>
      <c r="C91" s="471"/>
      <c r="D91" s="149" t="s">
        <v>97</v>
      </c>
      <c r="E91" s="271">
        <f>'CAP POST'!G90</f>
        <v>0</v>
      </c>
      <c r="F91" s="271">
        <f t="shared" si="14"/>
        <v>0</v>
      </c>
      <c r="G91" s="215">
        <v>4.8175477199999997E-2</v>
      </c>
      <c r="H91" s="272">
        <f t="shared" si="20"/>
        <v>1.2891519092761428E-4</v>
      </c>
      <c r="I91" s="273">
        <f>IF(OR(A91=SABANA!$C$14, D91="adicional"),0,_xlfn.DAYS(B91,A91)+1)</f>
        <v>28</v>
      </c>
      <c r="J91" s="271">
        <f t="shared" si="15"/>
        <v>0</v>
      </c>
    </row>
    <row r="92" spans="1:10" x14ac:dyDescent="0.35">
      <c r="A92" s="152">
        <f>IF(
    AND(
        YEAR(B91)=YEAR(DATE(YEAR($D$1), MONTH($D$1)-1, 1)),
        MONTH(B91)=MONTH(DATE(YEAR($D$1), MONTH($D$1)-1, 1))
    ),
    $D$1,
    IF(
        $D$4="",
        DATE(YEAR(B91), MONTH(B91)+1, 1),
        IF(
            AND(
                YEAR(B91)=YEAR(DATE(YEAR($D$4), MONTH($D$4)-1, 1)),
                MONTH(B91)=MONTH(DATE(YEAR($D$4), MONTH($D$4)-1, 1))
            ),
            $D$4,
            DATE(YEAR(B91), MONTH(B91)+1, 1)
        )
    )
)</f>
        <v>41334</v>
      </c>
      <c r="B92" s="152">
        <f>IF(
AND(
YEAR(B91)=YEAR(DATE(YEAR($D$2),MONTH($D$2)-1,1)),
MONTH(B91)=MONTH(DATE(YEAR($D$2),MONTH($D$2)-1,1))
),
$D$2,
IF(
$D$3="",
EOMONTH(B91,1),
IF(
AND(
YEAR(B91)=YEAR(DATE(YEAR($D$3),MONTH($D$3)-1,1)),
MONTH(B91)=MONTH(DATE(YEAR($D$3),MONTH($D$3)-1,1))
),
$D$3,
EOMONTH(B91,1)
)))</f>
        <v>41364</v>
      </c>
      <c r="C92" s="471"/>
      <c r="D92" s="149" t="s">
        <v>98</v>
      </c>
      <c r="E92" s="271">
        <f>'CAP POST'!G91</f>
        <v>0</v>
      </c>
      <c r="F92" s="271">
        <f t="shared" si="14"/>
        <v>0</v>
      </c>
      <c r="G92" s="215">
        <v>4.5671698580000003E-2</v>
      </c>
      <c r="H92" s="272">
        <f t="shared" si="20"/>
        <v>1.2236215053307298E-4</v>
      </c>
      <c r="I92" s="273">
        <f>IF(OR(A92=SABANA!$C$14, D92="adicional"),0,_xlfn.DAYS(B92,A92)+1)</f>
        <v>31</v>
      </c>
      <c r="J92" s="271">
        <f t="shared" si="15"/>
        <v>0</v>
      </c>
    </row>
    <row r="93" spans="1:10" x14ac:dyDescent="0.35">
      <c r="A93" s="152">
        <f>IF(
    AND(
        YEAR(B92)=YEAR(DATE(YEAR($D$1), MONTH($D$1)-1, 1)),
        MONTH(B92)=MONTH(DATE(YEAR($D$1), MONTH($D$1)-1, 1))
    ),
    $D$1,
    IF(
        $D$4="",
        DATE(YEAR(B92), MONTH(B92)+1, 1),
        IF(
            AND(
                YEAR(B92)=YEAR(DATE(YEAR($D$4), MONTH($D$4)-1, 1)),
                MONTH(B92)=MONTH(DATE(YEAR($D$4), MONTH($D$4)-1, 1))
            ),
            $D$4,
            DATE(YEAR(B92), MONTH(B92)+1, 1)
        )
    )
)</f>
        <v>41365</v>
      </c>
      <c r="B93" s="152">
        <f>IF(
AND(
YEAR(B92)=YEAR(DATE(YEAR($D$2),MONTH($D$2)-1,1)),
MONTH(B92)=MONTH(DATE(YEAR($D$2),MONTH($D$2)-1,1))
),
$D$2,
IF(
$D$3="",
EOMONTH(B92,1),
IF(
AND(
YEAR(B92)=YEAR(DATE(YEAR($D$3),MONTH($D$3)-1,1)),
MONTH(B92)=MONTH(DATE(YEAR($D$3),MONTH($D$3)-1,1))
),
$D$3,
EOMONTH(B92,1)
)))</f>
        <v>41394</v>
      </c>
      <c r="C93" s="471"/>
      <c r="D93" s="149" t="s">
        <v>99</v>
      </c>
      <c r="E93" s="271">
        <f>'CAP POST'!G92</f>
        <v>0</v>
      </c>
      <c r="F93" s="271">
        <f t="shared" si="14"/>
        <v>0</v>
      </c>
      <c r="G93" s="215">
        <v>4.206505789E-2</v>
      </c>
      <c r="H93" s="272">
        <f t="shared" si="20"/>
        <v>1.1289507621659034E-4</v>
      </c>
      <c r="I93" s="273">
        <f>IF(OR(A93=SABANA!$C$14, D93="adicional"),0,_xlfn.DAYS(B93,A93)+1)</f>
        <v>30</v>
      </c>
      <c r="J93" s="271">
        <f t="shared" si="15"/>
        <v>0</v>
      </c>
    </row>
    <row r="94" spans="1:10" x14ac:dyDescent="0.35">
      <c r="A94" s="152">
        <f>IF(
    AND(
        YEAR(B93)=YEAR(DATE(YEAR($D$1), MONTH($D$1)-1, 1)),
        MONTH(B93)=MONTH(DATE(YEAR($D$1), MONTH($D$1)-1, 1))
    ),
    $D$1,
    IF(
        $D$4="",
        DATE(YEAR(B93), MONTH(B93)+1, 1),
        IF(
            AND(
                YEAR(B93)=YEAR(DATE(YEAR($D$4), MONTH($D$4)-1, 1)),
                MONTH(B93)=MONTH(DATE(YEAR($D$4), MONTH($D$4)-1, 1))
            ),
            $D$4,
            DATE(YEAR(B93), MONTH(B93)+1, 1)
        )
    )
)</f>
        <v>41395</v>
      </c>
      <c r="B94" s="152">
        <f>IF(
AND(
YEAR(B93)=YEAR(DATE(YEAR($D$2),MONTH($D$2)-1,1)),
MONTH(B93)=MONTH(DATE(YEAR($D$2),MONTH($D$2)-1,1))
),
$D$2,
IF(
$D$3="",
EOMONTH(B93,1),
IF(
AND(
YEAR(B93)=YEAR(DATE(YEAR($D$3),MONTH($D$3)-1,1)),
MONTH(B93)=MONTH(DATE(YEAR($D$3),MONTH($D$3)-1,1))
),
$D$3,
EOMONTH(B93,1)
)))</f>
        <v>41425</v>
      </c>
      <c r="C94" s="471"/>
      <c r="D94" s="149" t="s">
        <v>100</v>
      </c>
      <c r="E94" s="271">
        <f>'CAP POST'!G93</f>
        <v>0</v>
      </c>
      <c r="F94" s="271">
        <f t="shared" si="14"/>
        <v>0</v>
      </c>
      <c r="G94" s="215">
        <v>3.9835979620000003E-2</v>
      </c>
      <c r="H94" s="272">
        <f t="shared" si="20"/>
        <v>1.0702761420144924E-4</v>
      </c>
      <c r="I94" s="273">
        <f>IF(OR(A94=SABANA!$C$14, D94="adicional"),0,_xlfn.DAYS(B94,A94)+1)</f>
        <v>31</v>
      </c>
      <c r="J94" s="271">
        <f t="shared" si="15"/>
        <v>0</v>
      </c>
    </row>
    <row r="95" spans="1:10" x14ac:dyDescent="0.35">
      <c r="A95" s="156">
        <f t="shared" ref="A95" si="23">A96</f>
        <v>41426</v>
      </c>
      <c r="B95" s="156">
        <f t="shared" ref="B95" si="24">B96</f>
        <v>41455</v>
      </c>
      <c r="C95" s="471"/>
      <c r="D95" s="157" t="s">
        <v>101</v>
      </c>
      <c r="E95" s="274">
        <f>'CAP POST'!G94</f>
        <v>0</v>
      </c>
      <c r="F95" s="271">
        <f t="shared" si="14"/>
        <v>0</v>
      </c>
      <c r="G95" s="275">
        <v>3.981000321E-2</v>
      </c>
      <c r="H95" s="276"/>
      <c r="I95" s="273">
        <f>IF(OR(A95=SABANA!$C$14, D95="adicional"),0,_xlfn.DAYS(B95,A95)+1)</f>
        <v>0</v>
      </c>
      <c r="J95" s="271">
        <f t="shared" si="15"/>
        <v>0</v>
      </c>
    </row>
    <row r="96" spans="1:10" x14ac:dyDescent="0.35">
      <c r="A96" s="152">
        <f>IF(
    AND(
        YEAR(B94)=YEAR(DATE(YEAR($D$1), MONTH($D$1)-1, 1)),
        MONTH(B94)=MONTH(DATE(YEAR($D$1), MONTH($D$1)-1, 1))
    ),
    $D$1,
    IF(
        $D$4="",
        DATE(YEAR(B94), MONTH(B94)+1, 1),
        IF(
            AND(
                YEAR(B94)=YEAR(DATE(YEAR($D$4), MONTH($D$4)-1, 1)),
                MONTH(B94)=MONTH(DATE(YEAR($D$4), MONTH($D$4)-1, 1))
            ),
            $D$4,
            DATE(YEAR(B94), MONTH(B94)+1, 1)
        )
    )
)</f>
        <v>41426</v>
      </c>
      <c r="B96" s="152">
        <f>IF(
AND(
YEAR(B94)=YEAR(DATE(YEAR($D$2),MONTH($D$2)-1,1)),
MONTH(B94)=MONTH(DATE(YEAR($D$2),MONTH($D$2)-1,1))
),
$D$2,
IF(
$D$3="",
EOMONTH(B94,1),
IF(
AND(
YEAR(B94)=YEAR(DATE(YEAR($D$3),MONTH($D$3)-1,1)),
MONTH(B94)=MONTH(DATE(YEAR($D$3),MONTH($D$3)-1,1))
),
$D$3,
EOMONTH(B94,1)
)))</f>
        <v>41455</v>
      </c>
      <c r="C96" s="471"/>
      <c r="D96" s="149" t="s">
        <v>102</v>
      </c>
      <c r="E96" s="271">
        <f>'CAP POST'!G95</f>
        <v>0</v>
      </c>
      <c r="F96" s="271">
        <f t="shared" si="14"/>
        <v>0</v>
      </c>
      <c r="G96" s="215">
        <v>3.9362660010000002E-2</v>
      </c>
      <c r="H96" s="272">
        <f>((1+G96)^(1/365)-1)</f>
        <v>1.0578011044382052E-4</v>
      </c>
      <c r="I96" s="273">
        <f>IF(OR(A96=SABANA!$C$14, D96="adicional"),0,_xlfn.DAYS(B96,A96)+1)</f>
        <v>30</v>
      </c>
      <c r="J96" s="271">
        <f t="shared" ref="J96" si="25">IF(AND(OR(A96&gt;=$D$4,B96&lt;=$D$3), AND(A95&gt;=$D$1,B95&lt;$D$2)),(F94*I96*H96),0)</f>
        <v>0</v>
      </c>
    </row>
    <row r="97" spans="1:10" x14ac:dyDescent="0.35">
      <c r="A97" s="152">
        <f>IF(
    AND(
        YEAR(B96)=YEAR(DATE(YEAR($D$1), MONTH($D$1)-1, 1)),
        MONTH(B96)=MONTH(DATE(YEAR($D$1), MONTH($D$1)-1, 1))
    ),
    $D$1,
    IF(
        $D$4="",
        DATE(YEAR(B96), MONTH(B96)+1, 1),
        IF(
            AND(
                YEAR(B96)=YEAR(DATE(YEAR($D$4), MONTH($D$4)-1, 1)),
                MONTH(B96)=MONTH(DATE(YEAR($D$4), MONTH($D$4)-1, 1))
            ),
            $D$4,
            DATE(YEAR(B96), MONTH(B96)+1, 1)
        )
    )
)</f>
        <v>41456</v>
      </c>
      <c r="B97" s="152">
        <f>IF(
AND(
YEAR(B96)=YEAR(DATE(YEAR($D$2),MONTH($D$2)-1,1)),
MONTH(B96)=MONTH(DATE(YEAR($D$2),MONTH($D$2)-1,1))
),
$D$2,
IF(
$D$3="",
EOMONTH(B96,1),
IF(
AND(
YEAR(B96)=YEAR(DATE(YEAR($D$3),MONTH($D$3)-1,1)),
MONTH(B96)=MONTH(DATE(YEAR($D$3),MONTH($D$3)-1,1))
),
$D$3,
EOMONTH(B96,1)
)))</f>
        <v>41486</v>
      </c>
      <c r="C97" s="471"/>
      <c r="D97" s="149" t="s">
        <v>103</v>
      </c>
      <c r="E97" s="271">
        <f>'CAP POST'!G96</f>
        <v>0</v>
      </c>
      <c r="F97" s="271">
        <f t="shared" si="14"/>
        <v>0</v>
      </c>
      <c r="G97" s="215">
        <v>3.981000321E-2</v>
      </c>
      <c r="H97" s="272">
        <f>((1+G97)^(1/365)-1)</f>
        <v>1.0695916422331919E-4</v>
      </c>
      <c r="I97" s="273">
        <f>IF(OR(A97=SABANA!$C$14, D97="adicional"),0,_xlfn.DAYS(B97,A97)+1)</f>
        <v>31</v>
      </c>
      <c r="J97" s="271">
        <f t="shared" si="15"/>
        <v>0</v>
      </c>
    </row>
    <row r="98" spans="1:10" x14ac:dyDescent="0.35">
      <c r="A98" s="152">
        <f>IF(
    AND(
        YEAR(B97)=YEAR(DATE(YEAR($D$1), MONTH($D$1)-1, 1)),
        MONTH(B97)=MONTH(DATE(YEAR($D$1), MONTH($D$1)-1, 1))
    ),
    $D$1,
    IF(
        $D$4="",
        DATE(YEAR(B97), MONTH(B97)+1, 1),
        IF(
            AND(
                YEAR(B97)=YEAR(DATE(YEAR($D$4), MONTH($D$4)-1, 1)),
                MONTH(B97)=MONTH(DATE(YEAR($D$4), MONTH($D$4)-1, 1))
            ),
            $D$4,
            DATE(YEAR(B97), MONTH(B97)+1, 1)
        )
    )
)</f>
        <v>41487</v>
      </c>
      <c r="B98" s="152">
        <f>IF(
AND(
YEAR(B97)=YEAR(DATE(YEAR($D$2),MONTH($D$2)-1,1)),
MONTH(B97)=MONTH(DATE(YEAR($D$2),MONTH($D$2)-1,1))
),
$D$2,
IF(
$D$3="",
EOMONTH(B97,1),
IF(
AND(
YEAR(B97)=YEAR(DATE(YEAR($D$3),MONTH($D$3)-1,1)),
MONTH(B97)=MONTH(DATE(YEAR($D$3),MONTH($D$3)-1,1))
),
$D$3,
EOMONTH(B97,1)
)))</f>
        <v>41517</v>
      </c>
      <c r="C98" s="471"/>
      <c r="D98" s="149" t="s">
        <v>104</v>
      </c>
      <c r="E98" s="271">
        <f>'CAP POST'!G97</f>
        <v>0</v>
      </c>
      <c r="F98" s="271">
        <f t="shared" si="14"/>
        <v>0</v>
      </c>
      <c r="G98" s="215">
        <v>4.073915904E-2</v>
      </c>
      <c r="H98" s="272">
        <f t="shared" si="20"/>
        <v>1.0940650651170003E-4</v>
      </c>
      <c r="I98" s="273">
        <f>IF(OR(A98=SABANA!$C$14, D98="adicional"),0,_xlfn.DAYS(B98,A98)+1)</f>
        <v>31</v>
      </c>
      <c r="J98" s="271">
        <f t="shared" si="15"/>
        <v>0</v>
      </c>
    </row>
    <row r="99" spans="1:10" x14ac:dyDescent="0.35">
      <c r="A99" s="152">
        <f>IF(
    AND(
        YEAR(B98)=YEAR(DATE(YEAR($D$1), MONTH($D$1)-1, 1)),
        MONTH(B98)=MONTH(DATE(YEAR($D$1), MONTH($D$1)-1, 1))
    ),
    $D$1,
    IF(
        $D$4="",
        DATE(YEAR(B98), MONTH(B98)+1, 1),
        IF(
            AND(
                YEAR(B98)=YEAR(DATE(YEAR($D$4), MONTH($D$4)-1, 1)),
                MONTH(B98)=MONTH(DATE(YEAR($D$4), MONTH($D$4)-1, 1))
            ),
            $D$4,
            DATE(YEAR(B98), MONTH(B98)+1, 1)
        )
    )
)</f>
        <v>41518</v>
      </c>
      <c r="B99" s="152">
        <f>IF(
AND(
YEAR(B98)=YEAR(DATE(YEAR($D$2),MONTH($D$2)-1,1)),
MONTH(B98)=MONTH(DATE(YEAR($D$2),MONTH($D$2)-1,1))
),
$D$2,
IF(
$D$3="",
EOMONTH(B98,1),
IF(
AND(
YEAR(B98)=YEAR(DATE(YEAR($D$3),MONTH($D$3)-1,1)),
MONTH(B98)=MONTH(DATE(YEAR($D$3),MONTH($D$3)-1,1))
),
$D$3,
EOMONTH(B98,1)
)))</f>
        <v>41547</v>
      </c>
      <c r="C99" s="471"/>
      <c r="D99" s="149" t="s">
        <v>105</v>
      </c>
      <c r="E99" s="271">
        <f>'CAP POST'!G98</f>
        <v>0</v>
      </c>
      <c r="F99" s="271">
        <f t="shared" si="14"/>
        <v>0</v>
      </c>
      <c r="G99" s="215">
        <v>4.0721680400000002E-2</v>
      </c>
      <c r="H99" s="272">
        <f t="shared" si="20"/>
        <v>1.0936048890530792E-4</v>
      </c>
      <c r="I99" s="273">
        <f>IF(OR(A99=SABANA!$C$14, D99="adicional"),0,_xlfn.DAYS(B99,A99)+1)</f>
        <v>30</v>
      </c>
      <c r="J99" s="271">
        <f t="shared" si="15"/>
        <v>0</v>
      </c>
    </row>
    <row r="100" spans="1:10" x14ac:dyDescent="0.35">
      <c r="A100" s="152">
        <f>IF(
    AND(
        YEAR(B99)=YEAR(DATE(YEAR($D$1), MONTH($D$1)-1, 1)),
        MONTH(B99)=MONTH(DATE(YEAR($D$1), MONTH($D$1)-1, 1))
    ),
    $D$1,
    IF(
        $D$4="",
        DATE(YEAR(B99), MONTH(B99)+1, 1),
        IF(
            AND(
                YEAR(B99)=YEAR(DATE(YEAR($D$4), MONTH($D$4)-1, 1)),
                MONTH(B99)=MONTH(DATE(YEAR($D$4), MONTH($D$4)-1, 1))
            ),
            $D$4,
            DATE(YEAR(B99), MONTH(B99)+1, 1)
        )
    )
)</f>
        <v>41548</v>
      </c>
      <c r="B100" s="152">
        <f>IF(
AND(
YEAR(B99)=YEAR(DATE(YEAR($D$2),MONTH($D$2)-1,1)),
MONTH(B99)=MONTH(DATE(YEAR($D$2),MONTH($D$2)-1,1))
),
$D$2,
IF(
$D$3="",
EOMONTH(B99,1),
IF(
AND(
YEAR(B99)=YEAR(DATE(YEAR($D$3),MONTH($D$3)-1,1)),
MONTH(B99)=MONTH(DATE(YEAR($D$3),MONTH($D$3)-1,1))
),
$D$3,
EOMONTH(B99,1)
)))</f>
        <v>41578</v>
      </c>
      <c r="C100" s="471"/>
      <c r="D100" s="149" t="s">
        <v>106</v>
      </c>
      <c r="E100" s="271">
        <f>'CAP POST'!G99</f>
        <v>0</v>
      </c>
      <c r="F100" s="271">
        <f t="shared" si="14"/>
        <v>0</v>
      </c>
      <c r="G100" s="215">
        <v>4.0176146029999998E-2</v>
      </c>
      <c r="H100" s="272">
        <f t="shared" si="20"/>
        <v>1.0792382334123829E-4</v>
      </c>
      <c r="I100" s="273">
        <f>IF(OR(A100=SABANA!$C$14, D100="adicional"),0,_xlfn.DAYS(B100,A100)+1)</f>
        <v>31</v>
      </c>
      <c r="J100" s="271">
        <f t="shared" si="15"/>
        <v>0</v>
      </c>
    </row>
    <row r="101" spans="1:10" x14ac:dyDescent="0.35">
      <c r="A101" s="152">
        <f>IF(
    AND(
        YEAR(B100)=YEAR(DATE(YEAR($D$1), MONTH($D$1)-1, 1)),
        MONTH(B100)=MONTH(DATE(YEAR($D$1), MONTH($D$1)-1, 1))
    ),
    $D$1,
    IF(
        $D$4="",
        DATE(YEAR(B100), MONTH(B100)+1, 1),
        IF(
            AND(
                YEAR(B100)=YEAR(DATE(YEAR($D$4), MONTH($D$4)-1, 1)),
                MONTH(B100)=MONTH(DATE(YEAR($D$4), MONTH($D$4)-1, 1))
            ),
            $D$4,
            DATE(YEAR(B100), MONTH(B100)+1, 1)
        )
    )
)</f>
        <v>41579</v>
      </c>
      <c r="B101" s="152">
        <f>IF(
AND(
YEAR(B100)=YEAR(DATE(YEAR($D$2),MONTH($D$2)-1,1)),
MONTH(B100)=MONTH(DATE(YEAR($D$2),MONTH($D$2)-1,1))
),
$D$2,
IF(
$D$3="",
EOMONTH(B100,1),
IF(
AND(
YEAR(B100)=YEAR(DATE(YEAR($D$3),MONTH($D$3)-1,1)),
MONTH(B100)=MONTH(DATE(YEAR($D$3),MONTH($D$3)-1,1))
),
$D$3,
EOMONTH(B100,1)
)))</f>
        <v>41608</v>
      </c>
      <c r="C101" s="471"/>
      <c r="D101" s="149" t="s">
        <v>107</v>
      </c>
      <c r="E101" s="271">
        <f>'CAP POST'!G100</f>
        <v>0</v>
      </c>
      <c r="F101" s="271">
        <f t="shared" si="14"/>
        <v>0</v>
      </c>
      <c r="G101" s="215">
        <v>4.0312695369999998E-2</v>
      </c>
      <c r="H101" s="272">
        <f t="shared" si="20"/>
        <v>1.0828349671831994E-4</v>
      </c>
      <c r="I101" s="273">
        <f>IF(OR(A101=SABANA!$C$14, D101="adicional"),0,_xlfn.DAYS(B101,A101)+1)</f>
        <v>30</v>
      </c>
      <c r="J101" s="271">
        <f t="shared" si="15"/>
        <v>0</v>
      </c>
    </row>
    <row r="102" spans="1:10" x14ac:dyDescent="0.35">
      <c r="A102" s="156">
        <f t="shared" ref="A102" si="26">A101</f>
        <v>41579</v>
      </c>
      <c r="B102" s="156">
        <f t="shared" ref="B102" si="27">B101</f>
        <v>41608</v>
      </c>
      <c r="C102" s="471"/>
      <c r="D102" s="157" t="s">
        <v>101</v>
      </c>
      <c r="E102" s="274">
        <f>'CAP POST'!G101</f>
        <v>0</v>
      </c>
      <c r="F102" s="271">
        <f t="shared" si="14"/>
        <v>0</v>
      </c>
      <c r="G102" s="275">
        <v>4.0568621890000003E-2</v>
      </c>
      <c r="H102" s="276"/>
      <c r="I102" s="273">
        <f>IF(OR(A102=SABANA!$C$14, D102="adicional"),0,_xlfn.DAYS(B102,A102)+1)</f>
        <v>0</v>
      </c>
      <c r="J102" s="271">
        <f t="shared" si="15"/>
        <v>0</v>
      </c>
    </row>
    <row r="103" spans="1:10" x14ac:dyDescent="0.35">
      <c r="A103" s="152">
        <f>IF(
    AND(
        YEAR(B101)=YEAR(DATE(YEAR($D$1), MONTH($D$1)-1, 1)),
        MONTH(B101)=MONTH(DATE(YEAR($D$1), MONTH($D$1)-1, 1))
    ),
    $D$1,
    IF(
        $D$4="",
        DATE(YEAR(B101), MONTH(B101)+1, 1),
        IF(
            AND(
                YEAR(B101)=YEAR(DATE(YEAR($D$4), MONTH($D$4)-1, 1)),
                MONTH(B101)=MONTH(DATE(YEAR($D$4), MONTH($D$4)-1, 1))
            ),
            $D$4,
            DATE(YEAR(B101), MONTH(B101)+1, 1)
        )
    )
)</f>
        <v>41609</v>
      </c>
      <c r="B103" s="152">
        <f>IF(
AND(
YEAR(B101)=YEAR(DATE(YEAR($D$2),MONTH($D$2)-1,1)),
MONTH(B101)=MONTH(DATE(YEAR($D$2),MONTH($D$2)-1,1))
),
$D$2,
IF(
$D$3="",
EOMONTH(B101,1),
IF(
AND(
YEAR(B101)=YEAR(DATE(YEAR($D$3),MONTH($D$3)-1,1)),
MONTH(B101)=MONTH(DATE(YEAR($D$3),MONTH($D$3)-1,1))
),
$D$3,
EOMONTH(B101,1)
)))</f>
        <v>41639</v>
      </c>
      <c r="C103" s="472"/>
      <c r="D103" s="149" t="s">
        <v>108</v>
      </c>
      <c r="E103" s="271">
        <f>'CAP POST'!G102</f>
        <v>0</v>
      </c>
      <c r="F103" s="271">
        <f t="shared" si="14"/>
        <v>0</v>
      </c>
      <c r="G103" s="215">
        <v>4.0568621890000003E-2</v>
      </c>
      <c r="H103" s="272">
        <f>((1+G103)^(1/365)-1)</f>
        <v>1.0895748490491464E-4</v>
      </c>
      <c r="I103" s="273">
        <f>IF(OR(A103=SABANA!$C$14, D103="adicional"),0,_xlfn.DAYS(B103,A103)+1)</f>
        <v>31</v>
      </c>
      <c r="J103" s="271">
        <f>IF(AND(OR(A103&gt;=$D$4,B103&lt;=$D$3), AND(A102&gt;=$D$1,B102&lt;$D$2)),(F101*I103*H103),0)</f>
        <v>0</v>
      </c>
    </row>
    <row r="104" spans="1:10" x14ac:dyDescent="0.35">
      <c r="A104" s="152">
        <f>IF(
    AND(
        YEAR(B103)=YEAR(DATE(YEAR($D$1), MONTH($D$1)-1, 1)),
        MONTH(B103)=MONTH(DATE(YEAR($D$1), MONTH($D$1)-1, 1))
    ),
    $D$1,
    IF(
        $D$4="",
        DATE(YEAR(B103), MONTH(B103)+1, 1),
        IF(
            AND(
                YEAR(B103)=YEAR(DATE(YEAR($D$4), MONTH($D$4)-1, 1)),
                MONTH(B103)=MONTH(DATE(YEAR($D$4), MONTH($D$4)-1, 1))
            ),
            $D$4,
            DATE(YEAR(B103), MONTH(B103)+1, 1)
        )
    )
)</f>
        <v>41640</v>
      </c>
      <c r="B104" s="152">
        <f>IF(
AND(
YEAR(B103)=YEAR(DATE(YEAR($D$2),MONTH($D$2)-1,1)),
MONTH(B103)=MONTH(DATE(YEAR($D$2),MONTH($D$2)-1,1))
),
$D$2,
IF(
$D$3="",
EOMONTH(B103,1),
IF(
AND(
YEAR(B103)=YEAR(DATE(YEAR($D$3),MONTH($D$3)-1,1)),
MONTH(B103)=MONTH(DATE(YEAR($D$3),MONTH($D$3)-1,1))
),
$D$3,
EOMONTH(B103,1)
)))</f>
        <v>41670</v>
      </c>
      <c r="C104" s="468">
        <v>2014</v>
      </c>
      <c r="D104" s="149" t="s">
        <v>96</v>
      </c>
      <c r="E104" s="271">
        <f>'CAP POST'!G103</f>
        <v>0</v>
      </c>
      <c r="F104" s="271">
        <f t="shared" si="14"/>
        <v>0</v>
      </c>
      <c r="G104" s="215">
        <v>4.0299359979999998E-2</v>
      </c>
      <c r="H104" s="272">
        <f t="shared" si="20"/>
        <v>1.0824837313960778E-4</v>
      </c>
      <c r="I104" s="273">
        <f>IF(OR(A104=SABANA!$C$14, D104="adicional"),0,_xlfn.DAYS(B104,A104)+1)</f>
        <v>31</v>
      </c>
      <c r="J104" s="271">
        <f t="shared" si="15"/>
        <v>0</v>
      </c>
    </row>
    <row r="105" spans="1:10" x14ac:dyDescent="0.35">
      <c r="A105" s="152">
        <f>IF(
    AND(
        YEAR(B104)=YEAR(DATE(YEAR($D$1), MONTH($D$1)-1, 1)),
        MONTH(B104)=MONTH(DATE(YEAR($D$1), MONTH($D$1)-1, 1))
    ),
    $D$1,
    IF(
        $D$4="",
        DATE(YEAR(B104), MONTH(B104)+1, 1),
        IF(
            AND(
                YEAR(B104)=YEAR(DATE(YEAR($D$4), MONTH($D$4)-1, 1)),
                MONTH(B104)=MONTH(DATE(YEAR($D$4), MONTH($D$4)-1, 1))
            ),
            $D$4,
            DATE(YEAR(B104), MONTH(B104)+1, 1)
        )
    )
)</f>
        <v>41671</v>
      </c>
      <c r="B105" s="152">
        <f>IF(
AND(
YEAR(B104)=YEAR(DATE(YEAR($D$2),MONTH($D$2)-1,1)),
MONTH(B104)=MONTH(DATE(YEAR($D$2),MONTH($D$2)-1,1))
),
$D$2,
IF(
$D$3="",
EOMONTH(B104,1),
IF(
AND(
YEAR(B104)=YEAR(DATE(YEAR($D$3),MONTH($D$3)-1,1)),
MONTH(B104)=MONTH(DATE(YEAR($D$3),MONTH($D$3)-1,1))
),
$D$3,
EOMONTH(B104,1)
)))</f>
        <v>41698</v>
      </c>
      <c r="C105" s="471"/>
      <c r="D105" s="149" t="s">
        <v>97</v>
      </c>
      <c r="E105" s="271">
        <f>'CAP POST'!G104</f>
        <v>0</v>
      </c>
      <c r="F105" s="271">
        <f t="shared" si="14"/>
        <v>0</v>
      </c>
      <c r="G105" s="215">
        <v>3.9674480659999997E-2</v>
      </c>
      <c r="H105" s="272">
        <f t="shared" si="20"/>
        <v>1.0660202349166426E-4</v>
      </c>
      <c r="I105" s="273">
        <f>IF(OR(A105=SABANA!$C$14, D105="adicional"),0,_xlfn.DAYS(B105,A105)+1)</f>
        <v>28</v>
      </c>
      <c r="J105" s="271">
        <f t="shared" si="15"/>
        <v>0</v>
      </c>
    </row>
    <row r="106" spans="1:10" x14ac:dyDescent="0.35">
      <c r="A106" s="152">
        <f>IF(
    AND(
        YEAR(B105)=YEAR(DATE(YEAR($D$1), MONTH($D$1)-1, 1)),
        MONTH(B105)=MONTH(DATE(YEAR($D$1), MONTH($D$1)-1, 1))
    ),
    $D$1,
    IF(
        $D$4="",
        DATE(YEAR(B105), MONTH(B105)+1, 1),
        IF(
            AND(
                YEAR(B105)=YEAR(DATE(YEAR($D$4), MONTH($D$4)-1, 1)),
                MONTH(B105)=MONTH(DATE(YEAR($D$4), MONTH($D$4)-1, 1))
            ),
            $D$4,
            DATE(YEAR(B105), MONTH(B105)+1, 1)
        )
    )
)</f>
        <v>41699</v>
      </c>
      <c r="B106" s="152">
        <f>IF(
AND(
YEAR(B105)=YEAR(DATE(YEAR($D$2),MONTH($D$2)-1,1)),
MONTH(B105)=MONTH(DATE(YEAR($D$2),MONTH($D$2)-1,1))
),
$D$2,
IF(
$D$3="",
EOMONTH(B105,1),
IF(
AND(
YEAR(B105)=YEAR(DATE(YEAR($D$3),MONTH($D$3)-1,1)),
MONTH(B105)=MONTH(DATE(YEAR($D$3),MONTH($D$3)-1,1))
),
$D$3,
EOMONTH(B105,1)
)))</f>
        <v>41729</v>
      </c>
      <c r="C106" s="471"/>
      <c r="D106" s="149" t="s">
        <v>98</v>
      </c>
      <c r="E106" s="271">
        <f>'CAP POST'!G105</f>
        <v>0</v>
      </c>
      <c r="F106" s="271">
        <f t="shared" si="14"/>
        <v>0</v>
      </c>
      <c r="G106" s="215">
        <v>3.8909091520000001E-2</v>
      </c>
      <c r="H106" s="272">
        <f t="shared" si="20"/>
        <v>1.0458413198621841E-4</v>
      </c>
      <c r="I106" s="273">
        <f>IF(OR(A106=SABANA!$C$14, D106="adicional"),0,_xlfn.DAYS(B106,A106)+1)</f>
        <v>31</v>
      </c>
      <c r="J106" s="271">
        <f t="shared" si="15"/>
        <v>0</v>
      </c>
    </row>
    <row r="107" spans="1:10" x14ac:dyDescent="0.35">
      <c r="A107" s="152">
        <f>IF(
    AND(
        YEAR(B106)=YEAR(DATE(YEAR($D$1), MONTH($D$1)-1, 1)),
        MONTH(B106)=MONTH(DATE(YEAR($D$1), MONTH($D$1)-1, 1))
    ),
    $D$1,
    IF(
        $D$4="",
        DATE(YEAR(B106), MONTH(B106)+1, 1),
        IF(
            AND(
                YEAR(B106)=YEAR(DATE(YEAR($D$4), MONTH($D$4)-1, 1)),
                MONTH(B106)=MONTH(DATE(YEAR($D$4), MONTH($D$4)-1, 1))
            ),
            $D$4,
            DATE(YEAR(B106), MONTH(B106)+1, 1)
        )
    )
)</f>
        <v>41730</v>
      </c>
      <c r="B107" s="152">
        <f>IF(
AND(
YEAR(B106)=YEAR(DATE(YEAR($D$2),MONTH($D$2)-1,1)),
MONTH(B106)=MONTH(DATE(YEAR($D$2),MONTH($D$2)-1,1))
),
$D$2,
IF(
$D$3="",
EOMONTH(B106,1),
IF(
AND(
YEAR(B106)=YEAR(DATE(YEAR($D$3),MONTH($D$3)-1,1)),
MONTH(B106)=MONTH(DATE(YEAR($D$3),MONTH($D$3)-1,1))
),
$D$3,
EOMONTH(B106,1)
)))</f>
        <v>41759</v>
      </c>
      <c r="C107" s="471"/>
      <c r="D107" s="149" t="s">
        <v>99</v>
      </c>
      <c r="E107" s="271">
        <f>'CAP POST'!G106</f>
        <v>0</v>
      </c>
      <c r="F107" s="271">
        <f t="shared" si="14"/>
        <v>0</v>
      </c>
      <c r="G107" s="215">
        <v>3.8134571899999997E-2</v>
      </c>
      <c r="H107" s="272">
        <f t="shared" si="20"/>
        <v>1.0254065889614417E-4</v>
      </c>
      <c r="I107" s="273">
        <f>IF(OR(A107=SABANA!$C$14, D107="adicional"),0,_xlfn.DAYS(B107,A107)+1)</f>
        <v>30</v>
      </c>
      <c r="J107" s="271">
        <f t="shared" si="15"/>
        <v>0</v>
      </c>
    </row>
    <row r="108" spans="1:10" x14ac:dyDescent="0.35">
      <c r="A108" s="152">
        <f>IF(
    AND(
        YEAR(B107)=YEAR(DATE(YEAR($D$1), MONTH($D$1)-1, 1)),
        MONTH(B107)=MONTH(DATE(YEAR($D$1), MONTH($D$1)-1, 1))
    ),
    $D$1,
    IF(
        $D$4="",
        DATE(YEAR(B107), MONTH(B107)+1, 1),
        IF(
            AND(
                YEAR(B107)=YEAR(DATE(YEAR($D$4), MONTH($D$4)-1, 1)),
                MONTH(B107)=MONTH(DATE(YEAR($D$4), MONTH($D$4)-1, 1))
            ),
            $D$4,
            DATE(YEAR(B107), MONTH(B107)+1, 1)
        )
    )
)</f>
        <v>41760</v>
      </c>
      <c r="B108" s="152">
        <f>IF(
AND(
YEAR(B107)=YEAR(DATE(YEAR($D$2),MONTH($D$2)-1,1)),
MONTH(B107)=MONTH(DATE(YEAR($D$2),MONTH($D$2)-1,1))
),
$D$2,
IF(
$D$3="",
EOMONTH(B107,1),
IF(
AND(
YEAR(B107)=YEAR(DATE(YEAR($D$3),MONTH($D$3)-1,1)),
MONTH(B107)=MONTH(DATE(YEAR($D$3),MONTH($D$3)-1,1))
),
$D$3,
EOMONTH(B107,1)
)))</f>
        <v>41790</v>
      </c>
      <c r="C108" s="471"/>
      <c r="D108" s="149" t="s">
        <v>100</v>
      </c>
      <c r="E108" s="271">
        <f>'CAP POST'!G107</f>
        <v>0</v>
      </c>
      <c r="F108" s="271">
        <f t="shared" si="14"/>
        <v>0</v>
      </c>
      <c r="G108" s="215">
        <v>3.7900000000000003E-2</v>
      </c>
      <c r="H108" s="272">
        <f t="shared" si="20"/>
        <v>1.01921470322619E-4</v>
      </c>
      <c r="I108" s="273">
        <f>IF(OR(A108=SABANA!$C$14, D108="adicional"),0,_xlfn.DAYS(B108,A108)+1)</f>
        <v>31</v>
      </c>
      <c r="J108" s="271">
        <f t="shared" si="15"/>
        <v>0</v>
      </c>
    </row>
    <row r="109" spans="1:10" x14ac:dyDescent="0.35">
      <c r="A109" s="156">
        <f t="shared" ref="A109" si="28">A110</f>
        <v>41791</v>
      </c>
      <c r="B109" s="156">
        <f t="shared" ref="B109" si="29">B110</f>
        <v>41820</v>
      </c>
      <c r="C109" s="471"/>
      <c r="D109" s="157" t="s">
        <v>101</v>
      </c>
      <c r="E109" s="274">
        <f>'CAP POST'!G108</f>
        <v>0</v>
      </c>
      <c r="F109" s="271">
        <f t="shared" si="14"/>
        <v>0</v>
      </c>
      <c r="G109" s="275">
        <v>4.063389865E-2</v>
      </c>
      <c r="H109" s="276"/>
      <c r="I109" s="273">
        <f>IF(OR(A109=SABANA!$C$14, D109="adicional"),0,_xlfn.DAYS(B109,A109)+1)</f>
        <v>0</v>
      </c>
      <c r="J109" s="271">
        <f t="shared" si="15"/>
        <v>0</v>
      </c>
    </row>
    <row r="110" spans="1:10" x14ac:dyDescent="0.35">
      <c r="A110" s="152">
        <f>IF(
    AND(
        YEAR(B108)=YEAR(DATE(YEAR($D$1), MONTH($D$1)-1, 1)),
        MONTH(B108)=MONTH(DATE(YEAR($D$1), MONTH($D$1)-1, 1))
    ),
    $D$1,
    IF(
        $D$4="",
        DATE(YEAR(B108), MONTH(B108)+1, 1),
        IF(
            AND(
                YEAR(B108)=YEAR(DATE(YEAR($D$4), MONTH($D$4)-1, 1)),
                MONTH(B108)=MONTH(DATE(YEAR($D$4), MONTH($D$4)-1, 1))
            ),
            $D$4,
            DATE(YEAR(B108), MONTH(B108)+1, 1)
        )
    )
)</f>
        <v>41791</v>
      </c>
      <c r="B110" s="152">
        <f>IF(
AND(
YEAR(B108)=YEAR(DATE(YEAR($D$2),MONTH($D$2)-1,1)),
MONTH(B108)=MONTH(DATE(YEAR($D$2),MONTH($D$2)-1,1))
),
$D$2,
IF(
$D$3="",
EOMONTH(B108,1),
IF(
AND(
YEAR(B108)=YEAR(DATE(YEAR($D$3),MONTH($D$3)-1,1)),
MONTH(B108)=MONTH(DATE(YEAR($D$3),MONTH($D$3)-1,1))
),
$D$3,
EOMONTH(B108,1)
)))</f>
        <v>41820</v>
      </c>
      <c r="C110" s="471"/>
      <c r="D110" s="149" t="s">
        <v>102</v>
      </c>
      <c r="E110" s="271">
        <f>'CAP POST'!G109</f>
        <v>0</v>
      </c>
      <c r="F110" s="271">
        <f t="shared" si="14"/>
        <v>0</v>
      </c>
      <c r="G110" s="215">
        <v>3.9360243840000003E-2</v>
      </c>
      <c r="H110" s="272">
        <f>((1+G110)^(1/365)-1)</f>
        <v>1.0577374081743862E-4</v>
      </c>
      <c r="I110" s="273">
        <f>IF(OR(A110=SABANA!$C$14, D110="adicional"),0,_xlfn.DAYS(B110,A110)+1)</f>
        <v>30</v>
      </c>
      <c r="J110" s="271">
        <f t="shared" ref="J110" si="30">IF(AND(OR(A110&gt;=$D$4,B110&lt;=$D$3), AND(A109&gt;=$D$1,B109&lt;$D$2)),(F108*I110*H110),0)</f>
        <v>0</v>
      </c>
    </row>
    <row r="111" spans="1:10" x14ac:dyDescent="0.35">
      <c r="A111" s="152">
        <f>IF(
    AND(
        YEAR(B110)=YEAR(DATE(YEAR($D$1), MONTH($D$1)-1, 1)),
        MONTH(B110)=MONTH(DATE(YEAR($D$1), MONTH($D$1)-1, 1))
    ),
    $D$1,
    IF(
        $D$4="",
        DATE(YEAR(B110), MONTH(B110)+1, 1),
        IF(
            AND(
                YEAR(B110)=YEAR(DATE(YEAR($D$4), MONTH($D$4)-1, 1)),
                MONTH(B110)=MONTH(DATE(YEAR($D$4), MONTH($D$4)-1, 1))
            ),
            $D$4,
            DATE(YEAR(B110), MONTH(B110)+1, 1)
        )
    )
)</f>
        <v>41821</v>
      </c>
      <c r="B111" s="152">
        <f>IF(
AND(
YEAR(B110)=YEAR(DATE(YEAR($D$2),MONTH($D$2)-1,1)),
MONTH(B110)=MONTH(DATE(YEAR($D$2),MONTH($D$2)-1,1))
),
$D$2,
IF(
$D$3="",
EOMONTH(B110,1),
IF(
AND(
YEAR(B110)=YEAR(DATE(YEAR($D$3),MONTH($D$3)-1,1)),
MONTH(B110)=MONTH(DATE(YEAR($D$3),MONTH($D$3)-1,1))
),
$D$3,
EOMONTH(B110,1)
)))</f>
        <v>41851</v>
      </c>
      <c r="C111" s="471"/>
      <c r="D111" s="149" t="s">
        <v>103</v>
      </c>
      <c r="E111" s="271">
        <f>'CAP POST'!G110</f>
        <v>0</v>
      </c>
      <c r="F111" s="271">
        <f t="shared" si="14"/>
        <v>0</v>
      </c>
      <c r="G111" s="215">
        <v>4.063389865E-2</v>
      </c>
      <c r="H111" s="272">
        <f>((1+G111)^(1/365)-1)</f>
        <v>1.0912936624563052E-4</v>
      </c>
      <c r="I111" s="273">
        <f>IF(OR(A111=SABANA!$C$14, D111="adicional"),0,_xlfn.DAYS(B111,A111)+1)</f>
        <v>31</v>
      </c>
      <c r="J111" s="271">
        <f t="shared" si="15"/>
        <v>0</v>
      </c>
    </row>
    <row r="112" spans="1:10" x14ac:dyDescent="0.35">
      <c r="A112" s="152">
        <f>IF(
    AND(
        YEAR(B111)=YEAR(DATE(YEAR($D$1), MONTH($D$1)-1, 1)),
        MONTH(B111)=MONTH(DATE(YEAR($D$1), MONTH($D$1)-1, 1))
    ),
    $D$1,
    IF(
        $D$4="",
        DATE(YEAR(B111), MONTH(B111)+1, 1),
        IF(
            AND(
                YEAR(B111)=YEAR(DATE(YEAR($D$4), MONTH($D$4)-1, 1)),
                MONTH(B111)=MONTH(DATE(YEAR($D$4), MONTH($D$4)-1, 1))
            ),
            $D$4,
            DATE(YEAR(B111), MONTH(B111)+1, 1)
        )
    )
)</f>
        <v>41852</v>
      </c>
      <c r="B112" s="152">
        <f>IF(
AND(
YEAR(B111)=YEAR(DATE(YEAR($D$2),MONTH($D$2)-1,1)),
MONTH(B111)=MONTH(DATE(YEAR($D$2),MONTH($D$2)-1,1))
),
$D$2,
IF(
$D$3="",
EOMONTH(B111,1),
IF(
AND(
YEAR(B111)=YEAR(DATE(YEAR($D$3),MONTH($D$3)-1,1)),
MONTH(B111)=MONTH(DATE(YEAR($D$3),MONTH($D$3)-1,1))
),
$D$3,
EOMONTH(B111,1)
)))</f>
        <v>41882</v>
      </c>
      <c r="C112" s="471"/>
      <c r="D112" s="149" t="s">
        <v>104</v>
      </c>
      <c r="E112" s="271">
        <f>'CAP POST'!G111</f>
        <v>0</v>
      </c>
      <c r="F112" s="271">
        <f t="shared" si="14"/>
        <v>0</v>
      </c>
      <c r="G112" s="215">
        <v>4.0413451840000003E-2</v>
      </c>
      <c r="H112" s="272">
        <f t="shared" si="20"/>
        <v>1.0854886085720494E-4</v>
      </c>
      <c r="I112" s="273">
        <f>IF(OR(A112=SABANA!$C$14, D112="adicional"),0,_xlfn.DAYS(B112,A112)+1)</f>
        <v>31</v>
      </c>
      <c r="J112" s="271">
        <f t="shared" si="15"/>
        <v>0</v>
      </c>
    </row>
    <row r="113" spans="1:10" x14ac:dyDescent="0.35">
      <c r="A113" s="152">
        <f>IF(
    AND(
        YEAR(B112)=YEAR(DATE(YEAR($D$1), MONTH($D$1)-1, 1)),
        MONTH(B112)=MONTH(DATE(YEAR($D$1), MONTH($D$1)-1, 1))
    ),
    $D$1,
    IF(
        $D$4="",
        DATE(YEAR(B112), MONTH(B112)+1, 1),
        IF(
            AND(
                YEAR(B112)=YEAR(DATE(YEAR($D$4), MONTH($D$4)-1, 1)),
                MONTH(B112)=MONTH(DATE(YEAR($D$4), MONTH($D$4)-1, 1))
            ),
            $D$4,
            DATE(YEAR(B112), MONTH(B112)+1, 1)
        )
    )
)</f>
        <v>41883</v>
      </c>
      <c r="B113" s="152">
        <f>IF(
AND(
YEAR(B112)=YEAR(DATE(YEAR($D$2),MONTH($D$2)-1,1)),
MONTH(B112)=MONTH(DATE(YEAR($D$2),MONTH($D$2)-1,1))
),
$D$2,
IF(
$D$3="",
EOMONTH(B112,1),
IF(
AND(
YEAR(B112)=YEAR(DATE(YEAR($D$3),MONTH($D$3)-1,1)),
MONTH(B112)=MONTH(DATE(YEAR($D$3),MONTH($D$3)-1,1))
),
$D$3,
EOMONTH(B112,1)
)))</f>
        <v>41912</v>
      </c>
      <c r="C113" s="471"/>
      <c r="D113" s="149" t="s">
        <v>105</v>
      </c>
      <c r="E113" s="271">
        <f>'CAP POST'!G112</f>
        <v>0</v>
      </c>
      <c r="F113" s="271">
        <f t="shared" si="14"/>
        <v>0</v>
      </c>
      <c r="G113" s="215">
        <v>4.2620836789999998E-2</v>
      </c>
      <c r="H113" s="272">
        <f t="shared" si="20"/>
        <v>1.1435606846799118E-4</v>
      </c>
      <c r="I113" s="273">
        <f>IF(OR(A113=SABANA!$C$14, D113="adicional"),0,_xlfn.DAYS(B113,A113)+1)</f>
        <v>30</v>
      </c>
      <c r="J113" s="271">
        <f t="shared" si="15"/>
        <v>0</v>
      </c>
    </row>
    <row r="114" spans="1:10" x14ac:dyDescent="0.35">
      <c r="A114" s="152">
        <f>IF(
    AND(
        YEAR(B113)=YEAR(DATE(YEAR($D$1), MONTH($D$1)-1, 1)),
        MONTH(B113)=MONTH(DATE(YEAR($D$1), MONTH($D$1)-1, 1))
    ),
    $D$1,
    IF(
        $D$4="",
        DATE(YEAR(B113), MONTH(B113)+1, 1),
        IF(
            AND(
                YEAR(B113)=YEAR(DATE(YEAR($D$4), MONTH($D$4)-1, 1)),
                MONTH(B113)=MONTH(DATE(YEAR($D$4), MONTH($D$4)-1, 1))
            ),
            $D$4,
            DATE(YEAR(B113), MONTH(B113)+1, 1)
        )
    )
)</f>
        <v>41913</v>
      </c>
      <c r="B114" s="152">
        <f>IF(
AND(
YEAR(B113)=YEAR(DATE(YEAR($D$2),MONTH($D$2)-1,1)),
MONTH(B113)=MONTH(DATE(YEAR($D$2),MONTH($D$2)-1,1))
),
$D$2,
IF(
$D$3="",
EOMONTH(B113,1),
IF(
AND(
YEAR(B113)=YEAR(DATE(YEAR($D$3),MONTH($D$3)-1,1)),
MONTH(B113)=MONTH(DATE(YEAR($D$3),MONTH($D$3)-1,1))
),
$D$3,
EOMONTH(B113,1)
)))</f>
        <v>41943</v>
      </c>
      <c r="C114" s="471"/>
      <c r="D114" s="149" t="s">
        <v>106</v>
      </c>
      <c r="E114" s="271">
        <f>'CAP POST'!G113</f>
        <v>0</v>
      </c>
      <c r="F114" s="271">
        <f t="shared" si="14"/>
        <v>0</v>
      </c>
      <c r="G114" s="215">
        <v>4.3313051130000002E-2</v>
      </c>
      <c r="H114" s="272">
        <f t="shared" si="20"/>
        <v>1.1617462688229274E-4</v>
      </c>
      <c r="I114" s="273">
        <f>IF(OR(A114=SABANA!$C$14, D114="adicional"),0,_xlfn.DAYS(B114,A114)+1)</f>
        <v>31</v>
      </c>
      <c r="J114" s="271">
        <f t="shared" si="15"/>
        <v>0</v>
      </c>
    </row>
    <row r="115" spans="1:10" x14ac:dyDescent="0.35">
      <c r="A115" s="152">
        <f>IF(
    AND(
        YEAR(B114)=YEAR(DATE(YEAR($D$1), MONTH($D$1)-1, 1)),
        MONTH(B114)=MONTH(DATE(YEAR($D$1), MONTH($D$1)-1, 1))
    ),
    $D$1,
    IF(
        $D$4="",
        DATE(YEAR(B114), MONTH(B114)+1, 1),
        IF(
            AND(
                YEAR(B114)=YEAR(DATE(YEAR($D$4), MONTH($D$4)-1, 1)),
                MONTH(B114)=MONTH(DATE(YEAR($D$4), MONTH($D$4)-1, 1))
            ),
            $D$4,
            DATE(YEAR(B114), MONTH(B114)+1, 1)
        )
    )
)</f>
        <v>41944</v>
      </c>
      <c r="B115" s="152">
        <f>IF(
AND(
YEAR(B114)=YEAR(DATE(YEAR($D$2),MONTH($D$2)-1,1)),
MONTH(B114)=MONTH(DATE(YEAR($D$2),MONTH($D$2)-1,1))
),
$D$2,
IF(
$D$3="",
EOMONTH(B114,1),
IF(
AND(
YEAR(B114)=YEAR(DATE(YEAR($D$3),MONTH($D$3)-1,1)),
MONTH(B114)=MONTH(DATE(YEAR($D$3),MONTH($D$3)-1,1))
),
$D$3,
EOMONTH(B114,1)
)))</f>
        <v>41973</v>
      </c>
      <c r="C115" s="471"/>
      <c r="D115" s="149" t="s">
        <v>107</v>
      </c>
      <c r="E115" s="271">
        <f>'CAP POST'!G114</f>
        <v>0</v>
      </c>
      <c r="F115" s="271">
        <f t="shared" si="14"/>
        <v>0</v>
      </c>
      <c r="G115" s="215">
        <v>4.3617762050000002E-2</v>
      </c>
      <c r="H115" s="272">
        <f t="shared" si="20"/>
        <v>1.1697477009575685E-4</v>
      </c>
      <c r="I115" s="273">
        <f>IF(OR(A115=SABANA!$C$14, D115="adicional"),0,_xlfn.DAYS(B115,A115)+1)</f>
        <v>30</v>
      </c>
      <c r="J115" s="271">
        <f t="shared" si="15"/>
        <v>0</v>
      </c>
    </row>
    <row r="116" spans="1:10" x14ac:dyDescent="0.35">
      <c r="A116" s="156">
        <f t="shared" ref="A116" si="31">A115</f>
        <v>41944</v>
      </c>
      <c r="B116" s="156">
        <f t="shared" ref="B116" si="32">B115</f>
        <v>41973</v>
      </c>
      <c r="C116" s="471"/>
      <c r="D116" s="157" t="s">
        <v>101</v>
      </c>
      <c r="E116" s="274">
        <f>'CAP POST'!G115</f>
        <v>0</v>
      </c>
      <c r="F116" s="271">
        <f t="shared" si="14"/>
        <v>0</v>
      </c>
      <c r="G116" s="275">
        <v>4.3419838519999997E-2</v>
      </c>
      <c r="H116" s="276"/>
      <c r="I116" s="273">
        <f>IF(OR(A116=SABANA!$C$14, D116="adicional"),0,_xlfn.DAYS(B116,A116)+1)</f>
        <v>0</v>
      </c>
      <c r="J116" s="271">
        <f t="shared" si="15"/>
        <v>0</v>
      </c>
    </row>
    <row r="117" spans="1:10" x14ac:dyDescent="0.35">
      <c r="A117" s="152">
        <f>IF(
    AND(
        YEAR(B115)=YEAR(DATE(YEAR($D$1), MONTH($D$1)-1, 1)),
        MONTH(B115)=MONTH(DATE(YEAR($D$1), MONTH($D$1)-1, 1))
    ),
    $D$1,
    IF(
        $D$4="",
        DATE(YEAR(B115), MONTH(B115)+1, 1),
        IF(
            AND(
                YEAR(B115)=YEAR(DATE(YEAR($D$4), MONTH($D$4)-1, 1)),
                MONTH(B115)=MONTH(DATE(YEAR($D$4), MONTH($D$4)-1, 1))
            ),
            $D$4,
            DATE(YEAR(B115), MONTH(B115)+1, 1)
        )
    )
)</f>
        <v>41974</v>
      </c>
      <c r="B117" s="152">
        <f>IF(
AND(
YEAR(B115)=YEAR(DATE(YEAR($D$2),MONTH($D$2)-1,1)),
MONTH(B115)=MONTH(DATE(YEAR($D$2),MONTH($D$2)-1,1))
),
$D$2,
IF(
$D$3="",
EOMONTH(B115,1),
IF(
AND(
YEAR(B115)=YEAR(DATE(YEAR($D$3),MONTH($D$3)-1,1)),
MONTH(B115)=MONTH(DATE(YEAR($D$3),MONTH($D$3)-1,1))
),
$D$3,
EOMONTH(B115,1)
)))</f>
        <v>42004</v>
      </c>
      <c r="C117" s="472"/>
      <c r="D117" s="149" t="s">
        <v>108</v>
      </c>
      <c r="E117" s="271">
        <f>'CAP POST'!G116</f>
        <v>0</v>
      </c>
      <c r="F117" s="271">
        <f t="shared" si="14"/>
        <v>0</v>
      </c>
      <c r="G117" s="215">
        <v>4.3419838519999997E-2</v>
      </c>
      <c r="H117" s="272">
        <f>((1+G117)^(1/365)-1)</f>
        <v>1.1645506739621503E-4</v>
      </c>
      <c r="I117" s="273">
        <f>IF(OR(A117=SABANA!$C$14, D117="adicional"),0,_xlfn.DAYS(B117,A117)+1)</f>
        <v>31</v>
      </c>
      <c r="J117" s="271">
        <f t="shared" ref="J117" si="33">IF(AND(OR(A117&gt;=$D$4,B117&lt;=$D$3), AND(A116&gt;=$D$1,B116&lt;$D$2)),(F115*I117*H117),0)</f>
        <v>0</v>
      </c>
    </row>
    <row r="118" spans="1:10" x14ac:dyDescent="0.35">
      <c r="A118" s="152">
        <f>IF(
    AND(
        YEAR(B117)=YEAR(DATE(YEAR($D$1), MONTH($D$1)-1, 1)),
        MONTH(B117)=MONTH(DATE(YEAR($D$1), MONTH($D$1)-1, 1))
    ),
    $D$1,
    IF(
        $D$4="",
        DATE(YEAR(B117), MONTH(B117)+1, 1),
        IF(
            AND(
                YEAR(B117)=YEAR(DATE(YEAR($D$4), MONTH($D$4)-1, 1)),
                MONTH(B117)=MONTH(DATE(YEAR($D$4), MONTH($D$4)-1, 1))
            ),
            $D$4,
            DATE(YEAR(B117), MONTH(B117)+1, 1)
        )
    )
)</f>
        <v>42005</v>
      </c>
      <c r="B118" s="152">
        <f>IF(
AND(
YEAR(B117)=YEAR(DATE(YEAR($D$2),MONTH($D$2)-1,1)),
MONTH(B117)=MONTH(DATE(YEAR($D$2),MONTH($D$2)-1,1))
),
$D$2,
IF(
$D$3="",
EOMONTH(B117,1),
IF(
AND(
YEAR(B117)=YEAR(DATE(YEAR($D$3),MONTH($D$3)-1,1)),
MONTH(B117)=MONTH(DATE(YEAR($D$3),MONTH($D$3)-1,1))
),
$D$3,
EOMONTH(B117,1)
)))</f>
        <v>42035</v>
      </c>
      <c r="C118" s="468">
        <v>2015</v>
      </c>
      <c r="D118" s="149" t="s">
        <v>96</v>
      </c>
      <c r="E118" s="271">
        <f>'CAP POST'!G117</f>
        <v>0</v>
      </c>
      <c r="F118" s="271">
        <f t="shared" si="14"/>
        <v>0</v>
      </c>
      <c r="G118" s="215">
        <v>4.4680575069999999E-2</v>
      </c>
      <c r="H118" s="272">
        <f t="shared" si="20"/>
        <v>1.1976379823641636E-4</v>
      </c>
      <c r="I118" s="273">
        <f>IF(OR(A118=SABANA!$C$14, D118="adicional"),0,_xlfn.DAYS(B118,A118)+1)</f>
        <v>31</v>
      </c>
      <c r="J118" s="271">
        <f t="shared" si="15"/>
        <v>0</v>
      </c>
    </row>
    <row r="119" spans="1:10" x14ac:dyDescent="0.35">
      <c r="A119" s="152">
        <f>IF(
    AND(
        YEAR(B118)=YEAR(DATE(YEAR($D$1), MONTH($D$1)-1, 1)),
        MONTH(B118)=MONTH(DATE(YEAR($D$1), MONTH($D$1)-1, 1))
    ),
    $D$1,
    IF(
        $D$4="",
        DATE(YEAR(B118), MONTH(B118)+1, 1),
        IF(
            AND(
                YEAR(B118)=YEAR(DATE(YEAR($D$4), MONTH($D$4)-1, 1)),
                MONTH(B118)=MONTH(DATE(YEAR($D$4), MONTH($D$4)-1, 1))
            ),
            $D$4,
            DATE(YEAR(B118), MONTH(B118)+1, 1)
        )
    )
)</f>
        <v>42036</v>
      </c>
      <c r="B119" s="152">
        <f>IF(
AND(
YEAR(B118)=YEAR(DATE(YEAR($D$2),MONTH($D$2)-1,1)),
MONTH(B118)=MONTH(DATE(YEAR($D$2),MONTH($D$2)-1,1))
),
$D$2,
IF(
$D$3="",
EOMONTH(B118,1),
IF(
AND(
YEAR(B118)=YEAR(DATE(YEAR($D$3),MONTH($D$3)-1,1)),
MONTH(B118)=MONTH(DATE(YEAR($D$3),MONTH($D$3)-1,1))
),
$D$3,
EOMONTH(B118,1)
)))</f>
        <v>42063</v>
      </c>
      <c r="C119" s="471"/>
      <c r="D119" s="149" t="s">
        <v>97</v>
      </c>
      <c r="E119" s="271">
        <f>'CAP POST'!G118</f>
        <v>0</v>
      </c>
      <c r="F119" s="271">
        <f t="shared" si="14"/>
        <v>0</v>
      </c>
      <c r="G119" s="215">
        <v>4.4537488940000002E-2</v>
      </c>
      <c r="H119" s="272">
        <f t="shared" si="20"/>
        <v>1.1938847727055446E-4</v>
      </c>
      <c r="I119" s="273">
        <f>IF(OR(A119=SABANA!$C$14, D119="adicional"),0,_xlfn.DAYS(B119,A119)+1)</f>
        <v>28</v>
      </c>
      <c r="J119" s="271">
        <f t="shared" si="15"/>
        <v>0</v>
      </c>
    </row>
    <row r="120" spans="1:10" x14ac:dyDescent="0.35">
      <c r="A120" s="152">
        <f>IF(
    AND(
        YEAR(B119)=YEAR(DATE(YEAR($D$1), MONTH($D$1)-1, 1)),
        MONTH(B119)=MONTH(DATE(YEAR($D$1), MONTH($D$1)-1, 1))
    ),
    $D$1,
    IF(
        $D$4="",
        DATE(YEAR(B119), MONTH(B119)+1, 1),
        IF(
            AND(
                YEAR(B119)=YEAR(DATE(YEAR($D$4), MONTH($D$4)-1, 1)),
                MONTH(B119)=MONTH(DATE(YEAR($D$4), MONTH($D$4)-1, 1))
            ),
            $D$4,
            DATE(YEAR(B119), MONTH(B119)+1, 1)
        )
    )
)</f>
        <v>42064</v>
      </c>
      <c r="B120" s="152">
        <f>IF(
AND(
YEAR(B119)=YEAR(DATE(YEAR($D$2),MONTH($D$2)-1,1)),
MONTH(B119)=MONTH(DATE(YEAR($D$2),MONTH($D$2)-1,1))
),
$D$2,
IF(
$D$3="",
EOMONTH(B119,1),
IF(
AND(
YEAR(B119)=YEAR(DATE(YEAR($D$3),MONTH($D$3)-1,1)),
MONTH(B119)=MONTH(DATE(YEAR($D$3),MONTH($D$3)-1,1))
),
$D$3,
EOMONTH(B119,1)
)))</f>
        <v>42094</v>
      </c>
      <c r="C120" s="471"/>
      <c r="D120" s="149" t="s">
        <v>98</v>
      </c>
      <c r="E120" s="271">
        <f>'CAP POST'!G119</f>
        <v>0</v>
      </c>
      <c r="F120" s="271">
        <f t="shared" si="14"/>
        <v>0</v>
      </c>
      <c r="G120" s="215">
        <v>4.4128196340000002E-2</v>
      </c>
      <c r="H120" s="272">
        <f t="shared" si="20"/>
        <v>1.1831460232203383E-4</v>
      </c>
      <c r="I120" s="273">
        <f>IF(OR(A120=SABANA!$C$14, D120="adicional"),0,_xlfn.DAYS(B120,A120)+1)</f>
        <v>31</v>
      </c>
      <c r="J120" s="271">
        <f t="shared" si="15"/>
        <v>0</v>
      </c>
    </row>
    <row r="121" spans="1:10" x14ac:dyDescent="0.35">
      <c r="A121" s="152">
        <f>IF(
    AND(
        YEAR(B120)=YEAR(DATE(YEAR($D$1), MONTH($D$1)-1, 1)),
        MONTH(B120)=MONTH(DATE(YEAR($D$1), MONTH($D$1)-1, 1))
    ),
    $D$1,
    IF(
        $D$4="",
        DATE(YEAR(B120), MONTH(B120)+1, 1),
        IF(
            AND(
                YEAR(B120)=YEAR(DATE(YEAR($D$4), MONTH($D$4)-1, 1)),
                MONTH(B120)=MONTH(DATE(YEAR($D$4), MONTH($D$4)-1, 1))
            ),
            $D$4,
            DATE(YEAR(B120), MONTH(B120)+1, 1)
        )
    )
)</f>
        <v>42095</v>
      </c>
      <c r="B121" s="152">
        <f>IF(
AND(
YEAR(B120)=YEAR(DATE(YEAR($D$2),MONTH($D$2)-1,1)),
MONTH(B120)=MONTH(DATE(YEAR($D$2),MONTH($D$2)-1,1))
),
$D$2,
IF(
$D$3="",
EOMONTH(B120,1),
IF(
AND(
YEAR(B120)=YEAR(DATE(YEAR($D$3),MONTH($D$3)-1,1)),
MONTH(B120)=MONTH(DATE(YEAR($D$3),MONTH($D$3)-1,1))
),
$D$3,
EOMONTH(B120,1)
)))</f>
        <v>42124</v>
      </c>
      <c r="C121" s="471"/>
      <c r="D121" s="149" t="s">
        <v>99</v>
      </c>
      <c r="E121" s="271">
        <f>'CAP POST'!G120</f>
        <v>0</v>
      </c>
      <c r="F121" s="271">
        <f t="shared" si="14"/>
        <v>0</v>
      </c>
      <c r="G121" s="215">
        <v>4.5092136130000002E-2</v>
      </c>
      <c r="H121" s="272">
        <f t="shared" si="20"/>
        <v>1.208430545656114E-4</v>
      </c>
      <c r="I121" s="273">
        <f>IF(OR(A121=SABANA!$C$14, D121="adicional"),0,_xlfn.DAYS(B121,A121)+1)</f>
        <v>30</v>
      </c>
      <c r="J121" s="271">
        <f t="shared" si="15"/>
        <v>0</v>
      </c>
    </row>
    <row r="122" spans="1:10" x14ac:dyDescent="0.35">
      <c r="A122" s="152">
        <f>IF(
    AND(
        YEAR(B121)=YEAR(DATE(YEAR($D$1), MONTH($D$1)-1, 1)),
        MONTH(B121)=MONTH(DATE(YEAR($D$1), MONTH($D$1)-1, 1))
    ),
    $D$1,
    IF(
        $D$4="",
        DATE(YEAR(B121), MONTH(B121)+1, 1),
        IF(
            AND(
                YEAR(B121)=YEAR(DATE(YEAR($D$4), MONTH($D$4)-1, 1)),
                MONTH(B121)=MONTH(DATE(YEAR($D$4), MONTH($D$4)-1, 1))
            ),
            $D$4,
            DATE(YEAR(B121), MONTH(B121)+1, 1)
        )
    )
)</f>
        <v>42125</v>
      </c>
      <c r="B122" s="152">
        <f>IF(
AND(
YEAR(B121)=YEAR(DATE(YEAR($D$2),MONTH($D$2)-1,1)),
MONTH(B121)=MONTH(DATE(YEAR($D$2),MONTH($D$2)-1,1))
),
$D$2,
IF(
$D$3="",
EOMONTH(B121,1),
IF(
AND(
YEAR(B121)=YEAR(DATE(YEAR($D$3),MONTH($D$3)-1,1)),
MONTH(B121)=MONTH(DATE(YEAR($D$3),MONTH($D$3)-1,1))
),
$D$3,
EOMONTH(B121,1)
)))</f>
        <v>42155</v>
      </c>
      <c r="C122" s="471"/>
      <c r="D122" s="149" t="s">
        <v>100</v>
      </c>
      <c r="E122" s="271">
        <f>'CAP POST'!G121</f>
        <v>0</v>
      </c>
      <c r="F122" s="271">
        <f t="shared" si="14"/>
        <v>0</v>
      </c>
      <c r="G122" s="215">
        <v>4.4157137550000003E-2</v>
      </c>
      <c r="H122" s="272">
        <f t="shared" si="20"/>
        <v>1.1839055015294697E-4</v>
      </c>
      <c r="I122" s="273">
        <f>IF(OR(A122=SABANA!$C$14, D122="adicional"),0,_xlfn.DAYS(B122,A122)+1)</f>
        <v>31</v>
      </c>
      <c r="J122" s="271">
        <f t="shared" si="15"/>
        <v>0</v>
      </c>
    </row>
    <row r="123" spans="1:10" x14ac:dyDescent="0.35">
      <c r="A123" s="156">
        <f t="shared" ref="A123" si="34">A124</f>
        <v>42156</v>
      </c>
      <c r="B123" s="156">
        <f t="shared" ref="B123" si="35">B124</f>
        <v>42185</v>
      </c>
      <c r="C123" s="471"/>
      <c r="D123" s="157" t="s">
        <v>101</v>
      </c>
      <c r="E123" s="274">
        <f>'CAP POST'!G122</f>
        <v>0</v>
      </c>
      <c r="F123" s="271">
        <f t="shared" si="14"/>
        <v>0</v>
      </c>
      <c r="G123" s="275">
        <v>4.5199128909999997E-2</v>
      </c>
      <c r="H123" s="276"/>
      <c r="I123" s="273">
        <f>IF(OR(A123=SABANA!$C$14, D123="adicional"),0,_xlfn.DAYS(B123,A123)+1)</f>
        <v>0</v>
      </c>
      <c r="J123" s="271">
        <f t="shared" si="15"/>
        <v>0</v>
      </c>
    </row>
    <row r="124" spans="1:10" x14ac:dyDescent="0.35">
      <c r="A124" s="152">
        <f>IF(
    AND(
        YEAR(B122)=YEAR(DATE(YEAR($D$1), MONTH($D$1)-1, 1)),
        MONTH(B122)=MONTH(DATE(YEAR($D$1), MONTH($D$1)-1, 1))
    ),
    $D$1,
    IF(
        $D$4="",
        DATE(YEAR(B122), MONTH(B122)+1, 1),
        IF(
            AND(
                YEAR(B122)=YEAR(DATE(YEAR($D$4), MONTH($D$4)-1, 1)),
                MONTH(B122)=MONTH(DATE(YEAR($D$4), MONTH($D$4)-1, 1))
            ),
            $D$4,
            DATE(YEAR(B122), MONTH(B122)+1, 1)
        )
    )
)</f>
        <v>42156</v>
      </c>
      <c r="B124" s="152">
        <f>IF(
AND(
YEAR(B122)=YEAR(DATE(YEAR($D$2),MONTH($D$2)-1,1)),
MONTH(B122)=MONTH(DATE(YEAR($D$2),MONTH($D$2)-1,1))
),
$D$2,
IF(
$D$3="",
EOMONTH(B122,1),
IF(
AND(
YEAR(B122)=YEAR(DATE(YEAR($D$3),MONTH($D$3)-1,1)),
MONTH(B122)=MONTH(DATE(YEAR($D$3),MONTH($D$3)-1,1))
),
$D$3,
EOMONTH(B122,1)
)))</f>
        <v>42185</v>
      </c>
      <c r="C124" s="471"/>
      <c r="D124" s="149" t="s">
        <v>102</v>
      </c>
      <c r="E124" s="271">
        <f>'CAP POST'!G123</f>
        <v>0</v>
      </c>
      <c r="F124" s="271">
        <f t="shared" si="14"/>
        <v>0</v>
      </c>
      <c r="G124" s="215">
        <v>4.4006516539999999E-2</v>
      </c>
      <c r="H124" s="272">
        <f>((1+G124)^(1/365)-1)</f>
        <v>1.1799526592803922E-4</v>
      </c>
      <c r="I124" s="273">
        <f>IF(OR(A124=SABANA!$C$14, D124="adicional"),0,_xlfn.DAYS(B124,A124)+1)</f>
        <v>30</v>
      </c>
      <c r="J124" s="271">
        <f t="shared" ref="J124" si="36">IF(AND(OR(A124&gt;=$D$4,B124&lt;=$D$3), AND(A123&gt;=$D$1,B123&lt;$D$2)),(F122*I124*H124),0)</f>
        <v>0</v>
      </c>
    </row>
    <row r="125" spans="1:10" x14ac:dyDescent="0.35">
      <c r="A125" s="152">
        <f>IF(
    AND(
        YEAR(B124)=YEAR(DATE(YEAR($D$1), MONTH($D$1)-1, 1)),
        MONTH(B124)=MONTH(DATE(YEAR($D$1), MONTH($D$1)-1, 1))
    ),
    $D$1,
    IF(
        $D$4="",
        DATE(YEAR(B124), MONTH(B124)+1, 1),
        IF(
            AND(
                YEAR(B124)=YEAR(DATE(YEAR($D$4), MONTH($D$4)-1, 1)),
                MONTH(B124)=MONTH(DATE(YEAR($D$4), MONTH($D$4)-1, 1))
            ),
            $D$4,
            DATE(YEAR(B124), MONTH(B124)+1, 1)
        )
    )
)</f>
        <v>42186</v>
      </c>
      <c r="B125" s="152">
        <f>IF(
AND(
YEAR(B124)=YEAR(DATE(YEAR($D$2),MONTH($D$2)-1,1)),
MONTH(B124)=MONTH(DATE(YEAR($D$2),MONTH($D$2)-1,1))
),
$D$2,
IF(
$D$3="",
EOMONTH(B124,1),
IF(
AND(
YEAR(B124)=YEAR(DATE(YEAR($D$3),MONTH($D$3)-1,1)),
MONTH(B124)=MONTH(DATE(YEAR($D$3),MONTH($D$3)-1,1))
),
$D$3,
EOMONTH(B124,1)
)))</f>
        <v>42216</v>
      </c>
      <c r="C125" s="471"/>
      <c r="D125" s="149" t="s">
        <v>103</v>
      </c>
      <c r="E125" s="271">
        <f>'CAP POST'!G124</f>
        <v>0</v>
      </c>
      <c r="F125" s="271">
        <f t="shared" si="14"/>
        <v>0</v>
      </c>
      <c r="G125" s="215">
        <v>4.5199128909999997E-2</v>
      </c>
      <c r="H125" s="272">
        <f>((1+G125)^(1/365)-1)</f>
        <v>1.2112355745363956E-4</v>
      </c>
      <c r="I125" s="273">
        <f>IF(OR(A125=SABANA!$C$14, D125="adicional"),0,_xlfn.DAYS(B125,A125)+1)</f>
        <v>31</v>
      </c>
      <c r="J125" s="271">
        <f t="shared" si="15"/>
        <v>0</v>
      </c>
    </row>
    <row r="126" spans="1:10" x14ac:dyDescent="0.35">
      <c r="A126" s="152">
        <f>IF(
    AND(
        YEAR(B125)=YEAR(DATE(YEAR($D$1), MONTH($D$1)-1, 1)),
        MONTH(B125)=MONTH(DATE(YEAR($D$1), MONTH($D$1)-1, 1))
    ),
    $D$1,
    IF(
        $D$4="",
        DATE(YEAR(B125), MONTH(B125)+1, 1),
        IF(
            AND(
                YEAR(B125)=YEAR(DATE(YEAR($D$4), MONTH($D$4)-1, 1)),
                MONTH(B125)=MONTH(DATE(YEAR($D$4), MONTH($D$4)-1, 1))
            ),
            $D$4,
            DATE(YEAR(B125), MONTH(B125)+1, 1)
        )
    )
)</f>
        <v>42217</v>
      </c>
      <c r="B126" s="152">
        <f>IF(
AND(
YEAR(B125)=YEAR(DATE(YEAR($D$2),MONTH($D$2)-1,1)),
MONTH(B125)=MONTH(DATE(YEAR($D$2),MONTH($D$2)-1,1))
),
$D$2,
IF(
$D$3="",
EOMONTH(B125,1),
IF(
AND(
YEAR(B125)=YEAR(DATE(YEAR($D$3),MONTH($D$3)-1,1)),
MONTH(B125)=MONTH(DATE(YEAR($D$3),MONTH($D$3)-1,1))
),
$D$3,
EOMONTH(B125,1)
)))</f>
        <v>42247</v>
      </c>
      <c r="C126" s="471"/>
      <c r="D126" s="149" t="s">
        <v>104</v>
      </c>
      <c r="E126" s="271">
        <f>'CAP POST'!G125</f>
        <v>0</v>
      </c>
      <c r="F126" s="271">
        <f t="shared" si="14"/>
        <v>0</v>
      </c>
      <c r="G126" s="215">
        <v>4.4740179499999998E-2</v>
      </c>
      <c r="H126" s="272">
        <f t="shared" si="20"/>
        <v>1.1992012804995511E-4</v>
      </c>
      <c r="I126" s="273">
        <f>IF(OR(A126=SABANA!$C$14, D126="adicional"),0,_xlfn.DAYS(B126,A126)+1)</f>
        <v>31</v>
      </c>
      <c r="J126" s="271">
        <f t="shared" si="15"/>
        <v>0</v>
      </c>
    </row>
    <row r="127" spans="1:10" x14ac:dyDescent="0.35">
      <c r="A127" s="152">
        <f>IF(
    AND(
        YEAR(B126)=YEAR(DATE(YEAR($D$1), MONTH($D$1)-1, 1)),
        MONTH(B126)=MONTH(DATE(YEAR($D$1), MONTH($D$1)-1, 1))
    ),
    $D$1,
    IF(
        $D$4="",
        DATE(YEAR(B126), MONTH(B126)+1, 1),
        IF(
            AND(
                YEAR(B126)=YEAR(DATE(YEAR($D$4), MONTH($D$4)-1, 1)),
                MONTH(B126)=MONTH(DATE(YEAR($D$4), MONTH($D$4)-1, 1))
            ),
            $D$4,
            DATE(YEAR(B126), MONTH(B126)+1, 1)
        )
    )
)</f>
        <v>42248</v>
      </c>
      <c r="B127" s="152">
        <f>IF(
AND(
YEAR(B126)=YEAR(DATE(YEAR($D$2),MONTH($D$2)-1,1)),
MONTH(B126)=MONTH(DATE(YEAR($D$2),MONTH($D$2)-1,1))
),
$D$2,
IF(
$D$3="",
EOMONTH(B126,1),
IF(
AND(
YEAR(B126)=YEAR(DATE(YEAR($D$3),MONTH($D$3)-1,1)),
MONTH(B126)=MONTH(DATE(YEAR($D$3),MONTH($D$3)-1,1))
),
$D$3,
EOMONTH(B126,1)
)))</f>
        <v>42277</v>
      </c>
      <c r="C127" s="471"/>
      <c r="D127" s="149" t="s">
        <v>105</v>
      </c>
      <c r="E127" s="271">
        <f>'CAP POST'!G126</f>
        <v>0</v>
      </c>
      <c r="F127" s="271">
        <f t="shared" si="14"/>
        <v>0</v>
      </c>
      <c r="G127" s="215">
        <v>4.4119033119999998E-2</v>
      </c>
      <c r="H127" s="272">
        <f t="shared" si="20"/>
        <v>1.182905556651459E-4</v>
      </c>
      <c r="I127" s="273">
        <f>IF(OR(A127=SABANA!$C$14, D127="adicional"),0,_xlfn.DAYS(B127,A127)+1)</f>
        <v>30</v>
      </c>
      <c r="J127" s="271">
        <f t="shared" si="15"/>
        <v>0</v>
      </c>
    </row>
    <row r="128" spans="1:10" x14ac:dyDescent="0.35">
      <c r="A128" s="152">
        <f>IF(
    AND(
        YEAR(B127)=YEAR(DATE(YEAR($D$1), MONTH($D$1)-1, 1)),
        MONTH(B127)=MONTH(DATE(YEAR($D$1), MONTH($D$1)-1, 1))
    ),
    $D$1,
    IF(
        $D$4="",
        DATE(YEAR(B127), MONTH(B127)+1, 1),
        IF(
            AND(
                YEAR(B127)=YEAR(DATE(YEAR($D$4), MONTH($D$4)-1, 1)),
                MONTH(B127)=MONTH(DATE(YEAR($D$4), MONTH($D$4)-1, 1))
            ),
            $D$4,
            DATE(YEAR(B127), MONTH(B127)+1, 1)
        )
    )
)</f>
        <v>42278</v>
      </c>
      <c r="B128" s="152">
        <f>IF(
AND(
YEAR(B127)=YEAR(DATE(YEAR($D$2),MONTH($D$2)-1,1)),
MONTH(B127)=MONTH(DATE(YEAR($D$2),MONTH($D$2)-1,1))
),
$D$2,
IF(
$D$3="",
EOMONTH(B127,1),
IF(
AND(
YEAR(B127)=YEAR(DATE(YEAR($D$3),MONTH($D$3)-1,1)),
MONTH(B127)=MONTH(DATE(YEAR($D$3),MONTH($D$3)-1,1))
),
$D$3,
EOMONTH(B127,1)
)))</f>
        <v>42308</v>
      </c>
      <c r="C128" s="471"/>
      <c r="D128" s="149" t="s">
        <v>106</v>
      </c>
      <c r="E128" s="271">
        <f>'CAP POST'!G127</f>
        <v>0</v>
      </c>
      <c r="F128" s="271">
        <f t="shared" si="14"/>
        <v>0</v>
      </c>
      <c r="G128" s="215">
        <v>4.7204755789999997E-2</v>
      </c>
      <c r="H128" s="272">
        <f t="shared" si="20"/>
        <v>1.2637641506629826E-4</v>
      </c>
      <c r="I128" s="273">
        <f>IF(OR(A128=SABANA!$C$14, D128="adicional"),0,_xlfn.DAYS(B128,A128)+1)</f>
        <v>31</v>
      </c>
      <c r="J128" s="271">
        <f t="shared" si="15"/>
        <v>0</v>
      </c>
    </row>
    <row r="129" spans="1:10" x14ac:dyDescent="0.35">
      <c r="A129" s="152">
        <f>IF(
    AND(
        YEAR(B128)=YEAR(DATE(YEAR($D$1), MONTH($D$1)-1, 1)),
        MONTH(B128)=MONTH(DATE(YEAR($D$1), MONTH($D$1)-1, 1))
    ),
    $D$1,
    IF(
        $D$4="",
        DATE(YEAR(B128), MONTH(B128)+1, 1),
        IF(
            AND(
                YEAR(B128)=YEAR(DATE(YEAR($D$4), MONTH($D$4)-1, 1)),
                MONTH(B128)=MONTH(DATE(YEAR($D$4), MONTH($D$4)-1, 1))
            ),
            $D$4,
            DATE(YEAR(B128), MONTH(B128)+1, 1)
        )
    )
)</f>
        <v>42309</v>
      </c>
      <c r="B129" s="152">
        <f>IF(
AND(
YEAR(B128)=YEAR(DATE(YEAR($D$2),MONTH($D$2)-1,1)),
MONTH(B128)=MONTH(DATE(YEAR($D$2),MONTH($D$2)-1,1))
),
$D$2,
IF(
$D$3="",
EOMONTH(B128,1),
IF(
AND(
YEAR(B128)=YEAR(DATE(YEAR($D$3),MONTH($D$3)-1,1)),
MONTH(B128)=MONTH(DATE(YEAR($D$3),MONTH($D$3)-1,1))
),
$D$3,
EOMONTH(B128,1)
)))</f>
        <v>42338</v>
      </c>
      <c r="C129" s="471"/>
      <c r="D129" s="149" t="s">
        <v>107</v>
      </c>
      <c r="E129" s="271">
        <f>'CAP POST'!G128</f>
        <v>0</v>
      </c>
      <c r="F129" s="271">
        <f t="shared" si="14"/>
        <v>0</v>
      </c>
      <c r="G129" s="215">
        <v>4.9200735629999999E-2</v>
      </c>
      <c r="H129" s="272">
        <f t="shared" si="20"/>
        <v>1.3159405539453495E-4</v>
      </c>
      <c r="I129" s="273">
        <f>IF(OR(A129=SABANA!$C$14, D129="adicional"),0,_xlfn.DAYS(B129,A129)+1)</f>
        <v>30</v>
      </c>
      <c r="J129" s="271">
        <f t="shared" si="15"/>
        <v>0</v>
      </c>
    </row>
    <row r="130" spans="1:10" x14ac:dyDescent="0.35">
      <c r="A130" s="156">
        <f t="shared" ref="A130" si="37">A129</f>
        <v>42309</v>
      </c>
      <c r="B130" s="156">
        <f t="shared" ref="B130" si="38">B129</f>
        <v>42338</v>
      </c>
      <c r="C130" s="471"/>
      <c r="D130" s="157" t="s">
        <v>101</v>
      </c>
      <c r="E130" s="274">
        <f>'CAP POST'!G129</f>
        <v>0</v>
      </c>
      <c r="F130" s="271">
        <f t="shared" si="14"/>
        <v>0</v>
      </c>
      <c r="G130" s="275">
        <v>5.2442818340000003E-2</v>
      </c>
      <c r="H130" s="276"/>
      <c r="I130" s="273">
        <f>IF(OR(A130=SABANA!$C$14, D130="adicional"),0,_xlfn.DAYS(B130,A130)+1)</f>
        <v>0</v>
      </c>
      <c r="J130" s="271">
        <f t="shared" si="15"/>
        <v>0</v>
      </c>
    </row>
    <row r="131" spans="1:10" x14ac:dyDescent="0.35">
      <c r="A131" s="152">
        <f>IF(
    AND(
        YEAR(B129)=YEAR(DATE(YEAR($D$1), MONTH($D$1)-1, 1)),
        MONTH(B129)=MONTH(DATE(YEAR($D$1), MONTH($D$1)-1, 1))
    ),
    $D$1,
    IF(
        $D$4="",
        DATE(YEAR(B129), MONTH(B129)+1, 1),
        IF(
            AND(
                YEAR(B129)=YEAR(DATE(YEAR($D$4), MONTH($D$4)-1, 1)),
                MONTH(B129)=MONTH(DATE(YEAR($D$4), MONTH($D$4)-1, 1))
            ),
            $D$4,
            DATE(YEAR(B129), MONTH(B129)+1, 1)
        )
    )
)</f>
        <v>42339</v>
      </c>
      <c r="B131" s="152">
        <f>IF(
AND(
YEAR(B129)=YEAR(DATE(YEAR($D$2),MONTH($D$2)-1,1)),
MONTH(B129)=MONTH(DATE(YEAR($D$2),MONTH($D$2)-1,1))
),
$D$2,
IF(
$D$3="",
EOMONTH(B129,1),
IF(
AND(
YEAR(B129)=YEAR(DATE(YEAR($D$3),MONTH($D$3)-1,1)),
MONTH(B129)=MONTH(DATE(YEAR($D$3),MONTH($D$3)-1,1))
),
$D$3,
EOMONTH(B129,1)
)))</f>
        <v>42369</v>
      </c>
      <c r="C131" s="472"/>
      <c r="D131" s="149" t="s">
        <v>108</v>
      </c>
      <c r="E131" s="271">
        <f>'CAP POST'!G130</f>
        <v>0</v>
      </c>
      <c r="F131" s="271">
        <f t="shared" si="14"/>
        <v>0</v>
      </c>
      <c r="G131" s="215">
        <v>5.2442818340000003E-2</v>
      </c>
      <c r="H131" s="272">
        <f>((1+G131)^(1/365)-1)</f>
        <v>1.4004804068901144E-4</v>
      </c>
      <c r="I131" s="273">
        <f>IF(OR(A131=SABANA!$C$14, D131="adicional"),0,_xlfn.DAYS(B131,A131)+1)</f>
        <v>31</v>
      </c>
      <c r="J131" s="271">
        <f t="shared" ref="J131" si="39">IF(AND(OR(A131&gt;=$D$4,B131&lt;=$D$3), AND(A130&gt;=$D$1,B130&lt;$D$2)),(F129*I131*H131),0)</f>
        <v>0</v>
      </c>
    </row>
    <row r="132" spans="1:10" x14ac:dyDescent="0.35">
      <c r="A132" s="152">
        <f>IF(
    AND(
        YEAR(B131)=YEAR(DATE(YEAR($D$1), MONTH($D$1)-1, 1)),
        MONTH(B131)=MONTH(DATE(YEAR($D$1), MONTH($D$1)-1, 1))
    ),
    $D$1,
    IF(
        $D$4="",
        DATE(YEAR(B131), MONTH(B131)+1, 1),
        IF(
            AND(
                YEAR(B131)=YEAR(DATE(YEAR($D$4), MONTH($D$4)-1, 1)),
                MONTH(B131)=MONTH(DATE(YEAR($D$4), MONTH($D$4)-1, 1))
            ),
            $D$4,
            DATE(YEAR(B131), MONTH(B131)+1, 1)
        )
    )
)</f>
        <v>42370</v>
      </c>
      <c r="B132" s="152">
        <f>IF(
AND(
YEAR(B131)=YEAR(DATE(YEAR($D$2),MONTH($D$2)-1,1)),
MONTH(B131)=MONTH(DATE(YEAR($D$2),MONTH($D$2)-1,1))
),
$D$2,
IF(
$D$3="",
EOMONTH(B131,1),
IF(
AND(
YEAR(B131)=YEAR(DATE(YEAR($D$3),MONTH($D$3)-1,1)),
MONTH(B131)=MONTH(DATE(YEAR($D$3),MONTH($D$3)-1,1))
),
$D$3,
EOMONTH(B131,1)
)))</f>
        <v>42400</v>
      </c>
      <c r="C132" s="468">
        <v>2016</v>
      </c>
      <c r="D132" s="149" t="s">
        <v>96</v>
      </c>
      <c r="E132" s="271">
        <f>'CAP POST'!G131</f>
        <v>0</v>
      </c>
      <c r="F132" s="271">
        <f t="shared" si="14"/>
        <v>0</v>
      </c>
      <c r="G132" s="215">
        <v>5.7353668449999999E-2</v>
      </c>
      <c r="H132" s="272">
        <f t="shared" si="20"/>
        <v>1.5280413192497733E-4</v>
      </c>
      <c r="I132" s="273">
        <f>IF(OR(A132=SABANA!$C$14, D132="adicional"),0,_xlfn.DAYS(B132,A132)+1)</f>
        <v>31</v>
      </c>
      <c r="J132" s="271">
        <f t="shared" si="15"/>
        <v>0</v>
      </c>
    </row>
    <row r="133" spans="1:10" x14ac:dyDescent="0.35">
      <c r="A133" s="152">
        <f>IF(
    AND(
        YEAR(B132)=YEAR(DATE(YEAR($D$1), MONTH($D$1)-1, 1)),
        MONTH(B132)=MONTH(DATE(YEAR($D$1), MONTH($D$1)-1, 1))
    ),
    $D$1,
    IF(
        $D$4="",
        DATE(YEAR(B132), MONTH(B132)+1, 1),
        IF(
            AND(
                YEAR(B132)=YEAR(DATE(YEAR($D$4), MONTH($D$4)-1, 1)),
                MONTH(B132)=MONTH(DATE(YEAR($D$4), MONTH($D$4)-1, 1))
            ),
            $D$4,
            DATE(YEAR(B132), MONTH(B132)+1, 1)
        )
    )
)</f>
        <v>42401</v>
      </c>
      <c r="B133" s="152">
        <f>IF(
AND(
YEAR(B132)=YEAR(DATE(YEAR($D$2),MONTH($D$2)-1,1)),
MONTH(B132)=MONTH(DATE(YEAR($D$2),MONTH($D$2)-1,1))
),
$D$2,
IF(
$D$3="",
EOMONTH(B132,1),
IF(
AND(
YEAR(B132)=YEAR(DATE(YEAR($D$3),MONTH($D$3)-1,1)),
MONTH(B132)=MONTH(DATE(YEAR($D$3),MONTH($D$3)-1,1))
),
$D$3,
EOMONTH(B132,1)
)))</f>
        <v>42429</v>
      </c>
      <c r="C133" s="471"/>
      <c r="D133" s="149" t="s">
        <v>97</v>
      </c>
      <c r="E133" s="271">
        <f>'CAP POST'!G132</f>
        <v>0</v>
      </c>
      <c r="F133" s="271">
        <f t="shared" si="14"/>
        <v>0</v>
      </c>
      <c r="G133" s="215">
        <v>6.2535001569999998E-2</v>
      </c>
      <c r="H133" s="272">
        <f t="shared" si="20"/>
        <v>1.6619891616165283E-4</v>
      </c>
      <c r="I133" s="273">
        <f>IF(OR(A133=SABANA!$C$14, D133="adicional"),0,_xlfn.DAYS(B133,A133)+1)</f>
        <v>29</v>
      </c>
      <c r="J133" s="271">
        <f t="shared" si="15"/>
        <v>0</v>
      </c>
    </row>
    <row r="134" spans="1:10" x14ac:dyDescent="0.35">
      <c r="A134" s="152">
        <f>IF(
    AND(
        YEAR(B133)=YEAR(DATE(YEAR($D$1), MONTH($D$1)-1, 1)),
        MONTH(B133)=MONTH(DATE(YEAR($D$1), MONTH($D$1)-1, 1))
    ),
    $D$1,
    IF(
        $D$4="",
        DATE(YEAR(B133), MONTH(B133)+1, 1),
        IF(
            AND(
                YEAR(B133)=YEAR(DATE(YEAR($D$4), MONTH($D$4)-1, 1)),
                MONTH(B133)=MONTH(DATE(YEAR($D$4), MONTH($D$4)-1, 1))
            ),
            $D$4,
            DATE(YEAR(B133), MONTH(B133)+1, 1)
        )
    )
)</f>
        <v>42430</v>
      </c>
      <c r="B134" s="152">
        <f>IF(
AND(
YEAR(B133)=YEAR(DATE(YEAR($D$2),MONTH($D$2)-1,1)),
MONTH(B133)=MONTH(DATE(YEAR($D$2),MONTH($D$2)-1,1))
),
$D$2,
IF(
$D$3="",
EOMONTH(B133,1),
IF(
AND(
YEAR(B133)=YEAR(DATE(YEAR($D$3),MONTH($D$3)-1,1)),
MONTH(B133)=MONTH(DATE(YEAR($D$3),MONTH($D$3)-1,1))
),
$D$3,
EOMONTH(B133,1)
)))</f>
        <v>42460</v>
      </c>
      <c r="C134" s="471"/>
      <c r="D134" s="149" t="s">
        <v>98</v>
      </c>
      <c r="E134" s="271">
        <f>'CAP POST'!G133</f>
        <v>0</v>
      </c>
      <c r="F134" s="271">
        <f t="shared" si="14"/>
        <v>0</v>
      </c>
      <c r="G134" s="215">
        <v>6.3542251440000003E-2</v>
      </c>
      <c r="H134" s="272">
        <f t="shared" si="20"/>
        <v>1.6879529511326652E-4</v>
      </c>
      <c r="I134" s="273">
        <f>IF(OR(A134=SABANA!$C$14, D134="adicional"),0,_xlfn.DAYS(B134,A134)+1)</f>
        <v>31</v>
      </c>
      <c r="J134" s="271">
        <f t="shared" si="15"/>
        <v>0</v>
      </c>
    </row>
    <row r="135" spans="1:10" x14ac:dyDescent="0.35">
      <c r="A135" s="152">
        <f>IF(
    AND(
        YEAR(B134)=YEAR(DATE(YEAR($D$1), MONTH($D$1)-1, 1)),
        MONTH(B134)=MONTH(DATE(YEAR($D$1), MONTH($D$1)-1, 1))
    ),
    $D$1,
    IF(
        $D$4="",
        DATE(YEAR(B134), MONTH(B134)+1, 1),
        IF(
            AND(
                YEAR(B134)=YEAR(DATE(YEAR($D$4), MONTH($D$4)-1, 1)),
                MONTH(B134)=MONTH(DATE(YEAR($D$4), MONTH($D$4)-1, 1))
            ),
            $D$4,
            DATE(YEAR(B134), MONTH(B134)+1, 1)
        )
    )
)</f>
        <v>42461</v>
      </c>
      <c r="B135" s="152">
        <f>IF(
AND(
YEAR(B134)=YEAR(DATE(YEAR($D$2),MONTH($D$2)-1,1)),
MONTH(B134)=MONTH(DATE(YEAR($D$2),MONTH($D$2)-1,1))
),
$D$2,
IF(
$D$3="",
EOMONTH(B134,1),
IF(
AND(
YEAR(B134)=YEAR(DATE(YEAR($D$3),MONTH($D$3)-1,1)),
MONTH(B134)=MONTH(DATE(YEAR($D$3),MONTH($D$3)-1,1))
),
$D$3,
EOMONTH(B134,1)
)))</f>
        <v>42490</v>
      </c>
      <c r="C135" s="471"/>
      <c r="D135" s="149" t="s">
        <v>99</v>
      </c>
      <c r="E135" s="271">
        <f>'CAP POST'!G134</f>
        <v>0</v>
      </c>
      <c r="F135" s="271">
        <f t="shared" si="14"/>
        <v>0</v>
      </c>
      <c r="G135" s="215">
        <v>6.6520727370000005E-2</v>
      </c>
      <c r="H135" s="272">
        <f t="shared" si="20"/>
        <v>1.7645856338233123E-4</v>
      </c>
      <c r="I135" s="273">
        <f>IF(OR(A135=SABANA!$C$14, D135="adicional"),0,_xlfn.DAYS(B135,A135)+1)</f>
        <v>30</v>
      </c>
      <c r="J135" s="271">
        <f t="shared" si="15"/>
        <v>0</v>
      </c>
    </row>
    <row r="136" spans="1:10" x14ac:dyDescent="0.35">
      <c r="A136" s="152">
        <f>IF(
    AND(
        YEAR(B135)=YEAR(DATE(YEAR($D$1), MONTH($D$1)-1, 1)),
        MONTH(B135)=MONTH(DATE(YEAR($D$1), MONTH($D$1)-1, 1))
    ),
    $D$1,
    IF(
        $D$4="",
        DATE(YEAR(B135), MONTH(B135)+1, 1),
        IF(
            AND(
                YEAR(B135)=YEAR(DATE(YEAR($D$4), MONTH($D$4)-1, 1)),
                MONTH(B135)=MONTH(DATE(YEAR($D$4), MONTH($D$4)-1, 1))
            ),
            $D$4,
            DATE(YEAR(B135), MONTH(B135)+1, 1)
        )
    )
)</f>
        <v>42491</v>
      </c>
      <c r="B136" s="152">
        <f>IF(
AND(
YEAR(B135)=YEAR(DATE(YEAR($D$2),MONTH($D$2)-1,1)),
MONTH(B135)=MONTH(DATE(YEAR($D$2),MONTH($D$2)-1,1))
),
$D$2,
IF(
$D$3="",
EOMONTH(B135,1),
IF(
AND(
YEAR(B135)=YEAR(DATE(YEAR($D$3),MONTH($D$3)-1,1)),
MONTH(B135)=MONTH(DATE(YEAR($D$3),MONTH($D$3)-1,1))
),
$D$3,
EOMONTH(B135,1)
)))</f>
        <v>42521</v>
      </c>
      <c r="C136" s="471"/>
      <c r="D136" s="149" t="s">
        <v>100</v>
      </c>
      <c r="E136" s="271">
        <f>'CAP POST'!G135</f>
        <v>0</v>
      </c>
      <c r="F136" s="271">
        <f t="shared" ref="F136:F199" si="40">IF(AND(A136&gt;=$D$1,B136&lt;=$D$2),(F135+E136),0)</f>
        <v>0</v>
      </c>
      <c r="G136" s="215">
        <v>6.8307761029999997E-2</v>
      </c>
      <c r="H136" s="272">
        <f t="shared" si="20"/>
        <v>1.8104615341041352E-4</v>
      </c>
      <c r="I136" s="273">
        <f>IF(OR(A136=SABANA!$C$14, D136="adicional"),0,_xlfn.DAYS(B136,A136)+1)</f>
        <v>31</v>
      </c>
      <c r="J136" s="271">
        <f t="shared" ref="J136:J199" si="41">IF(AND(OR(A136&gt;=$D$4,B136&lt;=$D$3), AND(A135&gt;=$D$1,B135&lt;$D$2)),(F135*I136*H136),0)</f>
        <v>0</v>
      </c>
    </row>
    <row r="137" spans="1:10" x14ac:dyDescent="0.35">
      <c r="A137" s="156">
        <f t="shared" ref="A137" si="42">A138</f>
        <v>42522</v>
      </c>
      <c r="B137" s="156">
        <f t="shared" ref="B137" si="43">B138</f>
        <v>42551</v>
      </c>
      <c r="C137" s="471"/>
      <c r="D137" s="157" t="s">
        <v>101</v>
      </c>
      <c r="E137" s="274">
        <f>'CAP POST'!G136</f>
        <v>0</v>
      </c>
      <c r="F137" s="271">
        <f t="shared" si="40"/>
        <v>0</v>
      </c>
      <c r="G137" s="275">
        <v>7.2616147719999996E-2</v>
      </c>
      <c r="H137" s="276"/>
      <c r="I137" s="273">
        <f>IF(OR(A137=SABANA!$C$14, D137="adicional"),0,_xlfn.DAYS(B137,A137)+1)</f>
        <v>0</v>
      </c>
      <c r="J137" s="271">
        <f t="shared" si="41"/>
        <v>0</v>
      </c>
    </row>
    <row r="138" spans="1:10" x14ac:dyDescent="0.35">
      <c r="A138" s="152">
        <f>IF(
    AND(
        YEAR(B136)=YEAR(DATE(YEAR($D$1), MONTH($D$1)-1, 1)),
        MONTH(B136)=MONTH(DATE(YEAR($D$1), MONTH($D$1)-1, 1))
    ),
    $D$1,
    IF(
        $D$4="",
        DATE(YEAR(B136), MONTH(B136)+1, 1),
        IF(
            AND(
                YEAR(B136)=YEAR(DATE(YEAR($D$4), MONTH($D$4)-1, 1)),
                MONTH(B136)=MONTH(DATE(YEAR($D$4), MONTH($D$4)-1, 1))
            ),
            $D$4,
            DATE(YEAR(B136), MONTH(B136)+1, 1)
        )
    )
)</f>
        <v>42522</v>
      </c>
      <c r="B138" s="152">
        <f>IF(
AND(
YEAR(B136)=YEAR(DATE(YEAR($D$2),MONTH($D$2)-1,1)),
MONTH(B136)=MONTH(DATE(YEAR($D$2),MONTH($D$2)-1,1))
),
$D$2,
IF(
$D$3="",
EOMONTH(B136,1),
IF(
AND(
YEAR(B136)=YEAR(DATE(YEAR($D$3),MONTH($D$3)-1,1)),
MONTH(B136)=MONTH(DATE(YEAR($D$3),MONTH($D$3)-1,1))
),
$D$3,
EOMONTH(B136,1)
)))</f>
        <v>42551</v>
      </c>
      <c r="C138" s="471"/>
      <c r="D138" s="149" t="s">
        <v>102</v>
      </c>
      <c r="E138" s="271">
        <f>'CAP POST'!G137</f>
        <v>0</v>
      </c>
      <c r="F138" s="271">
        <f t="shared" si="40"/>
        <v>0</v>
      </c>
      <c r="G138" s="215">
        <v>6.9110471620000002E-2</v>
      </c>
      <c r="H138" s="272">
        <f>((1+G138)^(1/365)-1)</f>
        <v>1.8310434453727709E-4</v>
      </c>
      <c r="I138" s="273">
        <f>IF(OR(A138=SABANA!$C$14, D138="adicional"),0,_xlfn.DAYS(B138,A138)+1)</f>
        <v>30</v>
      </c>
      <c r="J138" s="271">
        <f t="shared" ref="J138" si="44">IF(AND(OR(A138&gt;=$D$4,B138&lt;=$D$3), AND(A137&gt;=$D$1,B137&lt;$D$2)),(F136*I138*H138),0)</f>
        <v>0</v>
      </c>
    </row>
    <row r="139" spans="1:10" x14ac:dyDescent="0.35">
      <c r="A139" s="152">
        <f>IF(
    AND(
        YEAR(B138)=YEAR(DATE(YEAR($D$1), MONTH($D$1)-1, 1)),
        MONTH(B138)=MONTH(DATE(YEAR($D$1), MONTH($D$1)-1, 1))
    ),
    $D$1,
    IF(
        $D$4="",
        DATE(YEAR(B138), MONTH(B138)+1, 1),
        IF(
            AND(
                YEAR(B138)=YEAR(DATE(YEAR($D$4), MONTH($D$4)-1, 1)),
                MONTH(B138)=MONTH(DATE(YEAR($D$4), MONTH($D$4)-1, 1))
            ),
            $D$4,
            DATE(YEAR(B138), MONTH(B138)+1, 1)
        )
    )
)</f>
        <v>42552</v>
      </c>
      <c r="B139" s="152">
        <f>IF(
AND(
YEAR(B138)=YEAR(DATE(YEAR($D$2),MONTH($D$2)-1,1)),
MONTH(B138)=MONTH(DATE(YEAR($D$2),MONTH($D$2)-1,1))
),
$D$2,
IF(
$D$3="",
EOMONTH(B138,1),
IF(
AND(
YEAR(B138)=YEAR(DATE(YEAR($D$3),MONTH($D$3)-1,1)),
MONTH(B138)=MONTH(DATE(YEAR($D$3),MONTH($D$3)-1,1))
),
$D$3,
EOMONTH(B138,1)
)))</f>
        <v>42582</v>
      </c>
      <c r="C139" s="471"/>
      <c r="D139" s="149" t="s">
        <v>103</v>
      </c>
      <c r="E139" s="271">
        <f>'CAP POST'!G138</f>
        <v>0</v>
      </c>
      <c r="F139" s="271">
        <f t="shared" si="40"/>
        <v>0</v>
      </c>
      <c r="G139" s="215">
        <v>7.2616147719999996E-2</v>
      </c>
      <c r="H139" s="272">
        <f>((1+G139)^(1/365)-1)</f>
        <v>1.9207505281526593E-4</v>
      </c>
      <c r="I139" s="273">
        <f>IF(OR(A139=SABANA!$C$14, D139="adicional"),0,_xlfn.DAYS(B139,A139)+1)</f>
        <v>31</v>
      </c>
      <c r="J139" s="271">
        <f t="shared" si="41"/>
        <v>0</v>
      </c>
    </row>
    <row r="140" spans="1:10" x14ac:dyDescent="0.35">
      <c r="A140" s="152">
        <f>IF(
    AND(
        YEAR(B139)=YEAR(DATE(YEAR($D$1), MONTH($D$1)-1, 1)),
        MONTH(B139)=MONTH(DATE(YEAR($D$1), MONTH($D$1)-1, 1))
    ),
    $D$1,
    IF(
        $D$4="",
        DATE(YEAR(B139), MONTH(B139)+1, 1),
        IF(
            AND(
                YEAR(B139)=YEAR(DATE(YEAR($D$4), MONTH($D$4)-1, 1)),
                MONTH(B139)=MONTH(DATE(YEAR($D$4), MONTH($D$4)-1, 1))
            ),
            $D$4,
            DATE(YEAR(B139), MONTH(B139)+1, 1)
        )
    )
)</f>
        <v>42583</v>
      </c>
      <c r="B140" s="152">
        <f>IF(
AND(
YEAR(B139)=YEAR(DATE(YEAR($D$2),MONTH($D$2)-1,1)),
MONTH(B139)=MONTH(DATE(YEAR($D$2),MONTH($D$2)-1,1))
),
$D$2,
IF(
$D$3="",
EOMONTH(B139,1),
IF(
AND(
YEAR(B139)=YEAR(DATE(YEAR($D$3),MONTH($D$3)-1,1)),
MONTH(B139)=MONTH(DATE(YEAR($D$3),MONTH($D$3)-1,1))
),
$D$3,
EOMONTH(B139,1)
)))</f>
        <v>42613</v>
      </c>
      <c r="C140" s="471"/>
      <c r="D140" s="149" t="s">
        <v>104</v>
      </c>
      <c r="E140" s="271">
        <f>'CAP POST'!G139</f>
        <v>0</v>
      </c>
      <c r="F140" s="271">
        <f t="shared" si="40"/>
        <v>0</v>
      </c>
      <c r="G140" s="215">
        <v>7.1946251889999993E-2</v>
      </c>
      <c r="H140" s="272">
        <f t="shared" si="20"/>
        <v>1.9036311190689936E-4</v>
      </c>
      <c r="I140" s="273">
        <f>IF(OR(A140=SABANA!$C$14, D140="adicional"),0,_xlfn.DAYS(B140,A140)+1)</f>
        <v>31</v>
      </c>
      <c r="J140" s="271">
        <f t="shared" si="41"/>
        <v>0</v>
      </c>
    </row>
    <row r="141" spans="1:10" x14ac:dyDescent="0.35">
      <c r="A141" s="152">
        <f>IF(
    AND(
        YEAR(B140)=YEAR(DATE(YEAR($D$1), MONTH($D$1)-1, 1)),
        MONTH(B140)=MONTH(DATE(YEAR($D$1), MONTH($D$1)-1, 1))
    ),
    $D$1,
    IF(
        $D$4="",
        DATE(YEAR(B140), MONTH(B140)+1, 1),
        IF(
            AND(
                YEAR(B140)=YEAR(DATE(YEAR($D$4), MONTH($D$4)-1, 1)),
                MONTH(B140)=MONTH(DATE(YEAR($D$4), MONTH($D$4)-1, 1))
            ),
            $D$4,
            DATE(YEAR(B140), MONTH(B140)+1, 1)
        )
    )
)</f>
        <v>42614</v>
      </c>
      <c r="B141" s="152">
        <f>IF(
AND(
YEAR(B140)=YEAR(DATE(YEAR($D$2),MONTH($D$2)-1,1)),
MONTH(B140)=MONTH(DATE(YEAR($D$2),MONTH($D$2)-1,1))
),
$D$2,
IF(
$D$3="",
EOMONTH(B140,1),
IF(
AND(
YEAR(B140)=YEAR(DATE(YEAR($D$3),MONTH($D$3)-1,1)),
MONTH(B140)=MONTH(DATE(YEAR($D$3),MONTH($D$3)-1,1))
),
$D$3,
EOMONTH(B140,1)
)))</f>
        <v>42643</v>
      </c>
      <c r="C141" s="471"/>
      <c r="D141" s="149" t="s">
        <v>105</v>
      </c>
      <c r="E141" s="271">
        <f>'CAP POST'!G140</f>
        <v>0</v>
      </c>
      <c r="F141" s="271">
        <f t="shared" si="40"/>
        <v>0</v>
      </c>
      <c r="G141" s="215">
        <v>7.1806471509999997E-2</v>
      </c>
      <c r="H141" s="272">
        <f t="shared" si="20"/>
        <v>1.9000576399585967E-4</v>
      </c>
      <c r="I141" s="273">
        <f>IF(OR(A141=SABANA!$C$14, D141="adicional"),0,_xlfn.DAYS(B141,A141)+1)</f>
        <v>30</v>
      </c>
      <c r="J141" s="271">
        <f t="shared" si="41"/>
        <v>0</v>
      </c>
    </row>
    <row r="142" spans="1:10" x14ac:dyDescent="0.35">
      <c r="A142" s="152">
        <f>IF(
    AND(
        YEAR(B141)=YEAR(DATE(YEAR($D$1), MONTH($D$1)-1, 1)),
        MONTH(B141)=MONTH(DATE(YEAR($D$1), MONTH($D$1)-1, 1))
    ),
    $D$1,
    IF(
        $D$4="",
        DATE(YEAR(B141), MONTH(B141)+1, 1),
        IF(
            AND(
                YEAR(B141)=YEAR(DATE(YEAR($D$4), MONTH($D$4)-1, 1)),
                MONTH(B141)=MONTH(DATE(YEAR($D$4), MONTH($D$4)-1, 1))
            ),
            $D$4,
            DATE(YEAR(B141), MONTH(B141)+1, 1)
        )
    )
)</f>
        <v>42644</v>
      </c>
      <c r="B142" s="152">
        <f>IF(
AND(
YEAR(B141)=YEAR(DATE(YEAR($D$2),MONTH($D$2)-1,1)),
MONTH(B141)=MONTH(DATE(YEAR($D$2),MONTH($D$2)-1,1))
),
$D$2,
IF(
$D$3="",
EOMONTH(B141,1),
IF(
AND(
YEAR(B141)=YEAR(DATE(YEAR($D$3),MONTH($D$3)-1,1)),
MONTH(B141)=MONTH(DATE(YEAR($D$3),MONTH($D$3)-1,1))
),
$D$3,
EOMONTH(B141,1)
)))</f>
        <v>42674</v>
      </c>
      <c r="C142" s="471"/>
      <c r="D142" s="149" t="s">
        <v>106</v>
      </c>
      <c r="E142" s="271">
        <f>'CAP POST'!G141</f>
        <v>0</v>
      </c>
      <c r="F142" s="271">
        <f t="shared" si="40"/>
        <v>0</v>
      </c>
      <c r="G142" s="215">
        <v>7.09230785E-2</v>
      </c>
      <c r="H142" s="272">
        <f t="shared" si="20"/>
        <v>1.8774629817830402E-4</v>
      </c>
      <c r="I142" s="273">
        <f>IF(OR(A142=SABANA!$C$14, D142="adicional"),0,_xlfn.DAYS(B142,A142)+1)</f>
        <v>31</v>
      </c>
      <c r="J142" s="271">
        <f t="shared" si="41"/>
        <v>0</v>
      </c>
    </row>
    <row r="143" spans="1:10" x14ac:dyDescent="0.35">
      <c r="A143" s="152">
        <f>IF(
    AND(
        YEAR(B142)=YEAR(DATE(YEAR($D$1), MONTH($D$1)-1, 1)),
        MONTH(B142)=MONTH(DATE(YEAR($D$1), MONTH($D$1)-1, 1))
    ),
    $D$1,
    IF(
        $D$4="",
        DATE(YEAR(B142), MONTH(B142)+1, 1),
        IF(
            AND(
                YEAR(B142)=YEAR(DATE(YEAR($D$4), MONTH($D$4)-1, 1)),
                MONTH(B142)=MONTH(DATE(YEAR($D$4), MONTH($D$4)-1, 1))
            ),
            $D$4,
            DATE(YEAR(B142), MONTH(B142)+1, 1)
        )
    )
)</f>
        <v>42675</v>
      </c>
      <c r="B143" s="152">
        <f>IF(
AND(
YEAR(B142)=YEAR(DATE(YEAR($D$2),MONTH($D$2)-1,1)),
MONTH(B142)=MONTH(DATE(YEAR($D$2),MONTH($D$2)-1,1))
),
$D$2,
IF(
$D$3="",
EOMONTH(B142,1),
IF(
AND(
YEAR(B142)=YEAR(DATE(YEAR($D$3),MONTH($D$3)-1,1)),
MONTH(B142)=MONTH(DATE(YEAR($D$3),MONTH($D$3)-1,1))
),
$D$3,
EOMONTH(B142,1)
)))</f>
        <v>42704</v>
      </c>
      <c r="C143" s="471"/>
      <c r="D143" s="149" t="s">
        <v>107</v>
      </c>
      <c r="E143" s="271">
        <f>'CAP POST'!G142</f>
        <v>0</v>
      </c>
      <c r="F143" s="271">
        <f t="shared" si="40"/>
        <v>0</v>
      </c>
      <c r="G143" s="215">
        <v>7.0143158940000006E-2</v>
      </c>
      <c r="H143" s="272">
        <f t="shared" si="20"/>
        <v>1.8574994233278019E-4</v>
      </c>
      <c r="I143" s="273">
        <f>IF(OR(A143=SABANA!$C$14, D143="adicional"),0,_xlfn.DAYS(B143,A143)+1)</f>
        <v>30</v>
      </c>
      <c r="J143" s="271">
        <f t="shared" si="41"/>
        <v>0</v>
      </c>
    </row>
    <row r="144" spans="1:10" x14ac:dyDescent="0.35">
      <c r="A144" s="156">
        <f t="shared" ref="A144" si="45">A143</f>
        <v>42675</v>
      </c>
      <c r="B144" s="156">
        <f t="shared" ref="B144" si="46">B143</f>
        <v>42704</v>
      </c>
      <c r="C144" s="471"/>
      <c r="D144" s="157" t="s">
        <v>101</v>
      </c>
      <c r="E144" s="274">
        <f>'CAP POST'!G143</f>
        <v>0</v>
      </c>
      <c r="F144" s="271">
        <f t="shared" si="40"/>
        <v>0</v>
      </c>
      <c r="G144" s="275">
        <v>6.920692111E-2</v>
      </c>
      <c r="H144" s="276"/>
      <c r="I144" s="273">
        <f>IF(OR(A144=SABANA!$C$14, D144="adicional"),0,_xlfn.DAYS(B144,A144)+1)</f>
        <v>0</v>
      </c>
      <c r="J144" s="271">
        <f t="shared" si="41"/>
        <v>0</v>
      </c>
    </row>
    <row r="145" spans="1:10" x14ac:dyDescent="0.35">
      <c r="A145" s="152">
        <f>IF(
    AND(
        YEAR(B143)=YEAR(DATE(YEAR($D$1), MONTH($D$1)-1, 1)),
        MONTH(B143)=MONTH(DATE(YEAR($D$1), MONTH($D$1)-1, 1))
    ),
    $D$1,
    IF(
        $D$4="",
        DATE(YEAR(B143), MONTH(B143)+1, 1),
        IF(
            AND(
                YEAR(B143)=YEAR(DATE(YEAR($D$4), MONTH($D$4)-1, 1)),
                MONTH(B143)=MONTH(DATE(YEAR($D$4), MONTH($D$4)-1, 1))
            ),
            $D$4,
            DATE(YEAR(B143), MONTH(B143)+1, 1)
        )
    )
)</f>
        <v>42705</v>
      </c>
      <c r="B145" s="152">
        <f>IF(
AND(
YEAR(B143)=YEAR(DATE(YEAR($D$2),MONTH($D$2)-1,1)),
MONTH(B143)=MONTH(DATE(YEAR($D$2),MONTH($D$2)-1,1))
),
$D$2,
IF(
$D$3="",
EOMONTH(B143,1),
IF(
AND(
YEAR(B143)=YEAR(DATE(YEAR($D$3),MONTH($D$3)-1,1)),
MONTH(B143)=MONTH(DATE(YEAR($D$3),MONTH($D$3)-1,1))
),
$D$3,
EOMONTH(B143,1)
)))</f>
        <v>42735</v>
      </c>
      <c r="C145" s="472"/>
      <c r="D145" s="149" t="s">
        <v>108</v>
      </c>
      <c r="E145" s="271">
        <f>'CAP POST'!G144</f>
        <v>0</v>
      </c>
      <c r="F145" s="271">
        <f t="shared" si="40"/>
        <v>0</v>
      </c>
      <c r="G145" s="215">
        <v>6.920692111E-2</v>
      </c>
      <c r="H145" s="272">
        <f>((1+G145)^(1/365)-1)</f>
        <v>1.8335154226023498E-4</v>
      </c>
      <c r="I145" s="273">
        <f>IF(OR(A145=SABANA!$C$14, D145="adicional"),0,_xlfn.DAYS(B145,A145)+1)</f>
        <v>31</v>
      </c>
      <c r="J145" s="271">
        <f t="shared" ref="J145" si="47">IF(AND(OR(A145&gt;=$D$4,B145&lt;=$D$3), AND(A144&gt;=$D$1,B144&lt;$D$2)),(F143*I145*H145),0)</f>
        <v>0</v>
      </c>
    </row>
    <row r="146" spans="1:10" x14ac:dyDescent="0.35">
      <c r="A146" s="152">
        <f>IF(
    AND(
        YEAR(B145)=YEAR(DATE(YEAR($D$1), MONTH($D$1)-1, 1)),
        MONTH(B145)=MONTH(DATE(YEAR($D$1), MONTH($D$1)-1, 1))
    ),
    $D$1,
    IF(
        $D$4="",
        DATE(YEAR(B145), MONTH(B145)+1, 1),
        IF(
            AND(
                YEAR(B145)=YEAR(DATE(YEAR($D$4), MONTH($D$4)-1, 1)),
                MONTH(B145)=MONTH(DATE(YEAR($D$4), MONTH($D$4)-1, 1))
            ),
            $D$4,
            DATE(YEAR(B145), MONTH(B145)+1, 1)
        )
    )
)</f>
        <v>42736</v>
      </c>
      <c r="B146" s="152">
        <f>IF(
AND(
YEAR(B145)=YEAR(DATE(YEAR($D$2),MONTH($D$2)-1,1)),
MONTH(B145)=MONTH(DATE(YEAR($D$2),MONTH($D$2)-1,1))
),
$D$2,
IF(
$D$3="",
EOMONTH(B145,1),
IF(
AND(
YEAR(B145)=YEAR(DATE(YEAR($D$3),MONTH($D$3)-1,1)),
MONTH(B145)=MONTH(DATE(YEAR($D$3),MONTH($D$3)-1,1))
),
$D$3,
EOMONTH(B145,1)
)))</f>
        <v>42766</v>
      </c>
      <c r="C146" s="468">
        <v>2017</v>
      </c>
      <c r="D146" s="149" t="s">
        <v>96</v>
      </c>
      <c r="E146" s="271">
        <f>'CAP POST'!G145</f>
        <v>0</v>
      </c>
      <c r="F146" s="271">
        <f t="shared" si="40"/>
        <v>0</v>
      </c>
      <c r="G146" s="215">
        <v>6.9384322169999998E-2</v>
      </c>
      <c r="H146" s="272">
        <f t="shared" si="20"/>
        <v>1.8380615884860951E-4</v>
      </c>
      <c r="I146" s="273">
        <f>IF(OR(A146=SABANA!$C$14, D146="adicional"),0,_xlfn.DAYS(B146,A146)+1)</f>
        <v>31</v>
      </c>
      <c r="J146" s="271">
        <f t="shared" si="41"/>
        <v>0</v>
      </c>
    </row>
    <row r="147" spans="1:10" x14ac:dyDescent="0.35">
      <c r="A147" s="152">
        <f>IF(
    AND(
        YEAR(B146)=YEAR(DATE(YEAR($D$1), MONTH($D$1)-1, 1)),
        MONTH(B146)=MONTH(DATE(YEAR($D$1), MONTH($D$1)-1, 1))
    ),
    $D$1,
    IF(
        $D$4="",
        DATE(YEAR(B146), MONTH(B146)+1, 1),
        IF(
            AND(
                YEAR(B146)=YEAR(DATE(YEAR($D$4), MONTH($D$4)-1, 1)),
                MONTH(B146)=MONTH(DATE(YEAR($D$4), MONTH($D$4)-1, 1))
            ),
            $D$4,
            DATE(YEAR(B146), MONTH(B146)+1, 1)
        )
    )
)</f>
        <v>42767</v>
      </c>
      <c r="B147" s="152">
        <f>IF(
AND(
YEAR(B146)=YEAR(DATE(YEAR($D$2),MONTH($D$2)-1,1)),
MONTH(B146)=MONTH(DATE(YEAR($D$2),MONTH($D$2)-1,1))
),
$D$2,
IF(
$D$3="",
EOMONTH(B146,1),
IF(
AND(
YEAR(B146)=YEAR(DATE(YEAR($D$3),MONTH($D$3)-1,1)),
MONTH(B146)=MONTH(DATE(YEAR($D$3),MONTH($D$3)-1,1))
),
$D$3,
EOMONTH(B146,1)
)))</f>
        <v>42794</v>
      </c>
      <c r="C147" s="471"/>
      <c r="D147" s="149" t="s">
        <v>97</v>
      </c>
      <c r="E147" s="271">
        <f>'CAP POST'!G146</f>
        <v>0</v>
      </c>
      <c r="F147" s="271">
        <f t="shared" si="40"/>
        <v>0</v>
      </c>
      <c r="G147" s="215">
        <v>6.7823181910000002E-2</v>
      </c>
      <c r="H147" s="272">
        <f t="shared" si="20"/>
        <v>1.7980292102448558E-4</v>
      </c>
      <c r="I147" s="273">
        <f>IF(OR(A147=SABANA!$C$14, D147="adicional"),0,_xlfn.DAYS(B147,A147)+1)</f>
        <v>28</v>
      </c>
      <c r="J147" s="271">
        <f t="shared" si="41"/>
        <v>0</v>
      </c>
    </row>
    <row r="148" spans="1:10" x14ac:dyDescent="0.35">
      <c r="A148" s="152">
        <f>IF(
    AND(
        YEAR(B147)=YEAR(DATE(YEAR($D$1), MONTH($D$1)-1, 1)),
        MONTH(B147)=MONTH(DATE(YEAR($D$1), MONTH($D$1)-1, 1))
    ),
    $D$1,
    IF(
        $D$4="",
        DATE(YEAR(B147), MONTH(B147)+1, 1),
        IF(
            AND(
                YEAR(B147)=YEAR(DATE(YEAR($D$4), MONTH($D$4)-1, 1)),
                MONTH(B147)=MONTH(DATE(YEAR($D$4), MONTH($D$4)-1, 1))
            ),
            $D$4,
            DATE(YEAR(B147), MONTH(B147)+1, 1)
        )
    )
)</f>
        <v>42795</v>
      </c>
      <c r="B148" s="152">
        <f>IF(
AND(
YEAR(B147)=YEAR(DATE(YEAR($D$2),MONTH($D$2)-1,1)),
MONTH(B147)=MONTH(DATE(YEAR($D$2),MONTH($D$2)-1,1))
),
$D$2,
IF(
$D$3="",
EOMONTH(B147,1),
IF(
AND(
YEAR(B147)=YEAR(DATE(YEAR($D$3),MONTH($D$3)-1,1)),
MONTH(B147)=MONTH(DATE(YEAR($D$3),MONTH($D$3)-1,1))
),
$D$3,
EOMONTH(B147,1)
)))</f>
        <v>42825</v>
      </c>
      <c r="C148" s="471"/>
      <c r="D148" s="149" t="s">
        <v>98</v>
      </c>
      <c r="E148" s="271">
        <f>'CAP POST'!G147</f>
        <v>0</v>
      </c>
      <c r="F148" s="271">
        <f t="shared" si="40"/>
        <v>0</v>
      </c>
      <c r="G148" s="215">
        <v>6.6500000000000004E-2</v>
      </c>
      <c r="H148" s="272">
        <f t="shared" si="20"/>
        <v>1.7640530807794264E-4</v>
      </c>
      <c r="I148" s="273">
        <f>IF(OR(A148=SABANA!$C$14, D148="adicional"),0,_xlfn.DAYS(B148,A148)+1)</f>
        <v>31</v>
      </c>
      <c r="J148" s="271">
        <f t="shared" si="41"/>
        <v>0</v>
      </c>
    </row>
    <row r="149" spans="1:10" x14ac:dyDescent="0.35">
      <c r="A149" s="152">
        <f>IF(
    AND(
        YEAR(B148)=YEAR(DATE(YEAR($D$1), MONTH($D$1)-1, 1)),
        MONTH(B148)=MONTH(DATE(YEAR($D$1), MONTH($D$1)-1, 1))
    ),
    $D$1,
    IF(
        $D$4="",
        DATE(YEAR(B148), MONTH(B148)+1, 1),
        IF(
            AND(
                YEAR(B148)=YEAR(DATE(YEAR($D$4), MONTH($D$4)-1, 1)),
                MONTH(B148)=MONTH(DATE(YEAR($D$4), MONTH($D$4)-1, 1))
            ),
            $D$4,
            DATE(YEAR(B148), MONTH(B148)+1, 1)
        )
    )
)</f>
        <v>42826</v>
      </c>
      <c r="B149" s="152">
        <f>IF(
AND(
YEAR(B148)=YEAR(DATE(YEAR($D$2),MONTH($D$2)-1,1)),
MONTH(B148)=MONTH(DATE(YEAR($D$2),MONTH($D$2)-1,1))
),
$D$2,
IF(
$D$3="",
EOMONTH(B148,1),
IF(
AND(
YEAR(B148)=YEAR(DATE(YEAR($D$3),MONTH($D$3)-1,1)),
MONTH(B148)=MONTH(DATE(YEAR($D$3),MONTH($D$3)-1,1))
),
$D$3,
EOMONTH(B148,1)
)))</f>
        <v>42855</v>
      </c>
      <c r="C149" s="471"/>
      <c r="D149" s="149" t="s">
        <v>99</v>
      </c>
      <c r="E149" s="271">
        <f>'CAP POST'!G148</f>
        <v>0</v>
      </c>
      <c r="F149" s="271">
        <f t="shared" si="40"/>
        <v>0</v>
      </c>
      <c r="G149" s="215">
        <v>6.5268988949999995E-2</v>
      </c>
      <c r="H149" s="272">
        <f t="shared" si="20"/>
        <v>1.732405908689838E-4</v>
      </c>
      <c r="I149" s="273">
        <f>IF(OR(A149=SABANA!$C$14, D149="adicional"),0,_xlfn.DAYS(B149,A149)+1)</f>
        <v>30</v>
      </c>
      <c r="J149" s="271">
        <f t="shared" si="41"/>
        <v>0</v>
      </c>
    </row>
    <row r="150" spans="1:10" x14ac:dyDescent="0.35">
      <c r="A150" s="152">
        <f>IF(
    AND(
        YEAR(B149)=YEAR(DATE(YEAR($D$1), MONTH($D$1)-1, 1)),
        MONTH(B149)=MONTH(DATE(YEAR($D$1), MONTH($D$1)-1, 1))
    ),
    $D$1,
    IF(
        $D$4="",
        DATE(YEAR(B149), MONTH(B149)+1, 1),
        IF(
            AND(
                YEAR(B149)=YEAR(DATE(YEAR($D$4), MONTH($D$4)-1, 1)),
                MONTH(B149)=MONTH(DATE(YEAR($D$4), MONTH($D$4)-1, 1))
            ),
            $D$4,
            DATE(YEAR(B149), MONTH(B149)+1, 1)
        )
    )
)</f>
        <v>42856</v>
      </c>
      <c r="B150" s="152">
        <f>IF(
AND(
YEAR(B149)=YEAR(DATE(YEAR($D$2),MONTH($D$2)-1,1)),
MONTH(B149)=MONTH(DATE(YEAR($D$2),MONTH($D$2)-1,1))
),
$D$2,
IF(
$D$3="",
EOMONTH(B149,1),
IF(
AND(
YEAR(B149)=YEAR(DATE(YEAR($D$3),MONTH($D$3)-1,1)),
MONTH(B149)=MONTH(DATE(YEAR($D$3),MONTH($D$3)-1,1))
),
$D$3,
EOMONTH(B149,1)
)))</f>
        <v>42886</v>
      </c>
      <c r="C150" s="471"/>
      <c r="D150" s="149" t="s">
        <v>100</v>
      </c>
      <c r="E150" s="271">
        <f>'CAP POST'!G149</f>
        <v>0</v>
      </c>
      <c r="F150" s="271">
        <f t="shared" si="40"/>
        <v>0</v>
      </c>
      <c r="G150" s="215">
        <v>6.1657128130000002E-2</v>
      </c>
      <c r="H150" s="272">
        <f t="shared" si="20"/>
        <v>1.6393402700942694E-4</v>
      </c>
      <c r="I150" s="273">
        <f>IF(OR(A150=SABANA!$C$14, D150="adicional"),0,_xlfn.DAYS(B150,A150)+1)</f>
        <v>31</v>
      </c>
      <c r="J150" s="271">
        <f t="shared" si="41"/>
        <v>0</v>
      </c>
    </row>
    <row r="151" spans="1:10" x14ac:dyDescent="0.35">
      <c r="A151" s="156">
        <f t="shared" ref="A151" si="48">A152</f>
        <v>42887</v>
      </c>
      <c r="B151" s="156">
        <f t="shared" ref="B151" si="49">B152</f>
        <v>42916</v>
      </c>
      <c r="C151" s="471"/>
      <c r="D151" s="157" t="s">
        <v>101</v>
      </c>
      <c r="E151" s="274">
        <f>'CAP POST'!G150</f>
        <v>0</v>
      </c>
      <c r="F151" s="271">
        <f t="shared" si="40"/>
        <v>0</v>
      </c>
      <c r="G151" s="275">
        <v>5.6497070470000001E-2</v>
      </c>
      <c r="H151" s="276"/>
      <c r="I151" s="273">
        <f>IF(OR(A151=SABANA!$C$14, D151="adicional"),0,_xlfn.DAYS(B151,A151)+1)</f>
        <v>0</v>
      </c>
      <c r="J151" s="271">
        <f t="shared" si="41"/>
        <v>0</v>
      </c>
    </row>
    <row r="152" spans="1:10" x14ac:dyDescent="0.35">
      <c r="A152" s="152">
        <f>IF(
    AND(
        YEAR(B150)=YEAR(DATE(YEAR($D$1), MONTH($D$1)-1, 1)),
        MONTH(B150)=MONTH(DATE(YEAR($D$1), MONTH($D$1)-1, 1))
    ),
    $D$1,
    IF(
        $D$4="",
        DATE(YEAR(B150), MONTH(B150)+1, 1),
        IF(
            AND(
                YEAR(B150)=YEAR(DATE(YEAR($D$4), MONTH($D$4)-1, 1)),
                MONTH(B150)=MONTH(DATE(YEAR($D$4), MONTH($D$4)-1, 1))
            ),
            $D$4,
            DATE(YEAR(B150), MONTH(B150)+1, 1)
        )
    )
)</f>
        <v>42887</v>
      </c>
      <c r="B152" s="152">
        <f>IF(
AND(
YEAR(B150)=YEAR(DATE(YEAR($D$2),MONTH($D$2)-1,1)),
MONTH(B150)=MONTH(DATE(YEAR($D$2),MONTH($D$2)-1,1))
),
$D$2,
IF(
$D$3="",
EOMONTH(B150,1),
IF(
AND(
YEAR(B150)=YEAR(DATE(YEAR($D$3),MONTH($D$3)-1,1)),
MONTH(B150)=MONTH(DATE(YEAR($D$3),MONTH($D$3)-1,1))
),
$D$3,
EOMONTH(B150,1)
)))</f>
        <v>42916</v>
      </c>
      <c r="C152" s="471"/>
      <c r="D152" s="149" t="s">
        <v>102</v>
      </c>
      <c r="E152" s="271">
        <f>'CAP POST'!G151</f>
        <v>0</v>
      </c>
      <c r="F152" s="271">
        <f t="shared" si="40"/>
        <v>0</v>
      </c>
      <c r="G152" s="215">
        <v>5.9597084190000003E-2</v>
      </c>
      <c r="H152" s="272">
        <f>((1+G152)^(1/365)-1)</f>
        <v>1.5861182851084621E-4</v>
      </c>
      <c r="I152" s="273">
        <f>IF(OR(A152=SABANA!$C$14, D152="adicional"),0,_xlfn.DAYS(B152,A152)+1)</f>
        <v>30</v>
      </c>
      <c r="J152" s="271">
        <f t="shared" ref="J152" si="50">IF(AND(OR(A152&gt;=$D$4,B152&lt;=$D$3), AND(A151&gt;=$D$1,B151&lt;$D$2)),(F150*I152*H152),0)</f>
        <v>0</v>
      </c>
    </row>
    <row r="153" spans="1:10" x14ac:dyDescent="0.35">
      <c r="A153" s="152">
        <f>IF(
    AND(
        YEAR(B152)=YEAR(DATE(YEAR($D$1), MONTH($D$1)-1, 1)),
        MONTH(B152)=MONTH(DATE(YEAR($D$1), MONTH($D$1)-1, 1))
    ),
    $D$1,
    IF(
        $D$4="",
        DATE(YEAR(B152), MONTH(B152)+1, 1),
        IF(
            AND(
                YEAR(B152)=YEAR(DATE(YEAR($D$4), MONTH($D$4)-1, 1)),
                MONTH(B152)=MONTH(DATE(YEAR($D$4), MONTH($D$4)-1, 1))
            ),
            $D$4,
            DATE(YEAR(B152), MONTH(B152)+1, 1)
        )
    )
)</f>
        <v>42917</v>
      </c>
      <c r="B153" s="152">
        <f>IF(
AND(
YEAR(B152)=YEAR(DATE(YEAR($D$2),MONTH($D$2)-1,1)),
MONTH(B152)=MONTH(DATE(YEAR($D$2),MONTH($D$2)-1,1))
),
$D$2,
IF(
$D$3="",
EOMONTH(B152,1),
IF(
AND(
YEAR(B152)=YEAR(DATE(YEAR($D$3),MONTH($D$3)-1,1)),
MONTH(B152)=MONTH(DATE(YEAR($D$3),MONTH($D$3)-1,1))
),
$D$3,
EOMONTH(B152,1)
)))</f>
        <v>42947</v>
      </c>
      <c r="C153" s="471"/>
      <c r="D153" s="149" t="s">
        <v>103</v>
      </c>
      <c r="E153" s="271">
        <f>'CAP POST'!G152</f>
        <v>0</v>
      </c>
      <c r="F153" s="271">
        <f t="shared" si="40"/>
        <v>0</v>
      </c>
      <c r="G153" s="215">
        <v>5.6497070470000001E-2</v>
      </c>
      <c r="H153" s="272"/>
      <c r="I153" s="273">
        <f>IF(OR(A153=SABANA!$C$14, D153="adicional"),0,_xlfn.DAYS(B153,A153)+1)</f>
        <v>31</v>
      </c>
      <c r="J153" s="271">
        <f t="shared" si="41"/>
        <v>0</v>
      </c>
    </row>
    <row r="154" spans="1:10" x14ac:dyDescent="0.35">
      <c r="A154" s="152">
        <f>IF(
    AND(
        YEAR(B153)=YEAR(DATE(YEAR($D$1), MONTH($D$1)-1, 1)),
        MONTH(B153)=MONTH(DATE(YEAR($D$1), MONTH($D$1)-1, 1))
    ),
    $D$1,
    IF(
        $D$4="",
        DATE(YEAR(B153), MONTH(B153)+1, 1),
        IF(
            AND(
                YEAR(B153)=YEAR(DATE(YEAR($D$4), MONTH($D$4)-1, 1)),
                MONTH(B153)=MONTH(DATE(YEAR($D$4), MONTH($D$4)-1, 1))
            ),
            $D$4,
            DATE(YEAR(B153), MONTH(B153)+1, 1)
        )
    )
)</f>
        <v>42948</v>
      </c>
      <c r="B154" s="152">
        <f>IF(
AND(
YEAR(B153)=YEAR(DATE(YEAR($D$2),MONTH($D$2)-1,1)),
MONTH(B153)=MONTH(DATE(YEAR($D$2),MONTH($D$2)-1,1))
),
$D$2,
IF(
$D$3="",
EOMONTH(B153,1),
IF(
AND(
YEAR(B153)=YEAR(DATE(YEAR($D$3),MONTH($D$3)-1,1)),
MONTH(B153)=MONTH(DATE(YEAR($D$3),MONTH($D$3)-1,1))
),
$D$3,
EOMONTH(B153,1)
)))</f>
        <v>42978</v>
      </c>
      <c r="C154" s="471"/>
      <c r="D154" s="149" t="s">
        <v>104</v>
      </c>
      <c r="E154" s="271">
        <f>'CAP POST'!G153</f>
        <v>0</v>
      </c>
      <c r="F154" s="271">
        <f t="shared" si="40"/>
        <v>0</v>
      </c>
      <c r="G154" s="215">
        <v>5.579793819E-2</v>
      </c>
      <c r="H154" s="272">
        <f t="shared" si="20"/>
        <v>1.4876947758546422E-4</v>
      </c>
      <c r="I154" s="273">
        <f>IF(OR(A154=SABANA!$C$14, D154="adicional"),0,_xlfn.DAYS(B154,A154)+1)</f>
        <v>31</v>
      </c>
      <c r="J154" s="271">
        <f t="shared" si="41"/>
        <v>0</v>
      </c>
    </row>
    <row r="155" spans="1:10" x14ac:dyDescent="0.35">
      <c r="A155" s="152">
        <f>IF(
    AND(
        YEAR(B154)=YEAR(DATE(YEAR($D$1), MONTH($D$1)-1, 1)),
        MONTH(B154)=MONTH(DATE(YEAR($D$1), MONTH($D$1)-1, 1))
    ),
    $D$1,
    IF(
        $D$4="",
        DATE(YEAR(B154), MONTH(B154)+1, 1),
        IF(
            AND(
                YEAR(B154)=YEAR(DATE(YEAR($D$4), MONTH($D$4)-1, 1)),
                MONTH(B154)=MONTH(DATE(YEAR($D$4), MONTH($D$4)-1, 1))
            ),
            $D$4,
            DATE(YEAR(B154), MONTH(B154)+1, 1)
        )
    )
)</f>
        <v>42979</v>
      </c>
      <c r="B155" s="152">
        <f>IF(
AND(
YEAR(B154)=YEAR(DATE(YEAR($D$2),MONTH($D$2)-1,1)),
MONTH(B154)=MONTH(DATE(YEAR($D$2),MONTH($D$2)-1,1))
),
$D$2,
IF(
$D$3="",
EOMONTH(B154,1),
IF(
AND(
YEAR(B154)=YEAR(DATE(YEAR($D$3),MONTH($D$3)-1,1)),
MONTH(B154)=MONTH(DATE(YEAR($D$3),MONTH($D$3)-1,1))
),
$D$3,
EOMONTH(B154,1)
)))</f>
        <v>43008</v>
      </c>
      <c r="C155" s="471"/>
      <c r="D155" s="149" t="s">
        <v>105</v>
      </c>
      <c r="E155" s="271">
        <f>'CAP POST'!G154</f>
        <v>0</v>
      </c>
      <c r="F155" s="271">
        <f t="shared" si="40"/>
        <v>0</v>
      </c>
      <c r="G155" s="215">
        <v>0.2198</v>
      </c>
      <c r="H155" s="272">
        <f t="shared" si="20"/>
        <v>5.4449588513816316E-4</v>
      </c>
      <c r="I155" s="273">
        <f>IF(OR(A155=SABANA!$C$14, D155="adicional"),0,_xlfn.DAYS(B155,A155)+1)</f>
        <v>30</v>
      </c>
      <c r="J155" s="271">
        <f t="shared" si="41"/>
        <v>0</v>
      </c>
    </row>
    <row r="156" spans="1:10" x14ac:dyDescent="0.35">
      <c r="A156" s="152">
        <f>IF(
    AND(
        YEAR(B155)=YEAR(DATE(YEAR($D$1), MONTH($D$1)-1, 1)),
        MONTH(B155)=MONTH(DATE(YEAR($D$1), MONTH($D$1)-1, 1))
    ),
    $D$1,
    IF(
        $D$4="",
        DATE(YEAR(B155), MONTH(B155)+1, 1),
        IF(
            AND(
                YEAR(B155)=YEAR(DATE(YEAR($D$4), MONTH($D$4)-1, 1)),
                MONTH(B155)=MONTH(DATE(YEAR($D$4), MONTH($D$4)-1, 1))
            ),
            $D$4,
            DATE(YEAR(B155), MONTH(B155)+1, 1)
        )
    )
)</f>
        <v>43009</v>
      </c>
      <c r="B156" s="152">
        <f>IF(
AND(
YEAR(B155)=YEAR(DATE(YEAR($D$2),MONTH($D$2)-1,1)),
MONTH(B155)=MONTH(DATE(YEAR($D$2),MONTH($D$2)-1,1))
),
$D$2,
IF(
$D$3="",
EOMONTH(B155,1),
IF(
AND(
YEAR(B155)=YEAR(DATE(YEAR($D$3),MONTH($D$3)-1,1)),
MONTH(B155)=MONTH(DATE(YEAR($D$3),MONTH($D$3)-1,1))
),
$D$3,
EOMONTH(B155,1)
)))</f>
        <v>43039</v>
      </c>
      <c r="C156" s="471"/>
      <c r="D156" s="149" t="s">
        <v>106</v>
      </c>
      <c r="E156" s="271">
        <f>'CAP POST'!G155</f>
        <v>0</v>
      </c>
      <c r="F156" s="271">
        <f t="shared" si="40"/>
        <v>0</v>
      </c>
      <c r="G156" s="215">
        <v>0.2198</v>
      </c>
      <c r="H156" s="272">
        <f>((1+G156)^(1/365)-1)</f>
        <v>5.4449588513816316E-4</v>
      </c>
      <c r="I156" s="273">
        <f>IF(OR(A156=SABANA!$C$14, D156="adicional"),0,_xlfn.DAYS(B156,A156)+1)</f>
        <v>31</v>
      </c>
      <c r="J156" s="271">
        <f t="shared" si="41"/>
        <v>0</v>
      </c>
    </row>
    <row r="157" spans="1:10" x14ac:dyDescent="0.35">
      <c r="A157" s="152">
        <f>IF(
    AND(
        YEAR(B156)=YEAR(DATE(YEAR($D$1), MONTH($D$1)-1, 1)),
        MONTH(B156)=MONTH(DATE(YEAR($D$1), MONTH($D$1)-1, 1))
    ),
    $D$1,
    IF(
        $D$4="",
        DATE(YEAR(B156), MONTH(B156)+1, 1),
        IF(
            AND(
                YEAR(B156)=YEAR(DATE(YEAR($D$4), MONTH($D$4)-1, 1)),
                MONTH(B156)=MONTH(DATE(YEAR($D$4), MONTH($D$4)-1, 1))
            ),
            $D$4,
            DATE(YEAR(B156), MONTH(B156)+1, 1)
        )
    )
)</f>
        <v>43040</v>
      </c>
      <c r="B157" s="152">
        <f>IF(
AND(
YEAR(B156)=YEAR(DATE(YEAR($D$2),MONTH($D$2)-1,1)),
MONTH(B156)=MONTH(DATE(YEAR($D$2),MONTH($D$2)-1,1))
),
$D$2,
IF(
$D$3="",
EOMONTH(B156,1),
IF(
AND(
YEAR(B156)=YEAR(DATE(YEAR($D$3),MONTH($D$3)-1,1)),
MONTH(B156)=MONTH(DATE(YEAR($D$3),MONTH($D$3)-1,1))
),
$D$3,
EOMONTH(B156,1)
)))</f>
        <v>43069</v>
      </c>
      <c r="C157" s="471"/>
      <c r="D157" s="149" t="s">
        <v>107</v>
      </c>
      <c r="E157" s="271">
        <f>'CAP POST'!G156</f>
        <v>0</v>
      </c>
      <c r="F157" s="271">
        <f t="shared" si="40"/>
        <v>0</v>
      </c>
      <c r="G157" s="215">
        <v>0.21990000000000001</v>
      </c>
      <c r="H157" s="272">
        <f>((1+G157)^(1/365)-1)</f>
        <v>5.4472060277621637E-4</v>
      </c>
      <c r="I157" s="273">
        <f>IF(OR(A157=SABANA!$C$14, D157="adicional"),0,_xlfn.DAYS(B157,A157)+1)</f>
        <v>30</v>
      </c>
      <c r="J157" s="271">
        <f t="shared" si="41"/>
        <v>0</v>
      </c>
    </row>
    <row r="158" spans="1:10" x14ac:dyDescent="0.35">
      <c r="A158" s="156">
        <f t="shared" ref="A158" si="51">A157</f>
        <v>43040</v>
      </c>
      <c r="B158" s="156">
        <f t="shared" ref="B158" si="52">B157</f>
        <v>43069</v>
      </c>
      <c r="C158" s="471"/>
      <c r="D158" s="157" t="s">
        <v>101</v>
      </c>
      <c r="E158" s="274">
        <f>'CAP POST'!G157</f>
        <v>0</v>
      </c>
      <c r="F158" s="271">
        <f t="shared" si="40"/>
        <v>0</v>
      </c>
      <c r="G158" s="275">
        <v>0.21990000000000001</v>
      </c>
      <c r="H158" s="276"/>
      <c r="I158" s="273">
        <f>IF(OR(A158=SABANA!$C$14, D158="adicional"),0,_xlfn.DAYS(B158,A158)+1)</f>
        <v>0</v>
      </c>
      <c r="J158" s="271">
        <f t="shared" si="41"/>
        <v>0</v>
      </c>
    </row>
    <row r="159" spans="1:10" x14ac:dyDescent="0.35">
      <c r="A159" s="152">
        <f>IF(
    AND(
        YEAR(B157)=YEAR(DATE(YEAR($D$1), MONTH($D$1)-1, 1)),
        MONTH(B157)=MONTH(DATE(YEAR($D$1), MONTH($D$1)-1, 1))
    ),
    $D$1,
    IF(
        $D$4="",
        DATE(YEAR(B157), MONTH(B157)+1, 1),
        IF(
            AND(
                YEAR(B157)=YEAR(DATE(YEAR($D$4), MONTH($D$4)-1, 1)),
                MONTH(B157)=MONTH(DATE(YEAR($D$4), MONTH($D$4)-1, 1))
            ),
            $D$4,
            DATE(YEAR(B157), MONTH(B157)+1, 1)
        )
    )
)</f>
        <v>43070</v>
      </c>
      <c r="B159" s="152">
        <f>IF(
AND(
YEAR(B157)=YEAR(DATE(YEAR($D$2),MONTH($D$2)-1,1)),
MONTH(B157)=MONTH(DATE(YEAR($D$2),MONTH($D$2)-1,1))
),
$D$2,
IF(
$D$3="",
EOMONTH(B157,1),
IF(
AND(
YEAR(B157)=YEAR(DATE(YEAR($D$3),MONTH($D$3)-1,1)),
MONTH(B157)=MONTH(DATE(YEAR($D$3),MONTH($D$3)-1,1))
),
$D$3,
EOMONTH(B157,1)
)))</f>
        <v>43100</v>
      </c>
      <c r="C159" s="472"/>
      <c r="D159" s="149" t="s">
        <v>108</v>
      </c>
      <c r="E159" s="271">
        <f>'CAP POST'!G158</f>
        <v>0</v>
      </c>
      <c r="F159" s="271">
        <f t="shared" si="40"/>
        <v>0</v>
      </c>
      <c r="G159" s="215">
        <v>0.21990000000000001</v>
      </c>
      <c r="H159" s="272">
        <f>((1+G159)^(1/365)-1)</f>
        <v>5.4472060277621637E-4</v>
      </c>
      <c r="I159" s="273">
        <f>IF(OR(A159=SABANA!$C$14, D159="adicional"),0,_xlfn.DAYS(B159,A159)+1)</f>
        <v>31</v>
      </c>
      <c r="J159" s="271">
        <f t="shared" ref="J159" si="53">IF(AND(OR(A159&gt;=$D$4,B159&lt;=$D$3), AND(A158&gt;=$D$1,B158&lt;$D$2)),(F157*I159*H159),0)</f>
        <v>0</v>
      </c>
    </row>
    <row r="160" spans="1:10" x14ac:dyDescent="0.35">
      <c r="A160" s="152">
        <f>IF(
    AND(
        YEAR(B159)=YEAR(DATE(YEAR($D$1), MONTH($D$1)-1, 1)),
        MONTH(B159)=MONTH(DATE(YEAR($D$1), MONTH($D$1)-1, 1))
    ),
    $D$1,
    IF(
        $D$4="",
        DATE(YEAR(B159), MONTH(B159)+1, 1),
        IF(
            AND(
                YEAR(B159)=YEAR(DATE(YEAR($D$4), MONTH($D$4)-1, 1)),
                MONTH(B159)=MONTH(DATE(YEAR($D$4), MONTH($D$4)-1, 1))
            ),
            $D$4,
            DATE(YEAR(B159), MONTH(B159)+1, 1)
        )
    )
)</f>
        <v>43101</v>
      </c>
      <c r="B160" s="152">
        <f>IF(
AND(
YEAR(B159)=YEAR(DATE(YEAR($D$2),MONTH($D$2)-1,1)),
MONTH(B159)=MONTH(DATE(YEAR($D$2),MONTH($D$2)-1,1))
),
$D$2,
IF(
$D$3="",
EOMONTH(B159,1),
IF(
AND(
YEAR(B159)=YEAR(DATE(YEAR($D$3),MONTH($D$3)-1,1)),
MONTH(B159)=MONTH(DATE(YEAR($D$3),MONTH($D$3)-1,1))
),
$D$3,
EOMONTH(B159,1)
)))</f>
        <v>43131</v>
      </c>
      <c r="C160" s="468">
        <v>2018</v>
      </c>
      <c r="D160" s="149" t="s">
        <v>96</v>
      </c>
      <c r="E160" s="271">
        <f>'CAP POST'!G159</f>
        <v>0</v>
      </c>
      <c r="F160" s="271">
        <f t="shared" si="40"/>
        <v>0</v>
      </c>
      <c r="G160" s="216">
        <v>5.21E-2</v>
      </c>
      <c r="H160" s="272">
        <f t="shared" ref="H160:H223" si="54">((1+G160)^(1/365)-1)</f>
        <v>1.3915534376041094E-4</v>
      </c>
      <c r="I160" s="273">
        <f>IF(OR(A160=SABANA!$C$14, D160="adicional"),0,_xlfn.DAYS(B160,A160)+1)</f>
        <v>31</v>
      </c>
      <c r="J160" s="271">
        <f t="shared" si="41"/>
        <v>0</v>
      </c>
    </row>
    <row r="161" spans="1:10" x14ac:dyDescent="0.35">
      <c r="A161" s="152">
        <f>IF(
    AND(
        YEAR(B160)=YEAR(DATE(YEAR($D$1), MONTH($D$1)-1, 1)),
        MONTH(B160)=MONTH(DATE(YEAR($D$1), MONTH($D$1)-1, 1))
    ),
    $D$1,
    IF(
        $D$4="",
        DATE(YEAR(B160), MONTH(B160)+1, 1),
        IF(
            AND(
                YEAR(B160)=YEAR(DATE(YEAR($D$4), MONTH($D$4)-1, 1)),
                MONTH(B160)=MONTH(DATE(YEAR($D$4), MONTH($D$4)-1, 1))
            ),
            $D$4,
            DATE(YEAR(B160), MONTH(B160)+1, 1)
        )
    )
)</f>
        <v>43132</v>
      </c>
      <c r="B161" s="152">
        <f>IF(
AND(
YEAR(B160)=YEAR(DATE(YEAR($D$2),MONTH($D$2)-1,1)),
MONTH(B160)=MONTH(DATE(YEAR($D$2),MONTH($D$2)-1,1))
),
$D$2,
IF(
$D$3="",
EOMONTH(B160,1),
IF(
AND(
YEAR(B160)=YEAR(DATE(YEAR($D$3),MONTH($D$3)-1,1)),
MONTH(B160)=MONTH(DATE(YEAR($D$3),MONTH($D$3)-1,1))
),
$D$3,
EOMONTH(B160,1)
)))</f>
        <v>43159</v>
      </c>
      <c r="C161" s="471"/>
      <c r="D161" s="149" t="s">
        <v>97</v>
      </c>
      <c r="E161" s="271">
        <f>'CAP POST'!G160</f>
        <v>0</v>
      </c>
      <c r="F161" s="271">
        <f t="shared" si="40"/>
        <v>0</v>
      </c>
      <c r="G161" s="216">
        <v>5.0700000000000002E-2</v>
      </c>
      <c r="H161" s="272">
        <f t="shared" si="54"/>
        <v>1.3550673832551929E-4</v>
      </c>
      <c r="I161" s="273">
        <f>IF(OR(A161=SABANA!$C$14, D161="adicional"),0,_xlfn.DAYS(B161,A161)+1)</f>
        <v>28</v>
      </c>
      <c r="J161" s="271">
        <f t="shared" si="41"/>
        <v>0</v>
      </c>
    </row>
    <row r="162" spans="1:10" x14ac:dyDescent="0.35">
      <c r="A162" s="152">
        <f>IF(
    AND(
        YEAR(B161)=YEAR(DATE(YEAR($D$1), MONTH($D$1)-1, 1)),
        MONTH(B161)=MONTH(DATE(YEAR($D$1), MONTH($D$1)-1, 1))
    ),
    $D$1,
    IF(
        $D$4="",
        DATE(YEAR(B161), MONTH(B161)+1, 1),
        IF(
            AND(
                YEAR(B161)=YEAR(DATE(YEAR($D$4), MONTH($D$4)-1, 1)),
                MONTH(B161)=MONTH(DATE(YEAR($D$4), MONTH($D$4)-1, 1))
            ),
            $D$4,
            DATE(YEAR(B161), MONTH(B161)+1, 1)
        )
    )
)</f>
        <v>43160</v>
      </c>
      <c r="B162" s="152">
        <f>IF(
AND(
YEAR(B161)=YEAR(DATE(YEAR($D$2),MONTH($D$2)-1,1)),
MONTH(B161)=MONTH(DATE(YEAR($D$2),MONTH($D$2)-1,1))
),
$D$2,
IF(
$D$3="",
EOMONTH(B161,1),
IF(
AND(
YEAR(B161)=YEAR(DATE(YEAR($D$3),MONTH($D$3)-1,1)),
MONTH(B161)=MONTH(DATE(YEAR($D$3),MONTH($D$3)-1,1))
),
$D$3,
EOMONTH(B161,1)
)))</f>
        <v>43190</v>
      </c>
      <c r="C162" s="471"/>
      <c r="D162" s="149" t="s">
        <v>98</v>
      </c>
      <c r="E162" s="271">
        <f>'CAP POST'!G161</f>
        <v>0</v>
      </c>
      <c r="F162" s="271">
        <f t="shared" si="40"/>
        <v>0</v>
      </c>
      <c r="G162" s="216">
        <v>5.0099999999999999E-2</v>
      </c>
      <c r="H162" s="272">
        <f t="shared" si="54"/>
        <v>1.3394156589074946E-4</v>
      </c>
      <c r="I162" s="273">
        <f>IF(OR(A162=SABANA!$C$14, D162="adicional"),0,_xlfn.DAYS(B162,A162)+1)</f>
        <v>31</v>
      </c>
      <c r="J162" s="271">
        <f t="shared" si="41"/>
        <v>0</v>
      </c>
    </row>
    <row r="163" spans="1:10" x14ac:dyDescent="0.35">
      <c r="A163" s="152">
        <f>IF(
    AND(
        YEAR(B162)=YEAR(DATE(YEAR($D$1), MONTH($D$1)-1, 1)),
        MONTH(B162)=MONTH(DATE(YEAR($D$1), MONTH($D$1)-1, 1))
    ),
    $D$1,
    IF(
        $D$4="",
        DATE(YEAR(B162), MONTH(B162)+1, 1),
        IF(
            AND(
                YEAR(B162)=YEAR(DATE(YEAR($D$4), MONTH($D$4)-1, 1)),
                MONTH(B162)=MONTH(DATE(YEAR($D$4), MONTH($D$4)-1, 1))
            ),
            $D$4,
            DATE(YEAR(B162), MONTH(B162)+1, 1)
        )
    )
)</f>
        <v>43191</v>
      </c>
      <c r="B163" s="152">
        <f>IF(
AND(
YEAR(B162)=YEAR(DATE(YEAR($D$2),MONTH($D$2)-1,1)),
MONTH(B162)=MONTH(DATE(YEAR($D$2),MONTH($D$2)-1,1))
),
$D$2,
IF(
$D$3="",
EOMONTH(B162,1),
IF(
AND(
YEAR(B162)=YEAR(DATE(YEAR($D$3),MONTH($D$3)-1,1)),
MONTH(B162)=MONTH(DATE(YEAR($D$3),MONTH($D$3)-1,1))
),
$D$3,
EOMONTH(B162,1)
)))</f>
        <v>43220</v>
      </c>
      <c r="C163" s="471"/>
      <c r="D163" s="149" t="s">
        <v>99</v>
      </c>
      <c r="E163" s="271">
        <f>'CAP POST'!G162</f>
        <v>0</v>
      </c>
      <c r="F163" s="271">
        <f t="shared" si="40"/>
        <v>0</v>
      </c>
      <c r="G163" s="216">
        <v>4.9000000000000002E-2</v>
      </c>
      <c r="H163" s="272">
        <f t="shared" si="54"/>
        <v>1.3106976536825243E-4</v>
      </c>
      <c r="I163" s="273">
        <f>IF(OR(A163=SABANA!$C$14, D163="adicional"),0,_xlfn.DAYS(B163,A163)+1)</f>
        <v>30</v>
      </c>
      <c r="J163" s="271">
        <f t="shared" si="41"/>
        <v>0</v>
      </c>
    </row>
    <row r="164" spans="1:10" x14ac:dyDescent="0.35">
      <c r="A164" s="152">
        <f>IF(
    AND(
        YEAR(B163)=YEAR(DATE(YEAR($D$1), MONTH($D$1)-1, 1)),
        MONTH(B163)=MONTH(DATE(YEAR($D$1), MONTH($D$1)-1, 1))
    ),
    $D$1,
    IF(
        $D$4="",
        DATE(YEAR(B163), MONTH(B163)+1, 1),
        IF(
            AND(
                YEAR(B163)=YEAR(DATE(YEAR($D$4), MONTH($D$4)-1, 1)),
                MONTH(B163)=MONTH(DATE(YEAR($D$4), MONTH($D$4)-1, 1))
            ),
            $D$4,
            DATE(YEAR(B163), MONTH(B163)+1, 1)
        )
    )
)</f>
        <v>43221</v>
      </c>
      <c r="B164" s="152">
        <f>IF(
AND(
YEAR(B163)=YEAR(DATE(YEAR($D$2),MONTH($D$2)-1,1)),
MONTH(B163)=MONTH(DATE(YEAR($D$2),MONTH($D$2)-1,1))
),
$D$2,
IF(
$D$3="",
EOMONTH(B163,1),
IF(
AND(
YEAR(B163)=YEAR(DATE(YEAR($D$3),MONTH($D$3)-1,1)),
MONTH(B163)=MONTH(DATE(YEAR($D$3),MONTH($D$3)-1,1))
),
$D$3,
EOMONTH(B163,1)
)))</f>
        <v>43251</v>
      </c>
      <c r="C164" s="471"/>
      <c r="D164" s="149" t="s">
        <v>100</v>
      </c>
      <c r="E164" s="271">
        <f>'CAP POST'!G163</f>
        <v>0</v>
      </c>
      <c r="F164" s="271">
        <f t="shared" si="40"/>
        <v>0</v>
      </c>
      <c r="G164" s="216">
        <v>4.7E-2</v>
      </c>
      <c r="H164" s="272">
        <f t="shared" si="54"/>
        <v>1.2584060737030889E-4</v>
      </c>
      <c r="I164" s="273">
        <f>IF(OR(A164=SABANA!$C$14, D164="adicional"),0,_xlfn.DAYS(B164,A164)+1)</f>
        <v>31</v>
      </c>
      <c r="J164" s="271">
        <f t="shared" si="41"/>
        <v>0</v>
      </c>
    </row>
    <row r="165" spans="1:10" x14ac:dyDescent="0.35">
      <c r="A165" s="156">
        <f t="shared" ref="A165" si="55">A166</f>
        <v>43252</v>
      </c>
      <c r="B165" s="156">
        <f t="shared" ref="B165" si="56">B166</f>
        <v>43281</v>
      </c>
      <c r="C165" s="471"/>
      <c r="D165" s="157" t="s">
        <v>101</v>
      </c>
      <c r="E165" s="274">
        <f>'CAP POST'!G164</f>
        <v>0</v>
      </c>
      <c r="F165" s="271">
        <f t="shared" si="40"/>
        <v>0</v>
      </c>
      <c r="G165" s="275"/>
      <c r="H165" s="276"/>
      <c r="I165" s="273">
        <f>IF(OR(A165=SABANA!$C$14, D165="adicional"),0,_xlfn.DAYS(B165,A165)+1)</f>
        <v>0</v>
      </c>
      <c r="J165" s="271">
        <f t="shared" si="41"/>
        <v>0</v>
      </c>
    </row>
    <row r="166" spans="1:10" x14ac:dyDescent="0.35">
      <c r="A166" s="152">
        <f>IF(
    AND(
        YEAR(B164)=YEAR(DATE(YEAR($D$1), MONTH($D$1)-1, 1)),
        MONTH(B164)=MONTH(DATE(YEAR($D$1), MONTH($D$1)-1, 1))
    ),
    $D$1,
    IF(
        $D$4="",
        DATE(YEAR(B164), MONTH(B164)+1, 1),
        IF(
            AND(
                YEAR(B164)=YEAR(DATE(YEAR($D$4), MONTH($D$4)-1, 1)),
                MONTH(B164)=MONTH(DATE(YEAR($D$4), MONTH($D$4)-1, 1))
            ),
            $D$4,
            DATE(YEAR(B164), MONTH(B164)+1, 1)
        )
    )
)</f>
        <v>43252</v>
      </c>
      <c r="B166" s="152">
        <f>IF(
AND(
YEAR(B164)=YEAR(DATE(YEAR($D$2),MONTH($D$2)-1,1)),
MONTH(B164)=MONTH(DATE(YEAR($D$2),MONTH($D$2)-1,1))
),
$D$2,
IF(
$D$3="",
EOMONTH(B164,1),
IF(
AND(
YEAR(B164)=YEAR(DATE(YEAR($D$3),MONTH($D$3)-1,1)),
MONTH(B164)=MONTH(DATE(YEAR($D$3),MONTH($D$3)-1,1))
),
$D$3,
EOMONTH(B164,1)
)))</f>
        <v>43281</v>
      </c>
      <c r="C166" s="471"/>
      <c r="D166" s="149" t="s">
        <v>102</v>
      </c>
      <c r="E166" s="271">
        <f>'CAP POST'!G165</f>
        <v>0</v>
      </c>
      <c r="F166" s="271">
        <f t="shared" si="40"/>
        <v>0</v>
      </c>
      <c r="G166" s="216">
        <v>4.5999999999999999E-2</v>
      </c>
      <c r="H166" s="272">
        <f>((1+G166)^(1/365)-1)</f>
        <v>1.2322229163408416E-4</v>
      </c>
      <c r="I166" s="273">
        <f>IF(OR(A166=SABANA!$C$14, D166="adicional"),0,_xlfn.DAYS(B166,A166)+1)</f>
        <v>30</v>
      </c>
      <c r="J166" s="271">
        <f t="shared" ref="J166" si="57">IF(AND(OR(A166&gt;=$D$4,B166&lt;=$D$3), AND(A165&gt;=$D$1,B165&lt;$D$2)),(F164*I166*H166),0)</f>
        <v>0</v>
      </c>
    </row>
    <row r="167" spans="1:10" x14ac:dyDescent="0.35">
      <c r="A167" s="152">
        <f>IF(
    AND(
        YEAR(B166)=YEAR(DATE(YEAR($D$1), MONTH($D$1)-1, 1)),
        MONTH(B166)=MONTH(DATE(YEAR($D$1), MONTH($D$1)-1, 1))
    ),
    $D$1,
    IF(
        $D$4="",
        DATE(YEAR(B166), MONTH(B166)+1, 1),
        IF(
            AND(
                YEAR(B166)=YEAR(DATE(YEAR($D$4), MONTH($D$4)-1, 1)),
                MONTH(B166)=MONTH(DATE(YEAR($D$4), MONTH($D$4)-1, 1))
            ),
            $D$4,
            DATE(YEAR(B166), MONTH(B166)+1, 1)
        )
    )
)</f>
        <v>43282</v>
      </c>
      <c r="B167" s="152">
        <f>IF(
AND(
YEAR(B166)=YEAR(DATE(YEAR($D$2),MONTH($D$2)-1,1)),
MONTH(B166)=MONTH(DATE(YEAR($D$2),MONTH($D$2)-1,1))
),
$D$2,
IF(
$D$3="",
EOMONTH(B166,1),
IF(
AND(
YEAR(B166)=YEAR(DATE(YEAR($D$3),MONTH($D$3)-1,1)),
MONTH(B166)=MONTH(DATE(YEAR($D$3),MONTH($D$3)-1,1))
),
$D$3,
EOMONTH(B166,1)
)))</f>
        <v>43312</v>
      </c>
      <c r="C167" s="471"/>
      <c r="D167" s="149" t="s">
        <v>103</v>
      </c>
      <c r="E167" s="271">
        <f>'CAP POST'!G166</f>
        <v>0</v>
      </c>
      <c r="F167" s="271">
        <f t="shared" si="40"/>
        <v>0</v>
      </c>
      <c r="G167" s="216">
        <v>4.5699999999999998E-2</v>
      </c>
      <c r="H167" s="272">
        <f t="shared" si="54"/>
        <v>1.2243631011710221E-4</v>
      </c>
      <c r="I167" s="273">
        <f>IF(OR(A167=SABANA!$C$14, D167="adicional"),0,_xlfn.DAYS(B167,A167)+1)</f>
        <v>31</v>
      </c>
      <c r="J167" s="271">
        <f t="shared" si="41"/>
        <v>0</v>
      </c>
    </row>
    <row r="168" spans="1:10" x14ac:dyDescent="0.35">
      <c r="A168" s="152">
        <f>IF(
    AND(
        YEAR(B167)=YEAR(DATE(YEAR($D$1), MONTH($D$1)-1, 1)),
        MONTH(B167)=MONTH(DATE(YEAR($D$1), MONTH($D$1)-1, 1))
    ),
    $D$1,
    IF(
        $D$4="",
        DATE(YEAR(B167), MONTH(B167)+1, 1),
        IF(
            AND(
                YEAR(B167)=YEAR(DATE(YEAR($D$4), MONTH($D$4)-1, 1)),
                MONTH(B167)=MONTH(DATE(YEAR($D$4), MONTH($D$4)-1, 1))
            ),
            $D$4,
            DATE(YEAR(B167), MONTH(B167)+1, 1)
        )
    )
)</f>
        <v>43313</v>
      </c>
      <c r="B168" s="152">
        <f>IF(
AND(
YEAR(B167)=YEAR(DATE(YEAR($D$2),MONTH($D$2)-1,1)),
MONTH(B167)=MONTH(DATE(YEAR($D$2),MONTH($D$2)-1,1))
),
$D$2,
IF(
$D$3="",
EOMONTH(B167,1),
IF(
AND(
YEAR(B167)=YEAR(DATE(YEAR($D$3),MONTH($D$3)-1,1)),
MONTH(B167)=MONTH(DATE(YEAR($D$3),MONTH($D$3)-1,1))
),
$D$3,
EOMONTH(B167,1)
)))</f>
        <v>43343</v>
      </c>
      <c r="C168" s="471"/>
      <c r="D168" s="149" t="s">
        <v>104</v>
      </c>
      <c r="E168" s="271">
        <f>'CAP POST'!G167</f>
        <v>0</v>
      </c>
      <c r="F168" s="271">
        <f t="shared" si="40"/>
        <v>0</v>
      </c>
      <c r="G168" s="216">
        <v>4.53E-2</v>
      </c>
      <c r="H168" s="272">
        <f t="shared" si="54"/>
        <v>1.2138798488825486E-4</v>
      </c>
      <c r="I168" s="273">
        <f>IF(OR(A168=SABANA!$C$14, D168="adicional"),0,_xlfn.DAYS(B168,A168)+1)</f>
        <v>31</v>
      </c>
      <c r="J168" s="271">
        <f t="shared" si="41"/>
        <v>0</v>
      </c>
    </row>
    <row r="169" spans="1:10" x14ac:dyDescent="0.35">
      <c r="A169" s="152">
        <f>IF(
    AND(
        YEAR(B168)=YEAR(DATE(YEAR($D$1), MONTH($D$1)-1, 1)),
        MONTH(B168)=MONTH(DATE(YEAR($D$1), MONTH($D$1)-1, 1))
    ),
    $D$1,
    IF(
        $D$4="",
        DATE(YEAR(B168), MONTH(B168)+1, 1),
        IF(
            AND(
                YEAR(B168)=YEAR(DATE(YEAR($D$4), MONTH($D$4)-1, 1)),
                MONTH(B168)=MONTH(DATE(YEAR($D$4), MONTH($D$4)-1, 1))
            ),
            $D$4,
            DATE(YEAR(B168), MONTH(B168)+1, 1)
        )
    )
)</f>
        <v>43344</v>
      </c>
      <c r="B169" s="152">
        <f>IF(
AND(
YEAR(B168)=YEAR(DATE(YEAR($D$2),MONTH($D$2)-1,1)),
MONTH(B168)=MONTH(DATE(YEAR($D$2),MONTH($D$2)-1,1))
),
$D$2,
IF(
$D$3="",
EOMONTH(B168,1),
IF(
AND(
YEAR(B168)=YEAR(DATE(YEAR($D$3),MONTH($D$3)-1,1)),
MONTH(B168)=MONTH(DATE(YEAR($D$3),MONTH($D$3)-1,1))
),
$D$3,
EOMONTH(B168,1)
)))</f>
        <v>43373</v>
      </c>
      <c r="C169" s="471"/>
      <c r="D169" s="149" t="s">
        <v>105</v>
      </c>
      <c r="E169" s="271">
        <f>'CAP POST'!G168</f>
        <v>0</v>
      </c>
      <c r="F169" s="271">
        <f t="shared" si="40"/>
        <v>0</v>
      </c>
      <c r="G169" s="216">
        <v>4.53E-2</v>
      </c>
      <c r="H169" s="272">
        <f t="shared" si="54"/>
        <v>1.2138798488825486E-4</v>
      </c>
      <c r="I169" s="273">
        <f>IF(OR(A169=SABANA!$C$14, D169="adicional"),0,_xlfn.DAYS(B169,A169)+1)</f>
        <v>30</v>
      </c>
      <c r="J169" s="271">
        <f t="shared" si="41"/>
        <v>0</v>
      </c>
    </row>
    <row r="170" spans="1:10" x14ac:dyDescent="0.35">
      <c r="A170" s="152">
        <f>IF(
    AND(
        YEAR(B169)=YEAR(DATE(YEAR($D$1), MONTH($D$1)-1, 1)),
        MONTH(B169)=MONTH(DATE(YEAR($D$1), MONTH($D$1)-1, 1))
    ),
    $D$1,
    IF(
        $D$4="",
        DATE(YEAR(B169), MONTH(B169)+1, 1),
        IF(
            AND(
                YEAR(B169)=YEAR(DATE(YEAR($D$4), MONTH($D$4)-1, 1)),
                MONTH(B169)=MONTH(DATE(YEAR($D$4), MONTH($D$4)-1, 1))
            ),
            $D$4,
            DATE(YEAR(B169), MONTH(B169)+1, 1)
        )
    )
)</f>
        <v>43374</v>
      </c>
      <c r="B170" s="152">
        <f>IF(
AND(
YEAR(B169)=YEAR(DATE(YEAR($D$2),MONTH($D$2)-1,1)),
MONTH(B169)=MONTH(DATE(YEAR($D$2),MONTH($D$2)-1,1))
),
$D$2,
IF(
$D$3="",
EOMONTH(B169,1),
IF(
AND(
YEAR(B169)=YEAR(DATE(YEAR($D$3),MONTH($D$3)-1,1)),
MONTH(B169)=MONTH(DATE(YEAR($D$3),MONTH($D$3)-1,1))
),
$D$3,
EOMONTH(B169,1)
)))</f>
        <v>43404</v>
      </c>
      <c r="C170" s="471"/>
      <c r="D170" s="149" t="s">
        <v>106</v>
      </c>
      <c r="E170" s="271">
        <f>'CAP POST'!G169</f>
        <v>0</v>
      </c>
      <c r="F170" s="271">
        <f t="shared" si="40"/>
        <v>0</v>
      </c>
      <c r="G170" s="216">
        <v>4.4299999999999999E-2</v>
      </c>
      <c r="H170" s="272">
        <f t="shared" si="54"/>
        <v>1.187654205565547E-4</v>
      </c>
      <c r="I170" s="273">
        <f>IF(OR(A170=SABANA!$C$14, D170="adicional"),0,_xlfn.DAYS(B170,A170)+1)</f>
        <v>31</v>
      </c>
      <c r="J170" s="271">
        <f t="shared" si="41"/>
        <v>0</v>
      </c>
    </row>
    <row r="171" spans="1:10" x14ac:dyDescent="0.35">
      <c r="A171" s="152">
        <f>IF(
    AND(
        YEAR(B170)=YEAR(DATE(YEAR($D$1), MONTH($D$1)-1, 1)),
        MONTH(B170)=MONTH(DATE(YEAR($D$1), MONTH($D$1)-1, 1))
    ),
    $D$1,
    IF(
        $D$4="",
        DATE(YEAR(B170), MONTH(B170)+1, 1),
        IF(
            AND(
                YEAR(B170)=YEAR(DATE(YEAR($D$4), MONTH($D$4)-1, 1)),
                MONTH(B170)=MONTH(DATE(YEAR($D$4), MONTH($D$4)-1, 1))
            ),
            $D$4,
            DATE(YEAR(B170), MONTH(B170)+1, 1)
        )
    )
)</f>
        <v>43405</v>
      </c>
      <c r="B171" s="152">
        <f>IF(
AND(
YEAR(B170)=YEAR(DATE(YEAR($D$2),MONTH($D$2)-1,1)),
MONTH(B170)=MONTH(DATE(YEAR($D$2),MONTH($D$2)-1,1))
),
$D$2,
IF(
$D$3="",
EOMONTH(B170,1),
IF(
AND(
YEAR(B170)=YEAR(DATE(YEAR($D$3),MONTH($D$3)-1,1)),
MONTH(B170)=MONTH(DATE(YEAR($D$3),MONTH($D$3)-1,1))
),
$D$3,
EOMONTH(B170,1)
)))</f>
        <v>43434</v>
      </c>
      <c r="C171" s="471"/>
      <c r="D171" s="149" t="s">
        <v>107</v>
      </c>
      <c r="E171" s="271">
        <f>'CAP POST'!G170</f>
        <v>0</v>
      </c>
      <c r="F171" s="271">
        <f t="shared" si="40"/>
        <v>0</v>
      </c>
      <c r="G171" s="216">
        <v>4.4200000000000003E-2</v>
      </c>
      <c r="H171" s="272">
        <f t="shared" si="54"/>
        <v>1.185030263928244E-4</v>
      </c>
      <c r="I171" s="273">
        <f>IF(OR(A171=SABANA!$C$14, D171="adicional"),0,_xlfn.DAYS(B171,A171)+1)</f>
        <v>30</v>
      </c>
      <c r="J171" s="271">
        <f t="shared" si="41"/>
        <v>0</v>
      </c>
    </row>
    <row r="172" spans="1:10" x14ac:dyDescent="0.35">
      <c r="A172" s="156">
        <f t="shared" ref="A172" si="58">A171</f>
        <v>43405</v>
      </c>
      <c r="B172" s="156">
        <f t="shared" ref="B172" si="59">B171</f>
        <v>43434</v>
      </c>
      <c r="C172" s="471"/>
      <c r="D172" s="157" t="s">
        <v>101</v>
      </c>
      <c r="E172" s="274">
        <f>'CAP POST'!G171</f>
        <v>0</v>
      </c>
      <c r="F172" s="271">
        <f t="shared" si="40"/>
        <v>0</v>
      </c>
      <c r="G172" s="275"/>
      <c r="H172" s="276"/>
      <c r="I172" s="273">
        <f>IF(OR(A172=SABANA!$C$14, D172="adicional"),0,_xlfn.DAYS(B172,A172)+1)</f>
        <v>0</v>
      </c>
      <c r="J172" s="271">
        <f t="shared" si="41"/>
        <v>0</v>
      </c>
    </row>
    <row r="173" spans="1:10" x14ac:dyDescent="0.35">
      <c r="A173" s="152">
        <f>IF(
    AND(
        YEAR(B171)=YEAR(DATE(YEAR($D$1), MONTH($D$1)-1, 1)),
        MONTH(B171)=MONTH(DATE(YEAR($D$1), MONTH($D$1)-1, 1))
    ),
    $D$1,
    IF(
        $D$4="",
        DATE(YEAR(B171), MONTH(B171)+1, 1),
        IF(
            AND(
                YEAR(B171)=YEAR(DATE(YEAR($D$4), MONTH($D$4)-1, 1)),
                MONTH(B171)=MONTH(DATE(YEAR($D$4), MONTH($D$4)-1, 1))
            ),
            $D$4,
            DATE(YEAR(B171), MONTH(B171)+1, 1)
        )
    )
)</f>
        <v>43435</v>
      </c>
      <c r="B173" s="152">
        <f>IF(
AND(
YEAR(B171)=YEAR(DATE(YEAR($D$2),MONTH($D$2)-1,1)),
MONTH(B171)=MONTH(DATE(YEAR($D$2),MONTH($D$2)-1,1))
),
$D$2,
IF(
$D$3="",
EOMONTH(B171,1),
IF(
AND(
YEAR(B171)=YEAR(DATE(YEAR($D$3),MONTH($D$3)-1,1)),
MONTH(B171)=MONTH(DATE(YEAR($D$3),MONTH($D$3)-1,1))
),
$D$3,
EOMONTH(B171,1)
)))</f>
        <v>43465</v>
      </c>
      <c r="C173" s="472"/>
      <c r="D173" s="149" t="s">
        <v>108</v>
      </c>
      <c r="E173" s="271">
        <f>'CAP POST'!G172</f>
        <v>0</v>
      </c>
      <c r="F173" s="271">
        <f t="shared" si="40"/>
        <v>0</v>
      </c>
      <c r="G173" s="216">
        <v>4.5400000000000003E-2</v>
      </c>
      <c r="H173" s="272">
        <f t="shared" si="54"/>
        <v>1.2165010369624696E-4</v>
      </c>
      <c r="I173" s="273">
        <f>IF(OR(A173=SABANA!$C$14, D173="adicional"),0,_xlfn.DAYS(B173,A173)+1)</f>
        <v>31</v>
      </c>
      <c r="J173" s="271">
        <f t="shared" ref="J173" si="60">IF(AND(OR(A173&gt;=$D$4,B173&lt;=$D$3), AND(A172&gt;=$D$1,B172&lt;$D$2)),(F171*I173*H173),0)</f>
        <v>0</v>
      </c>
    </row>
    <row r="174" spans="1:10" x14ac:dyDescent="0.35">
      <c r="A174" s="152">
        <f>IF(
    AND(
        YEAR(B173)=YEAR(DATE(YEAR($D$1), MONTH($D$1)-1, 1)),
        MONTH(B173)=MONTH(DATE(YEAR($D$1), MONTH($D$1)-1, 1))
    ),
    $D$1,
    IF(
        $D$4="",
        DATE(YEAR(B173), MONTH(B173)+1, 1),
        IF(
            AND(
                YEAR(B173)=YEAR(DATE(YEAR($D$4), MONTH($D$4)-1, 1)),
                MONTH(B173)=MONTH(DATE(YEAR($D$4), MONTH($D$4)-1, 1))
            ),
            $D$4,
            DATE(YEAR(B173), MONTH(B173)+1, 1)
        )
    )
)</f>
        <v>43466</v>
      </c>
      <c r="B174" s="152">
        <f>IF(
AND(
YEAR(B173)=YEAR(DATE(YEAR($D$2),MONTH($D$2)-1,1)),
MONTH(B173)=MONTH(DATE(YEAR($D$2),MONTH($D$2)-1,1))
),
$D$2,
IF(
$D$3="",
EOMONTH(B173,1),
IF(
AND(
YEAR(B173)=YEAR(DATE(YEAR($D$3),MONTH($D$3)-1,1)),
MONTH(B173)=MONTH(DATE(YEAR($D$3),MONTH($D$3)-1,1))
),
$D$3,
EOMONTH(B173,1)
)))</f>
        <v>43496</v>
      </c>
      <c r="C174" s="468">
        <v>2019</v>
      </c>
      <c r="D174" s="149" t="s">
        <v>96</v>
      </c>
      <c r="E174" s="271">
        <f>'CAP POST'!G173</f>
        <v>0</v>
      </c>
      <c r="F174" s="271">
        <f t="shared" si="40"/>
        <v>0</v>
      </c>
      <c r="G174" s="216">
        <v>4.5600000000000002E-2</v>
      </c>
      <c r="H174" s="272">
        <f t="shared" si="54"/>
        <v>1.2217426630578565E-4</v>
      </c>
      <c r="I174" s="273">
        <f>IF(OR(A174=SABANA!$C$14, D174="adicional"),0,_xlfn.DAYS(B174,A174)+1)</f>
        <v>31</v>
      </c>
      <c r="J174" s="271">
        <f t="shared" si="41"/>
        <v>0</v>
      </c>
    </row>
    <row r="175" spans="1:10" x14ac:dyDescent="0.35">
      <c r="A175" s="152">
        <f>IF(
    AND(
        YEAR(B174)=YEAR(DATE(YEAR($D$1), MONTH($D$1)-1, 1)),
        MONTH(B174)=MONTH(DATE(YEAR($D$1), MONTH($D$1)-1, 1))
    ),
    $D$1,
    IF(
        $D$4="",
        DATE(YEAR(B174), MONTH(B174)+1, 1),
        IF(
            AND(
                YEAR(B174)=YEAR(DATE(YEAR($D$4), MONTH($D$4)-1, 1)),
                MONTH(B174)=MONTH(DATE(YEAR($D$4), MONTH($D$4)-1, 1))
            ),
            $D$4,
            DATE(YEAR(B174), MONTH(B174)+1, 1)
        )
    )
)</f>
        <v>43497</v>
      </c>
      <c r="B175" s="152">
        <f>IF(
AND(
YEAR(B174)=YEAR(DATE(YEAR($D$2),MONTH($D$2)-1,1)),
MONTH(B174)=MONTH(DATE(YEAR($D$2),MONTH($D$2)-1,1))
),
$D$2,
IF(
$D$3="",
EOMONTH(B174,1),
IF(
AND(
YEAR(B174)=YEAR(DATE(YEAR($D$3),MONTH($D$3)-1,1)),
MONTH(B174)=MONTH(DATE(YEAR($D$3),MONTH($D$3)-1,1))
),
$D$3,
EOMONTH(B174,1)
)))</f>
        <v>43524</v>
      </c>
      <c r="C175" s="471"/>
      <c r="D175" s="149" t="s">
        <v>97</v>
      </c>
      <c r="E175" s="271">
        <f>'CAP POST'!G174</f>
        <v>0</v>
      </c>
      <c r="F175" s="271">
        <f t="shared" si="40"/>
        <v>0</v>
      </c>
      <c r="G175" s="216">
        <v>4.5699999999999998E-2</v>
      </c>
      <c r="H175" s="272">
        <f t="shared" si="54"/>
        <v>1.2243631011710221E-4</v>
      </c>
      <c r="I175" s="273">
        <f>IF(OR(A175=SABANA!$C$14, D175="adicional"),0,_xlfn.DAYS(B175,A175)+1)</f>
        <v>28</v>
      </c>
      <c r="J175" s="271">
        <f t="shared" si="41"/>
        <v>0</v>
      </c>
    </row>
    <row r="176" spans="1:10" x14ac:dyDescent="0.35">
      <c r="A176" s="152">
        <f>IF(
    AND(
        YEAR(B175)=YEAR(DATE(YEAR($D$1), MONTH($D$1)-1, 1)),
        MONTH(B175)=MONTH(DATE(YEAR($D$1), MONTH($D$1)-1, 1))
    ),
    $D$1,
    IF(
        $D$4="",
        DATE(YEAR(B175), MONTH(B175)+1, 1),
        IF(
            AND(
                YEAR(B175)=YEAR(DATE(YEAR($D$4), MONTH($D$4)-1, 1)),
                MONTH(B175)=MONTH(DATE(YEAR($D$4), MONTH($D$4)-1, 1))
            ),
            $D$4,
            DATE(YEAR(B175), MONTH(B175)+1, 1)
        )
    )
)</f>
        <v>43525</v>
      </c>
      <c r="B176" s="152">
        <f>IF(
AND(
YEAR(B175)=YEAR(DATE(YEAR($D$2),MONTH($D$2)-1,1)),
MONTH(B175)=MONTH(DATE(YEAR($D$2),MONTH($D$2)-1,1))
),
$D$2,
IF(
$D$3="",
EOMONTH(B175,1),
IF(
AND(
YEAR(B175)=YEAR(DATE(YEAR($D$3),MONTH($D$3)-1,1)),
MONTH(B175)=MONTH(DATE(YEAR($D$3),MONTH($D$3)-1,1))
),
$D$3,
EOMONTH(B175,1)
)))</f>
        <v>43555</v>
      </c>
      <c r="C176" s="471"/>
      <c r="D176" s="149" t="s">
        <v>98</v>
      </c>
      <c r="E176" s="271">
        <f>'CAP POST'!G175</f>
        <v>0</v>
      </c>
      <c r="F176" s="271">
        <f t="shared" si="40"/>
        <v>0</v>
      </c>
      <c r="G176" s="216">
        <v>4.5499999999999999E-2</v>
      </c>
      <c r="H176" s="272">
        <f t="shared" si="54"/>
        <v>1.2191219750046223E-4</v>
      </c>
      <c r="I176" s="273">
        <f>IF(OR(A176=SABANA!$C$14, D176="adicional"),0,_xlfn.DAYS(B176,A176)+1)</f>
        <v>31</v>
      </c>
      <c r="J176" s="271">
        <f t="shared" si="41"/>
        <v>0</v>
      </c>
    </row>
    <row r="177" spans="1:10" x14ac:dyDescent="0.35">
      <c r="A177" s="152">
        <f>IF(
    AND(
        YEAR(B176)=YEAR(DATE(YEAR($D$1), MONTH($D$1)-1, 1)),
        MONTH(B176)=MONTH(DATE(YEAR($D$1), MONTH($D$1)-1, 1))
    ),
    $D$1,
    IF(
        $D$4="",
        DATE(YEAR(B176), MONTH(B176)+1, 1),
        IF(
            AND(
                YEAR(B176)=YEAR(DATE(YEAR($D$4), MONTH($D$4)-1, 1)),
                MONTH(B176)=MONTH(DATE(YEAR($D$4), MONTH($D$4)-1, 1))
            ),
            $D$4,
            DATE(YEAR(B176), MONTH(B176)+1, 1)
        )
    )
)</f>
        <v>43556</v>
      </c>
      <c r="B177" s="152">
        <f>IF(
AND(
YEAR(B176)=YEAR(DATE(YEAR($D$2),MONTH($D$2)-1,1)),
MONTH(B176)=MONTH(DATE(YEAR($D$2),MONTH($D$2)-1,1))
),
$D$2,
IF(
$D$3="",
EOMONTH(B176,1),
IF(
AND(
YEAR(B176)=YEAR(DATE(YEAR($D$3),MONTH($D$3)-1,1)),
MONTH(B176)=MONTH(DATE(YEAR($D$3),MONTH($D$3)-1,1))
),
$D$3,
EOMONTH(B176,1)
)))</f>
        <v>43585</v>
      </c>
      <c r="C177" s="471"/>
      <c r="D177" s="149" t="s">
        <v>99</v>
      </c>
      <c r="E177" s="271">
        <f>'CAP POST'!G176</f>
        <v>0</v>
      </c>
      <c r="F177" s="271">
        <f t="shared" si="40"/>
        <v>0</v>
      </c>
      <c r="G177" s="216">
        <v>4.5400000000000003E-2</v>
      </c>
      <c r="H177" s="272">
        <f t="shared" si="54"/>
        <v>1.2165010369624696E-4</v>
      </c>
      <c r="I177" s="273">
        <f>IF(OR(A177=SABANA!$C$14, D177="adicional"),0,_xlfn.DAYS(B177,A177)+1)</f>
        <v>30</v>
      </c>
      <c r="J177" s="271">
        <f t="shared" si="41"/>
        <v>0</v>
      </c>
    </row>
    <row r="178" spans="1:10" x14ac:dyDescent="0.35">
      <c r="A178" s="152">
        <f>IF(
    AND(
        YEAR(B177)=YEAR(DATE(YEAR($D$1), MONTH($D$1)-1, 1)),
        MONTH(B177)=MONTH(DATE(YEAR($D$1), MONTH($D$1)-1, 1))
    ),
    $D$1,
    IF(
        $D$4="",
        DATE(YEAR(B177), MONTH(B177)+1, 1),
        IF(
            AND(
                YEAR(B177)=YEAR(DATE(YEAR($D$4), MONTH($D$4)-1, 1)),
                MONTH(B177)=MONTH(DATE(YEAR($D$4), MONTH($D$4)-1, 1))
            ),
            $D$4,
            DATE(YEAR(B177), MONTH(B177)+1, 1)
        )
    )
)</f>
        <v>43586</v>
      </c>
      <c r="B178" s="152">
        <f>IF(
AND(
YEAR(B177)=YEAR(DATE(YEAR($D$2),MONTH($D$2)-1,1)),
MONTH(B177)=MONTH(DATE(YEAR($D$2),MONTH($D$2)-1,1))
),
$D$2,
IF(
$D$3="",
EOMONTH(B177,1),
IF(
AND(
YEAR(B177)=YEAR(DATE(YEAR($D$3),MONTH($D$3)-1,1)),
MONTH(B177)=MONTH(DATE(YEAR($D$3),MONTH($D$3)-1,1))
),
$D$3,
EOMONTH(B177,1)
)))</f>
        <v>43616</v>
      </c>
      <c r="C178" s="471"/>
      <c r="D178" s="149" t="s">
        <v>100</v>
      </c>
      <c r="E178" s="271">
        <f>'CAP POST'!G177</f>
        <v>0</v>
      </c>
      <c r="F178" s="271">
        <f t="shared" si="40"/>
        <v>0</v>
      </c>
      <c r="G178" s="216">
        <v>4.4999999999999998E-2</v>
      </c>
      <c r="H178" s="272">
        <f t="shared" si="54"/>
        <v>1.2060147839498825E-4</v>
      </c>
      <c r="I178" s="273">
        <f>IF(OR(A178=SABANA!$C$14, D178="adicional"),0,_xlfn.DAYS(B178,A178)+1)</f>
        <v>31</v>
      </c>
      <c r="J178" s="271">
        <f t="shared" si="41"/>
        <v>0</v>
      </c>
    </row>
    <row r="179" spans="1:10" x14ac:dyDescent="0.35">
      <c r="A179" s="156">
        <f t="shared" ref="A179" si="61">A180</f>
        <v>43617</v>
      </c>
      <c r="B179" s="156">
        <f t="shared" ref="B179" si="62">B180</f>
        <v>43646</v>
      </c>
      <c r="C179" s="471"/>
      <c r="D179" s="157" t="s">
        <v>101</v>
      </c>
      <c r="E179" s="274">
        <f>'CAP POST'!G178</f>
        <v>0</v>
      </c>
      <c r="F179" s="271">
        <f t="shared" si="40"/>
        <v>0</v>
      </c>
      <c r="G179" s="275"/>
      <c r="H179" s="276"/>
      <c r="I179" s="273">
        <f>IF(OR(A179=SABANA!$C$14, D179="adicional"),0,_xlfn.DAYS(B179,A179)+1)</f>
        <v>0</v>
      </c>
      <c r="J179" s="271">
        <f t="shared" si="41"/>
        <v>0</v>
      </c>
    </row>
    <row r="180" spans="1:10" x14ac:dyDescent="0.35">
      <c r="A180" s="152">
        <f>IF(
    AND(
        YEAR(B178)=YEAR(DATE(YEAR($D$1), MONTH($D$1)-1, 1)),
        MONTH(B178)=MONTH(DATE(YEAR($D$1), MONTH($D$1)-1, 1))
    ),
    $D$1,
    IF(
        $D$4="",
        DATE(YEAR(B178), MONTH(B178)+1, 1),
        IF(
            AND(
                YEAR(B178)=YEAR(DATE(YEAR($D$4), MONTH($D$4)-1, 1)),
                MONTH(B178)=MONTH(DATE(YEAR($D$4), MONTH($D$4)-1, 1))
            ),
            $D$4,
            DATE(YEAR(B178), MONTH(B178)+1, 1)
        )
    )
)</f>
        <v>43617</v>
      </c>
      <c r="B180" s="152">
        <f>IF(
AND(
YEAR(B178)=YEAR(DATE(YEAR($D$2),MONTH($D$2)-1,1)),
MONTH(B178)=MONTH(DATE(YEAR($D$2),MONTH($D$2)-1,1))
),
$D$2,
IF(
$D$3="",
EOMONTH(B178,1),
IF(
AND(
YEAR(B178)=YEAR(DATE(YEAR($D$3),MONTH($D$3)-1,1)),
MONTH(B178)=MONTH(DATE(YEAR($D$3),MONTH($D$3)-1,1))
),
$D$3,
EOMONTH(B178,1)
)))</f>
        <v>43646</v>
      </c>
      <c r="C180" s="471"/>
      <c r="D180" s="149" t="s">
        <v>102</v>
      </c>
      <c r="E180" s="271">
        <f>'CAP POST'!G179</f>
        <v>0</v>
      </c>
      <c r="F180" s="271">
        <f t="shared" si="40"/>
        <v>0</v>
      </c>
      <c r="G180" s="216">
        <v>4.5199999999999997E-2</v>
      </c>
      <c r="H180" s="272">
        <f>((1+G180)^(1/365)-1)</f>
        <v>1.2112584107204505E-4</v>
      </c>
      <c r="I180" s="273">
        <f>IF(OR(A180=SABANA!$C$14, D180="adicional"),0,_xlfn.DAYS(B180,A180)+1)</f>
        <v>30</v>
      </c>
      <c r="J180" s="271">
        <f t="shared" ref="J180" si="63">IF(AND(OR(A180&gt;=$D$4,B180&lt;=$D$3), AND(A179&gt;=$D$1,B179&lt;$D$2)),(F178*I180*H180),0)</f>
        <v>0</v>
      </c>
    </row>
    <row r="181" spans="1:10" x14ac:dyDescent="0.35">
      <c r="A181" s="152">
        <f>IF(
    AND(
        YEAR(B180)=YEAR(DATE(YEAR($D$1), MONTH($D$1)-1, 1)),
        MONTH(B180)=MONTH(DATE(YEAR($D$1), MONTH($D$1)-1, 1))
    ),
    $D$1,
    IF(
        $D$4="",
        DATE(YEAR(B180), MONTH(B180)+1, 1),
        IF(
            AND(
                YEAR(B180)=YEAR(DATE(YEAR($D$4), MONTH($D$4)-1, 1)),
                MONTH(B180)=MONTH(DATE(YEAR($D$4), MONTH($D$4)-1, 1))
            ),
            $D$4,
            DATE(YEAR(B180), MONTH(B180)+1, 1)
        )
    )
)</f>
        <v>43647</v>
      </c>
      <c r="B181" s="152">
        <f>IF(
AND(
YEAR(B180)=YEAR(DATE(YEAR($D$2),MONTH($D$2)-1,1)),
MONTH(B180)=MONTH(DATE(YEAR($D$2),MONTH($D$2)-1,1))
),
$D$2,
IF(
$D$3="",
EOMONTH(B180,1),
IF(
AND(
YEAR(B180)=YEAR(DATE(YEAR($D$3),MONTH($D$3)-1,1)),
MONTH(B180)=MONTH(DATE(YEAR($D$3),MONTH($D$3)-1,1))
),
$D$3,
EOMONTH(B180,1)
)))</f>
        <v>43677</v>
      </c>
      <c r="C181" s="471"/>
      <c r="D181" s="149" t="s">
        <v>103</v>
      </c>
      <c r="E181" s="271">
        <f>'CAP POST'!G180</f>
        <v>0</v>
      </c>
      <c r="F181" s="271">
        <f t="shared" si="40"/>
        <v>0</v>
      </c>
      <c r="G181" s="216">
        <v>4.4699999999999997E-2</v>
      </c>
      <c r="H181" s="272">
        <f t="shared" si="54"/>
        <v>1.198147466965338E-4</v>
      </c>
      <c r="I181" s="273">
        <f>IF(OR(A181=SABANA!$C$14, D181="adicional"),0,_xlfn.DAYS(B181,A181)+1)</f>
        <v>31</v>
      </c>
      <c r="J181" s="271">
        <f t="shared" si="41"/>
        <v>0</v>
      </c>
    </row>
    <row r="182" spans="1:10" x14ac:dyDescent="0.35">
      <c r="A182" s="152">
        <f>IF(
    AND(
        YEAR(B181)=YEAR(DATE(YEAR($D$1), MONTH($D$1)-1, 1)),
        MONTH(B181)=MONTH(DATE(YEAR($D$1), MONTH($D$1)-1, 1))
    ),
    $D$1,
    IF(
        $D$4="",
        DATE(YEAR(B181), MONTH(B181)+1, 1),
        IF(
            AND(
                YEAR(B181)=YEAR(DATE(YEAR($D$4), MONTH($D$4)-1, 1)),
                MONTH(B181)=MONTH(DATE(YEAR($D$4), MONTH($D$4)-1, 1))
            ),
            $D$4,
            DATE(YEAR(B181), MONTH(B181)+1, 1)
        )
    )
)</f>
        <v>43678</v>
      </c>
      <c r="B182" s="152">
        <f>IF(
AND(
YEAR(B181)=YEAR(DATE(YEAR($D$2),MONTH($D$2)-1,1)),
MONTH(B181)=MONTH(DATE(YEAR($D$2),MONTH($D$2)-1,1))
),
$D$2,
IF(
$D$3="",
EOMONTH(B181,1),
IF(
AND(
YEAR(B181)=YEAR(DATE(YEAR($D$3),MONTH($D$3)-1,1)),
MONTH(B181)=MONTH(DATE(YEAR($D$3),MONTH($D$3)-1,1))
),
$D$3,
EOMONTH(B181,1)
)))</f>
        <v>43708</v>
      </c>
      <c r="C182" s="471"/>
      <c r="D182" s="149" t="s">
        <v>104</v>
      </c>
      <c r="E182" s="271">
        <f>'CAP POST'!G181</f>
        <v>0</v>
      </c>
      <c r="F182" s="271">
        <f t="shared" si="40"/>
        <v>0</v>
      </c>
      <c r="G182" s="216">
        <v>4.4299999999999999E-2</v>
      </c>
      <c r="H182" s="272">
        <f t="shared" si="54"/>
        <v>1.187654205565547E-4</v>
      </c>
      <c r="I182" s="273">
        <f>IF(OR(A182=SABANA!$C$14, D182="adicional"),0,_xlfn.DAYS(B182,A182)+1)</f>
        <v>31</v>
      </c>
      <c r="J182" s="271">
        <f t="shared" si="41"/>
        <v>0</v>
      </c>
    </row>
    <row r="183" spans="1:10" x14ac:dyDescent="0.35">
      <c r="A183" s="152">
        <f>IF(
    AND(
        YEAR(B182)=YEAR(DATE(YEAR($D$1), MONTH($D$1)-1, 1)),
        MONTH(B182)=MONTH(DATE(YEAR($D$1), MONTH($D$1)-1, 1))
    ),
    $D$1,
    IF(
        $D$4="",
        DATE(YEAR(B182), MONTH(B182)+1, 1),
        IF(
            AND(
                YEAR(B182)=YEAR(DATE(YEAR($D$4), MONTH($D$4)-1, 1)),
                MONTH(B182)=MONTH(DATE(YEAR($D$4), MONTH($D$4)-1, 1))
            ),
            $D$4,
            DATE(YEAR(B182), MONTH(B182)+1, 1)
        )
    )
)</f>
        <v>43709</v>
      </c>
      <c r="B183" s="152">
        <f>IF(
AND(
YEAR(B182)=YEAR(DATE(YEAR($D$2),MONTH($D$2)-1,1)),
MONTH(B182)=MONTH(DATE(YEAR($D$2),MONTH($D$2)-1,1))
),
$D$2,
IF(
$D$3="",
EOMONTH(B182,1),
IF(
AND(
YEAR(B182)=YEAR(DATE(YEAR($D$3),MONTH($D$3)-1,1)),
MONTH(B182)=MONTH(DATE(YEAR($D$3),MONTH($D$3)-1,1))
),
$D$3,
EOMONTH(B182,1)
)))</f>
        <v>43738</v>
      </c>
      <c r="C183" s="471"/>
      <c r="D183" s="149" t="s">
        <v>105</v>
      </c>
      <c r="E183" s="271">
        <f>'CAP POST'!G182</f>
        <v>0</v>
      </c>
      <c r="F183" s="271">
        <f t="shared" si="40"/>
        <v>0</v>
      </c>
      <c r="G183" s="216">
        <v>4.48E-2</v>
      </c>
      <c r="H183" s="272">
        <f t="shared" si="54"/>
        <v>1.2007701562666284E-4</v>
      </c>
      <c r="I183" s="273">
        <f>IF(OR(A183=SABANA!$C$14, D183="adicional"),0,_xlfn.DAYS(B183,A183)+1)</f>
        <v>30</v>
      </c>
      <c r="J183" s="271">
        <f t="shared" si="41"/>
        <v>0</v>
      </c>
    </row>
    <row r="184" spans="1:10" x14ac:dyDescent="0.35">
      <c r="A184" s="152">
        <f>IF(
    AND(
        YEAR(B183)=YEAR(DATE(YEAR($D$1), MONTH($D$1)-1, 1)),
        MONTH(B183)=MONTH(DATE(YEAR($D$1), MONTH($D$1)-1, 1))
    ),
    $D$1,
    IF(
        $D$4="",
        DATE(YEAR(B183), MONTH(B183)+1, 1),
        IF(
            AND(
                YEAR(B183)=YEAR(DATE(YEAR($D$4), MONTH($D$4)-1, 1)),
                MONTH(B183)=MONTH(DATE(YEAR($D$4), MONTH($D$4)-1, 1))
            ),
            $D$4,
            DATE(YEAR(B183), MONTH(B183)+1, 1)
        )
    )
)</f>
        <v>43739</v>
      </c>
      <c r="B184" s="152">
        <f>IF(
AND(
YEAR(B183)=YEAR(DATE(YEAR($D$2),MONTH($D$2)-1,1)),
MONTH(B183)=MONTH(DATE(YEAR($D$2),MONTH($D$2)-1,1))
),
$D$2,
IF(
$D$3="",
EOMONTH(B183,1),
IF(
AND(
YEAR(B183)=YEAR(DATE(YEAR($D$3),MONTH($D$3)-1,1)),
MONTH(B183)=MONTH(DATE(YEAR($D$3),MONTH($D$3)-1,1))
),
$D$3,
EOMONTH(B183,1)
)))</f>
        <v>43769</v>
      </c>
      <c r="C184" s="471"/>
      <c r="D184" s="149" t="s">
        <v>106</v>
      </c>
      <c r="E184" s="271">
        <f>'CAP POST'!G183</f>
        <v>0</v>
      </c>
      <c r="F184" s="271">
        <f t="shared" si="40"/>
        <v>0</v>
      </c>
      <c r="G184" s="216">
        <v>4.41E-2</v>
      </c>
      <c r="H184" s="272">
        <f t="shared" si="54"/>
        <v>1.1824060716802975E-4</v>
      </c>
      <c r="I184" s="273">
        <f>IF(OR(A184=SABANA!$C$14, D184="adicional"),0,_xlfn.DAYS(B184,A184)+1)</f>
        <v>31</v>
      </c>
      <c r="J184" s="271">
        <f t="shared" si="41"/>
        <v>0</v>
      </c>
    </row>
    <row r="185" spans="1:10" x14ac:dyDescent="0.35">
      <c r="A185" s="152">
        <f>IF(
    AND(
        YEAR(B184)=YEAR(DATE(YEAR($D$1), MONTH($D$1)-1, 1)),
        MONTH(B184)=MONTH(DATE(YEAR($D$1), MONTH($D$1)-1, 1))
    ),
    $D$1,
    IF(
        $D$4="",
        DATE(YEAR(B184), MONTH(B184)+1, 1),
        IF(
            AND(
                YEAR(B184)=YEAR(DATE(YEAR($D$4), MONTH($D$4)-1, 1)),
                MONTH(B184)=MONTH(DATE(YEAR($D$4), MONTH($D$4)-1, 1))
            ),
            $D$4,
            DATE(YEAR(B184), MONTH(B184)+1, 1)
        )
    )
)</f>
        <v>43770</v>
      </c>
      <c r="B185" s="152">
        <f>IF(
AND(
YEAR(B184)=YEAR(DATE(YEAR($D$2),MONTH($D$2)-1,1)),
MONTH(B184)=MONTH(DATE(YEAR($D$2),MONTH($D$2)-1,1))
),
$D$2,
IF(
$D$3="",
EOMONTH(B184,1),
IF(
AND(
YEAR(B184)=YEAR(DATE(YEAR($D$3),MONTH($D$3)-1,1)),
MONTH(B184)=MONTH(DATE(YEAR($D$3),MONTH($D$3)-1,1))
),
$D$3,
EOMONTH(B184,1)
)))</f>
        <v>43799</v>
      </c>
      <c r="C185" s="471"/>
      <c r="D185" s="149" t="s">
        <v>107</v>
      </c>
      <c r="E185" s="271">
        <f>'CAP POST'!G184</f>
        <v>0</v>
      </c>
      <c r="F185" s="271">
        <f t="shared" si="40"/>
        <v>0</v>
      </c>
      <c r="G185" s="216">
        <v>4.4299999999999999E-2</v>
      </c>
      <c r="H185" s="272">
        <f t="shared" si="54"/>
        <v>1.187654205565547E-4</v>
      </c>
      <c r="I185" s="273">
        <f>IF(OR(A185=SABANA!$C$14, D185="adicional"),0,_xlfn.DAYS(B185,A185)+1)</f>
        <v>30</v>
      </c>
      <c r="J185" s="271">
        <f t="shared" si="41"/>
        <v>0</v>
      </c>
    </row>
    <row r="186" spans="1:10" x14ac:dyDescent="0.35">
      <c r="A186" s="156">
        <f t="shared" ref="A186" si="64">A185</f>
        <v>43770</v>
      </c>
      <c r="B186" s="156">
        <f t="shared" ref="B186" si="65">B185</f>
        <v>43799</v>
      </c>
      <c r="C186" s="471"/>
      <c r="D186" s="157" t="s">
        <v>101</v>
      </c>
      <c r="E186" s="274">
        <f>'CAP POST'!G185</f>
        <v>0</v>
      </c>
      <c r="F186" s="271">
        <f t="shared" si="40"/>
        <v>0</v>
      </c>
      <c r="G186" s="275"/>
      <c r="H186" s="276"/>
      <c r="I186" s="273">
        <f>IF(OR(A186=SABANA!$C$14, D186="adicional"),0,_xlfn.DAYS(B186,A186)+1)</f>
        <v>0</v>
      </c>
      <c r="J186" s="271">
        <f t="shared" si="41"/>
        <v>0</v>
      </c>
    </row>
    <row r="187" spans="1:10" x14ac:dyDescent="0.35">
      <c r="A187" s="152">
        <f>IF(
    AND(
        YEAR(B185)=YEAR(DATE(YEAR($D$1), MONTH($D$1)-1, 1)),
        MONTH(B185)=MONTH(DATE(YEAR($D$1), MONTH($D$1)-1, 1))
    ),
    $D$1,
    IF(
        $D$4="",
        DATE(YEAR(B185), MONTH(B185)+1, 1),
        IF(
            AND(
                YEAR(B185)=YEAR(DATE(YEAR($D$4), MONTH($D$4)-1, 1)),
                MONTH(B185)=MONTH(DATE(YEAR($D$4), MONTH($D$4)-1, 1))
            ),
            $D$4,
            DATE(YEAR(B185), MONTH(B185)+1, 1)
        )
    )
)</f>
        <v>43800</v>
      </c>
      <c r="B187" s="152">
        <f>IF(
AND(
YEAR(B185)=YEAR(DATE(YEAR($D$2),MONTH($D$2)-1,1)),
MONTH(B185)=MONTH(DATE(YEAR($D$2),MONTH($D$2)-1,1))
),
$D$2,
IF(
$D$3="",
EOMONTH(B185,1),
IF(
AND(
YEAR(B185)=YEAR(DATE(YEAR($D$3),MONTH($D$3)-1,1)),
MONTH(B185)=MONTH(DATE(YEAR($D$3),MONTH($D$3)-1,1))
),
$D$3,
EOMONTH(B185,1)
)))</f>
        <v>43830</v>
      </c>
      <c r="C187" s="472"/>
      <c r="D187" s="149" t="s">
        <v>108</v>
      </c>
      <c r="E187" s="271">
        <f>'CAP POST'!G186</f>
        <v>0</v>
      </c>
      <c r="F187" s="271">
        <f t="shared" si="40"/>
        <v>0</v>
      </c>
      <c r="G187" s="216">
        <v>4.5199999999999997E-2</v>
      </c>
      <c r="H187" s="272">
        <f t="shared" si="54"/>
        <v>1.2112584107204505E-4</v>
      </c>
      <c r="I187" s="273">
        <f>IF(OR(A187=SABANA!$C$14, D187="adicional"),0,_xlfn.DAYS(B187,A187)+1)</f>
        <v>31</v>
      </c>
      <c r="J187" s="271">
        <f t="shared" ref="J187" si="66">IF(AND(OR(A187&gt;=$D$4,B187&lt;=$D$3), AND(A186&gt;=$D$1,B186&lt;$D$2)),(F185*I187*H187),0)</f>
        <v>0</v>
      </c>
    </row>
    <row r="188" spans="1:10" x14ac:dyDescent="0.35">
      <c r="A188" s="152">
        <f>IF(
    AND(
        YEAR(B187)=YEAR(DATE(YEAR($D$1), MONTH($D$1)-1, 1)),
        MONTH(B187)=MONTH(DATE(YEAR($D$1), MONTH($D$1)-1, 1))
    ),
    $D$1,
    IF(
        $D$4="",
        DATE(YEAR(B187), MONTH(B187)+1, 1),
        IF(
            AND(
                YEAR(B187)=YEAR(DATE(YEAR($D$4), MONTH($D$4)-1, 1)),
                MONTH(B187)=MONTH(DATE(YEAR($D$4), MONTH($D$4)-1, 1))
            ),
            $D$4,
            DATE(YEAR(B187), MONTH(B187)+1, 1)
        )
    )
)</f>
        <v>43831</v>
      </c>
      <c r="B188" s="152">
        <f>IF(
AND(
YEAR(B187)=YEAR(DATE(YEAR($D$2),MONTH($D$2)-1,1)),
MONTH(B187)=MONTH(DATE(YEAR($D$2),MONTH($D$2)-1,1))
),
$D$2,
IF(
$D$3="",
EOMONTH(B187,1),
IF(
AND(
YEAR(B187)=YEAR(DATE(YEAR($D$3),MONTH($D$3)-1,1)),
MONTH(B187)=MONTH(DATE(YEAR($D$3),MONTH($D$3)-1,1))
),
$D$3,
EOMONTH(B187,1)
)))</f>
        <v>43861</v>
      </c>
      <c r="C188" s="468">
        <v>2020</v>
      </c>
      <c r="D188" s="149" t="s">
        <v>96</v>
      </c>
      <c r="E188" s="271">
        <f>'CAP POST'!G187</f>
        <v>0</v>
      </c>
      <c r="F188" s="271">
        <f t="shared" si="40"/>
        <v>0</v>
      </c>
      <c r="G188" s="216">
        <v>4.5400000000000003E-2</v>
      </c>
      <c r="H188" s="272">
        <f t="shared" si="54"/>
        <v>1.2165010369624696E-4</v>
      </c>
      <c r="I188" s="273">
        <f>IF(OR(A188=SABANA!$C$14, D188="adicional"),0,_xlfn.DAYS(B188,A188)+1)</f>
        <v>31</v>
      </c>
      <c r="J188" s="271">
        <f t="shared" si="41"/>
        <v>0</v>
      </c>
    </row>
    <row r="189" spans="1:10" x14ac:dyDescent="0.35">
      <c r="A189" s="152">
        <f>IF(
    AND(
        YEAR(B188)=YEAR(DATE(YEAR($D$1), MONTH($D$1)-1, 1)),
        MONTH(B188)=MONTH(DATE(YEAR($D$1), MONTH($D$1)-1, 1))
    ),
    $D$1,
    IF(
        $D$4="",
        DATE(YEAR(B188), MONTH(B188)+1, 1),
        IF(
            AND(
                YEAR(B188)=YEAR(DATE(YEAR($D$4), MONTH($D$4)-1, 1)),
                MONTH(B188)=MONTH(DATE(YEAR($D$4), MONTH($D$4)-1, 1))
            ),
            $D$4,
            DATE(YEAR(B188), MONTH(B188)+1, 1)
        )
    )
)</f>
        <v>43862</v>
      </c>
      <c r="B189" s="152">
        <f>IF(
AND(
YEAR(B188)=YEAR(DATE(YEAR($D$2),MONTH($D$2)-1,1)),
MONTH(B188)=MONTH(DATE(YEAR($D$2),MONTH($D$2)-1,1))
),
$D$2,
IF(
$D$3="",
EOMONTH(B188,1),
IF(
AND(
YEAR(B188)=YEAR(DATE(YEAR($D$3),MONTH($D$3)-1,1)),
MONTH(B188)=MONTH(DATE(YEAR($D$3),MONTH($D$3)-1,1))
),
$D$3,
EOMONTH(B188,1)
)))</f>
        <v>43890</v>
      </c>
      <c r="C189" s="471"/>
      <c r="D189" s="149" t="s">
        <v>97</v>
      </c>
      <c r="E189" s="271">
        <f>'CAP POST'!G188</f>
        <v>0</v>
      </c>
      <c r="F189" s="271">
        <f t="shared" si="40"/>
        <v>0</v>
      </c>
      <c r="G189" s="216">
        <v>4.4600000000000001E-2</v>
      </c>
      <c r="H189" s="272">
        <f t="shared" si="54"/>
        <v>1.1955245272932125E-4</v>
      </c>
      <c r="I189" s="273">
        <f>IF(OR(A189=SABANA!$C$14, D189="adicional"),0,_xlfn.DAYS(B189,A189)+1)</f>
        <v>29</v>
      </c>
      <c r="J189" s="271">
        <f t="shared" si="41"/>
        <v>0</v>
      </c>
    </row>
    <row r="190" spans="1:10" x14ac:dyDescent="0.35">
      <c r="A190" s="152">
        <f>IF(
    AND(
        YEAR(B189)=YEAR(DATE(YEAR($D$1), MONTH($D$1)-1, 1)),
        MONTH(B189)=MONTH(DATE(YEAR($D$1), MONTH($D$1)-1, 1))
    ),
    $D$1,
    IF(
        $D$4="",
        DATE(YEAR(B189), MONTH(B189)+1, 1),
        IF(
            AND(
                YEAR(B189)=YEAR(DATE(YEAR($D$4), MONTH($D$4)-1, 1)),
                MONTH(B189)=MONTH(DATE(YEAR($D$4), MONTH($D$4)-1, 1))
            ),
            $D$4,
            DATE(YEAR(B189), MONTH(B189)+1, 1)
        )
    )
)</f>
        <v>43891</v>
      </c>
      <c r="B190" s="152">
        <f>IF(
AND(
YEAR(B189)=YEAR(DATE(YEAR($D$2),MONTH($D$2)-1,1)),
MONTH(B189)=MONTH(DATE(YEAR($D$2),MONTH($D$2)-1,1))
),
$D$2,
IF(
$D$3="",
EOMONTH(B189,1),
IF(
AND(
YEAR(B189)=YEAR(DATE(YEAR($D$3),MONTH($D$3)-1,1)),
MONTH(B189)=MONTH(DATE(YEAR($D$3),MONTH($D$3)-1,1))
),
$D$3,
EOMONTH(B189,1)
)))</f>
        <v>43921</v>
      </c>
      <c r="C190" s="471"/>
      <c r="D190" s="149" t="s">
        <v>98</v>
      </c>
      <c r="E190" s="271">
        <f>'CAP POST'!G189</f>
        <v>0</v>
      </c>
      <c r="F190" s="271">
        <f t="shared" si="40"/>
        <v>0</v>
      </c>
      <c r="G190" s="216">
        <v>4.4999999999999998E-2</v>
      </c>
      <c r="H190" s="272">
        <f t="shared" si="54"/>
        <v>1.2060147839498825E-4</v>
      </c>
      <c r="I190" s="273">
        <f>IF(OR(A190=SABANA!$C$14, D190="adicional"),0,_xlfn.DAYS(B190,A190)+1)</f>
        <v>31</v>
      </c>
      <c r="J190" s="271">
        <f t="shared" si="41"/>
        <v>0</v>
      </c>
    </row>
    <row r="191" spans="1:10" x14ac:dyDescent="0.35">
      <c r="A191" s="152">
        <f>IF(
    AND(
        YEAR(B190)=YEAR(DATE(YEAR($D$1), MONTH($D$1)-1, 1)),
        MONTH(B190)=MONTH(DATE(YEAR($D$1), MONTH($D$1)-1, 1))
    ),
    $D$1,
    IF(
        $D$4="",
        DATE(YEAR(B190), MONTH(B190)+1, 1),
        IF(
            AND(
                YEAR(B190)=YEAR(DATE(YEAR($D$4), MONTH($D$4)-1, 1)),
                MONTH(B190)=MONTH(DATE(YEAR($D$4), MONTH($D$4)-1, 1))
            ),
            $D$4,
            DATE(YEAR(B190), MONTH(B190)+1, 1)
        )
    )
)</f>
        <v>43922</v>
      </c>
      <c r="B191" s="152">
        <f>IF(
AND(
YEAR(B190)=YEAR(DATE(YEAR($D$2),MONTH($D$2)-1,1)),
MONTH(B190)=MONTH(DATE(YEAR($D$2),MONTH($D$2)-1,1))
),
$D$2,
IF(
$D$3="",
EOMONTH(B190,1),
IF(
AND(
YEAR(B190)=YEAR(DATE(YEAR($D$3),MONTH($D$3)-1,1)),
MONTH(B190)=MONTH(DATE(YEAR($D$3),MONTH($D$3)-1,1))
),
$D$3,
EOMONTH(B190,1)
)))</f>
        <v>43951</v>
      </c>
      <c r="C191" s="471"/>
      <c r="D191" s="149" t="s">
        <v>99</v>
      </c>
      <c r="E191" s="271">
        <f>'CAP POST'!G190</f>
        <v>0</v>
      </c>
      <c r="F191" s="271">
        <f t="shared" si="40"/>
        <v>0</v>
      </c>
      <c r="G191" s="216">
        <v>4.5499999999999999E-2</v>
      </c>
      <c r="H191" s="272">
        <f t="shared" si="54"/>
        <v>1.2191219750046223E-4</v>
      </c>
      <c r="I191" s="273">
        <f>IF(OR(A191=SABANA!$C$14, D191="adicional"),0,_xlfn.DAYS(B191,A191)+1)</f>
        <v>30</v>
      </c>
      <c r="J191" s="271">
        <f t="shared" si="41"/>
        <v>0</v>
      </c>
    </row>
    <row r="192" spans="1:10" x14ac:dyDescent="0.35">
      <c r="A192" s="152">
        <f>IF(
    AND(
        YEAR(B191)=YEAR(DATE(YEAR($D$1), MONTH($D$1)-1, 1)),
        MONTH(B191)=MONTH(DATE(YEAR($D$1), MONTH($D$1)-1, 1))
    ),
    $D$1,
    IF(
        $D$4="",
        DATE(YEAR(B191), MONTH(B191)+1, 1),
        IF(
            AND(
                YEAR(B191)=YEAR(DATE(YEAR($D$4), MONTH($D$4)-1, 1)),
                MONTH(B191)=MONTH(DATE(YEAR($D$4), MONTH($D$4)-1, 1))
            ),
            $D$4,
            DATE(YEAR(B191), MONTH(B191)+1, 1)
        )
    )
)</f>
        <v>43952</v>
      </c>
      <c r="B192" s="152">
        <f>IF(
AND(
YEAR(B191)=YEAR(DATE(YEAR($D$2),MONTH($D$2)-1,1)),
MONTH(B191)=MONTH(DATE(YEAR($D$2),MONTH($D$2)-1,1))
),
$D$2,
IF(
$D$3="",
EOMONTH(B191,1),
IF(
AND(
YEAR(B191)=YEAR(DATE(YEAR($D$3),MONTH($D$3)-1,1)),
MONTH(B191)=MONTH(DATE(YEAR($D$3),MONTH($D$3)-1,1))
),
$D$3,
EOMONTH(B191,1)
)))</f>
        <v>43982</v>
      </c>
      <c r="C192" s="471"/>
      <c r="D192" s="149" t="s">
        <v>100</v>
      </c>
      <c r="E192" s="271">
        <f>'CAP POST'!G191</f>
        <v>0</v>
      </c>
      <c r="F192" s="271">
        <f t="shared" si="40"/>
        <v>0</v>
      </c>
      <c r="G192" s="216">
        <v>4.2900000000000001E-2</v>
      </c>
      <c r="H192" s="272">
        <f t="shared" si="54"/>
        <v>1.1508961995976286E-4</v>
      </c>
      <c r="I192" s="273">
        <f>IF(OR(A192=SABANA!$C$14, D192="adicional"),0,_xlfn.DAYS(B192,A192)+1)</f>
        <v>31</v>
      </c>
      <c r="J192" s="271">
        <f t="shared" si="41"/>
        <v>0</v>
      </c>
    </row>
    <row r="193" spans="1:10" x14ac:dyDescent="0.35">
      <c r="A193" s="156">
        <f t="shared" ref="A193" si="67">A194</f>
        <v>43983</v>
      </c>
      <c r="B193" s="156">
        <f t="shared" ref="B193" si="68">B194</f>
        <v>44012</v>
      </c>
      <c r="C193" s="471"/>
      <c r="D193" s="157" t="s">
        <v>101</v>
      </c>
      <c r="E193" s="274">
        <f>'CAP POST'!G192</f>
        <v>0</v>
      </c>
      <c r="F193" s="271">
        <f t="shared" si="40"/>
        <v>0</v>
      </c>
      <c r="G193" s="275"/>
      <c r="H193" s="276"/>
      <c r="I193" s="273">
        <f>IF(OR(A193=SABANA!$C$14, D193="adicional"),0,_xlfn.DAYS(B193,A193)+1)</f>
        <v>0</v>
      </c>
      <c r="J193" s="271">
        <f t="shared" si="41"/>
        <v>0</v>
      </c>
    </row>
    <row r="194" spans="1:10" x14ac:dyDescent="0.35">
      <c r="A194" s="152">
        <f>IF(
    AND(
        YEAR(B192)=YEAR(DATE(YEAR($D$1), MONTH($D$1)-1, 1)),
        MONTH(B192)=MONTH(DATE(YEAR($D$1), MONTH($D$1)-1, 1))
    ),
    $D$1,
    IF(
        $D$4="",
        DATE(YEAR(B192), MONTH(B192)+1, 1),
        IF(
            AND(
                YEAR(B192)=YEAR(DATE(YEAR($D$4), MONTH($D$4)-1, 1)),
                MONTH(B192)=MONTH(DATE(YEAR($D$4), MONTH($D$4)-1, 1))
            ),
            $D$4,
            DATE(YEAR(B192), MONTH(B192)+1, 1)
        )
    )
)</f>
        <v>43983</v>
      </c>
      <c r="B194" s="152">
        <f>IF(
AND(
YEAR(B192)=YEAR(DATE(YEAR($D$2),MONTH($D$2)-1,1)),
MONTH(B192)=MONTH(DATE(YEAR($D$2),MONTH($D$2)-1,1))
),
$D$2,
IF(
$D$3="",
EOMONTH(B192,1),
IF(
AND(
YEAR(B192)=YEAR(DATE(YEAR($D$3),MONTH($D$3)-1,1)),
MONTH(B192)=MONTH(DATE(YEAR($D$3),MONTH($D$3)-1,1))
),
$D$3,
EOMONTH(B192,1)
)))</f>
        <v>44012</v>
      </c>
      <c r="C194" s="471"/>
      <c r="D194" s="149" t="s">
        <v>102</v>
      </c>
      <c r="E194" s="271">
        <f>'CAP POST'!G193</f>
        <v>0</v>
      </c>
      <c r="F194" s="271">
        <f t="shared" si="40"/>
        <v>0</v>
      </c>
      <c r="G194" s="216">
        <v>3.7600000000000001E-2</v>
      </c>
      <c r="H194" s="272">
        <f>((1+G194)^(1/365)-1)</f>
        <v>1.0112937081929729E-4</v>
      </c>
      <c r="I194" s="273">
        <f>IF(OR(A194=SABANA!$C$14, D194="adicional"),0,_xlfn.DAYS(B194,A194)+1)</f>
        <v>30</v>
      </c>
      <c r="J194" s="271">
        <f t="shared" ref="J194" si="69">IF(AND(OR(A194&gt;=$D$4,B194&lt;=$D$3), AND(A193&gt;=$D$1,B193&lt;$D$2)),(F192*I194*H194),0)</f>
        <v>0</v>
      </c>
    </row>
    <row r="195" spans="1:10" x14ac:dyDescent="0.35">
      <c r="A195" s="152">
        <f>IF(
    AND(
        YEAR(B194)=YEAR(DATE(YEAR($D$1), MONTH($D$1)-1, 1)),
        MONTH(B194)=MONTH(DATE(YEAR($D$1), MONTH($D$1)-1, 1))
    ),
    $D$1,
    IF(
        $D$4="",
        DATE(YEAR(B194), MONTH(B194)+1, 1),
        IF(
            AND(
                YEAR(B194)=YEAR(DATE(YEAR($D$4), MONTH($D$4)-1, 1)),
                MONTH(B194)=MONTH(DATE(YEAR($D$4), MONTH($D$4)-1, 1))
            ),
            $D$4,
            DATE(YEAR(B194), MONTH(B194)+1, 1)
        )
    )
)</f>
        <v>44013</v>
      </c>
      <c r="B195" s="152">
        <f>IF(
AND(
YEAR(B194)=YEAR(DATE(YEAR($D$2),MONTH($D$2)-1,1)),
MONTH(B194)=MONTH(DATE(YEAR($D$2),MONTH($D$2)-1,1))
),
$D$2,
IF(
$D$3="",
EOMONTH(B194,1),
IF(
AND(
YEAR(B194)=YEAR(DATE(YEAR($D$3),MONTH($D$3)-1,1)),
MONTH(B194)=MONTH(DATE(YEAR($D$3),MONTH($D$3)-1,1))
),
$D$3,
EOMONTH(B194,1)
)))</f>
        <v>44043</v>
      </c>
      <c r="C195" s="471"/>
      <c r="D195" s="149" t="s">
        <v>103</v>
      </c>
      <c r="E195" s="271">
        <f>'CAP POST'!G194</f>
        <v>0</v>
      </c>
      <c r="F195" s="271">
        <f t="shared" si="40"/>
        <v>0</v>
      </c>
      <c r="G195" s="216">
        <v>3.3399999999999999E-2</v>
      </c>
      <c r="H195" s="272">
        <f t="shared" si="54"/>
        <v>9.0015933029263806E-5</v>
      </c>
      <c r="I195" s="273">
        <f>IF(OR(A195=SABANA!$C$14, D195="adicional"),0,_xlfn.DAYS(B195,A195)+1)</f>
        <v>31</v>
      </c>
      <c r="J195" s="271">
        <f t="shared" si="41"/>
        <v>0</v>
      </c>
    </row>
    <row r="196" spans="1:10" x14ac:dyDescent="0.35">
      <c r="A196" s="152">
        <f>IF(
    AND(
        YEAR(B195)=YEAR(DATE(YEAR($D$1), MONTH($D$1)-1, 1)),
        MONTH(B195)=MONTH(DATE(YEAR($D$1), MONTH($D$1)-1, 1))
    ),
    $D$1,
    IF(
        $D$4="",
        DATE(YEAR(B195), MONTH(B195)+1, 1),
        IF(
            AND(
                YEAR(B195)=YEAR(DATE(YEAR($D$4), MONTH($D$4)-1, 1)),
                MONTH(B195)=MONTH(DATE(YEAR($D$4), MONTH($D$4)-1, 1))
            ),
            $D$4,
            DATE(YEAR(B195), MONTH(B195)+1, 1)
        )
    )
)</f>
        <v>44044</v>
      </c>
      <c r="B196" s="152">
        <f>IF(
AND(
YEAR(B195)=YEAR(DATE(YEAR($D$2),MONTH($D$2)-1,1)),
MONTH(B195)=MONTH(DATE(YEAR($D$2),MONTH($D$2)-1,1))
),
$D$2,
IF(
$D$3="",
EOMONTH(B195,1),
IF(
AND(
YEAR(B195)=YEAR(DATE(YEAR($D$3),MONTH($D$3)-1,1)),
MONTH(B195)=MONTH(DATE(YEAR($D$3),MONTH($D$3)-1,1))
),
$D$3,
EOMONTH(B195,1)
)))</f>
        <v>44074</v>
      </c>
      <c r="C196" s="471"/>
      <c r="D196" s="149" t="s">
        <v>104</v>
      </c>
      <c r="E196" s="271">
        <f>'CAP POST'!G195</f>
        <v>0</v>
      </c>
      <c r="F196" s="271">
        <f t="shared" si="40"/>
        <v>0</v>
      </c>
      <c r="G196" s="216">
        <v>2.7900000000000001E-2</v>
      </c>
      <c r="H196" s="272">
        <f t="shared" si="54"/>
        <v>7.5394310601994974E-5</v>
      </c>
      <c r="I196" s="273">
        <f>IF(OR(A196=SABANA!$C$14, D196="adicional"),0,_xlfn.DAYS(B196,A196)+1)</f>
        <v>31</v>
      </c>
      <c r="J196" s="271">
        <f t="shared" si="41"/>
        <v>0</v>
      </c>
    </row>
    <row r="197" spans="1:10" x14ac:dyDescent="0.35">
      <c r="A197" s="152">
        <f>IF(
    AND(
        YEAR(B196)=YEAR(DATE(YEAR($D$1), MONTH($D$1)-1, 1)),
        MONTH(B196)=MONTH(DATE(YEAR($D$1), MONTH($D$1)-1, 1))
    ),
    $D$1,
    IF(
        $D$4="",
        DATE(YEAR(B196), MONTH(B196)+1, 1),
        IF(
            AND(
                YEAR(B196)=YEAR(DATE(YEAR($D$4), MONTH($D$4)-1, 1)),
                MONTH(B196)=MONTH(DATE(YEAR($D$4), MONTH($D$4)-1, 1))
            ),
            $D$4,
            DATE(YEAR(B196), MONTH(B196)+1, 1)
        )
    )
)</f>
        <v>44075</v>
      </c>
      <c r="B197" s="152">
        <f>IF(
AND(
YEAR(B196)=YEAR(DATE(YEAR($D$2),MONTH($D$2)-1,1)),
MONTH(B196)=MONTH(DATE(YEAR($D$2),MONTH($D$2)-1,1))
),
$D$2,
IF(
$D$3="",
EOMONTH(B196,1),
IF(
AND(
YEAR(B196)=YEAR(DATE(YEAR($D$3),MONTH($D$3)-1,1)),
MONTH(B196)=MONTH(DATE(YEAR($D$3),MONTH($D$3)-1,1))
),
$D$3,
EOMONTH(B196,1)
)))</f>
        <v>44104</v>
      </c>
      <c r="C197" s="471"/>
      <c r="D197" s="149" t="s">
        <v>105</v>
      </c>
      <c r="E197" s="271">
        <f>'CAP POST'!G196</f>
        <v>0</v>
      </c>
      <c r="F197" s="271">
        <f t="shared" si="40"/>
        <v>0</v>
      </c>
      <c r="G197" s="216">
        <v>2.3900000000000001E-2</v>
      </c>
      <c r="H197" s="272">
        <f t="shared" si="54"/>
        <v>6.4711314504917183E-5</v>
      </c>
      <c r="I197" s="273">
        <f>IF(OR(A197=SABANA!$C$14, D197="adicional"),0,_xlfn.DAYS(B197,A197)+1)</f>
        <v>30</v>
      </c>
      <c r="J197" s="271">
        <f t="shared" si="41"/>
        <v>0</v>
      </c>
    </row>
    <row r="198" spans="1:10" x14ac:dyDescent="0.35">
      <c r="A198" s="152">
        <f>IF(
    AND(
        YEAR(B197)=YEAR(DATE(YEAR($D$1), MONTH($D$1)-1, 1)),
        MONTH(B197)=MONTH(DATE(YEAR($D$1), MONTH($D$1)-1, 1))
    ),
    $D$1,
    IF(
        $D$4="",
        DATE(YEAR(B197), MONTH(B197)+1, 1),
        IF(
            AND(
                YEAR(B197)=YEAR(DATE(YEAR($D$4), MONTH($D$4)-1, 1)),
                MONTH(B197)=MONTH(DATE(YEAR($D$4), MONTH($D$4)-1, 1))
            ),
            $D$4,
            DATE(YEAR(B197), MONTH(B197)+1, 1)
        )
    )
)</f>
        <v>44120</v>
      </c>
      <c r="B198" s="152">
        <f>IF(
AND(
YEAR(B197)=YEAR(DATE(YEAR($D$2),MONTH($D$2)-1,1)),
MONTH(B197)=MONTH(DATE(YEAR($D$2),MONTH($D$2)-1,1))
),
$D$2,
IF(
$D$3="",
EOMONTH(B197,1),
IF(
AND(
YEAR(B197)=YEAR(DATE(YEAR($D$3),MONTH($D$3)-1,1)),
MONTH(B197)=MONTH(DATE(YEAR($D$3),MONTH($D$3)-1,1))
),
$D$3,
EOMONTH(B197,1)
)))</f>
        <v>44135</v>
      </c>
      <c r="C198" s="471"/>
      <c r="D198" s="149" t="s">
        <v>106</v>
      </c>
      <c r="E198" s="271">
        <f>'CAP POST'!G197</f>
        <v>1489199.8589980905</v>
      </c>
      <c r="F198" s="271">
        <f t="shared" si="40"/>
        <v>1489199.8589980905</v>
      </c>
      <c r="G198" s="216">
        <v>2.0299999999999999E-2</v>
      </c>
      <c r="H198" s="272">
        <f t="shared" si="54"/>
        <v>5.5060972509624051E-5</v>
      </c>
      <c r="I198" s="273">
        <f>IF(OR(A198=SABANA!$C$14, D198="adicional"),0,_xlfn.DAYS(B198,A198)+1)</f>
        <v>16</v>
      </c>
      <c r="J198" s="271">
        <f t="shared" si="41"/>
        <v>0</v>
      </c>
    </row>
    <row r="199" spans="1:10" x14ac:dyDescent="0.35">
      <c r="A199" s="152">
        <f>IF(
    AND(
        YEAR(B198)=YEAR(DATE(YEAR($D$1), MONTH($D$1)-1, 1)),
        MONTH(B198)=MONTH(DATE(YEAR($D$1), MONTH($D$1)-1, 1))
    ),
    $D$1,
    IF(
        $D$4="",
        DATE(YEAR(B198), MONTH(B198)+1, 1),
        IF(
            AND(
                YEAR(B198)=YEAR(DATE(YEAR($D$4), MONTH($D$4)-1, 1)),
                MONTH(B198)=MONTH(DATE(YEAR($D$4), MONTH($D$4)-1, 1))
            ),
            $D$4,
            DATE(YEAR(B198), MONTH(B198)+1, 1)
        )
    )
)</f>
        <v>44136</v>
      </c>
      <c r="B199" s="152">
        <f>IF(
AND(
YEAR(B198)=YEAR(DATE(YEAR($D$2),MONTH($D$2)-1,1)),
MONTH(B198)=MONTH(DATE(YEAR($D$2),MONTH($D$2)-1,1))
),
$D$2,
IF(
$D$3="",
EOMONTH(B198,1),
IF(
AND(
YEAR(B198)=YEAR(DATE(YEAR($D$3),MONTH($D$3)-1,1)),
MONTH(B198)=MONTH(DATE(YEAR($D$3),MONTH($D$3)-1,1))
),
$D$3,
EOMONTH(B198,1)
)))</f>
        <v>44165</v>
      </c>
      <c r="C199" s="471"/>
      <c r="D199" s="149" t="s">
        <v>107</v>
      </c>
      <c r="E199" s="271">
        <f>'CAP POST'!G198</f>
        <v>2978399.717996181</v>
      </c>
      <c r="F199" s="271">
        <f t="shared" si="40"/>
        <v>4467599.5769942719</v>
      </c>
      <c r="G199" s="216">
        <v>1.9599999999999999E-2</v>
      </c>
      <c r="H199" s="272">
        <f t="shared" si="54"/>
        <v>5.3180574364875E-5</v>
      </c>
      <c r="I199" s="273">
        <f>IF(OR(A199=SABANA!$C$14, D199="adicional"),0,_xlfn.DAYS(B199,A199)+1)</f>
        <v>30</v>
      </c>
      <c r="J199" s="271">
        <f t="shared" si="41"/>
        <v>2375.8951153682797</v>
      </c>
    </row>
    <row r="200" spans="1:10" x14ac:dyDescent="0.35">
      <c r="A200" s="156">
        <f t="shared" ref="A200" si="70">A199</f>
        <v>44136</v>
      </c>
      <c r="B200" s="156">
        <f t="shared" ref="B200" si="71">B199</f>
        <v>44165</v>
      </c>
      <c r="C200" s="471"/>
      <c r="D200" s="157" t="s">
        <v>101</v>
      </c>
      <c r="E200" s="274">
        <f>'CAP POST'!G199</f>
        <v>3384545.1340865693</v>
      </c>
      <c r="F200" s="271">
        <f t="shared" ref="F200:F244" si="72">IF(AND(A200&gt;=$D$1,B200&lt;=$D$2),(F199+E200),0)</f>
        <v>7852144.7110808417</v>
      </c>
      <c r="G200" s="275"/>
      <c r="H200" s="276"/>
      <c r="I200" s="273">
        <f>IF(OR(A200=SABANA!$C$14, D200="adicional"),0,_xlfn.DAYS(B200,A200)+1)</f>
        <v>0</v>
      </c>
      <c r="J200" s="271">
        <f t="shared" ref="J200:J248" si="73">IF(AND(OR(A200&gt;=$D$4,B200&lt;=$D$3), AND(A199&gt;=$D$1,B199&lt;$D$2)),(F199*I200*H200),0)</f>
        <v>0</v>
      </c>
    </row>
    <row r="201" spans="1:10" x14ac:dyDescent="0.35">
      <c r="A201" s="152">
        <f>IF(
    AND(
        YEAR(B199)=YEAR(DATE(YEAR($D$1), MONTH($D$1)-1, 1)),
        MONTH(B199)=MONTH(DATE(YEAR($D$1), MONTH($D$1)-1, 1))
    ),
    $D$1,
    IF(
        $D$4="",
        DATE(YEAR(B199), MONTH(B199)+1, 1),
        IF(
            AND(
                YEAR(B199)=YEAR(DATE(YEAR($D$4), MONTH($D$4)-1, 1)),
                MONTH(B199)=MONTH(DATE(YEAR($D$4), MONTH($D$4)-1, 1))
            ),
            $D$4,
            DATE(YEAR(B199), MONTH(B199)+1, 1)
        )
    )
)</f>
        <v>44166</v>
      </c>
      <c r="B201" s="152">
        <f>IF(
AND(
YEAR(B199)=YEAR(DATE(YEAR($D$2),MONTH($D$2)-1,1)),
MONTH(B199)=MONTH(DATE(YEAR($D$2),MONTH($D$2)-1,1))
),
$D$2,
IF(
$D$3="",
EOMONTH(B199,1),
IF(
AND(
YEAR(B199)=YEAR(DATE(YEAR($D$3),MONTH($D$3)-1,1)),
MONTH(B199)=MONTH(DATE(YEAR($D$3),MONTH($D$3)-1,1))
),
$D$3,
EOMONTH(B199,1)
)))</f>
        <v>44196</v>
      </c>
      <c r="C201" s="472"/>
      <c r="D201" s="149" t="s">
        <v>108</v>
      </c>
      <c r="E201" s="271">
        <f>'CAP POST'!G200</f>
        <v>2978399.717996181</v>
      </c>
      <c r="F201" s="271">
        <f t="shared" si="72"/>
        <v>10830544.429077022</v>
      </c>
      <c r="G201" s="216">
        <v>1.9300000000000001E-2</v>
      </c>
      <c r="H201" s="272">
        <f t="shared" si="54"/>
        <v>5.2374295299806306E-5</v>
      </c>
      <c r="I201" s="273">
        <f>IF(OR(A201=SABANA!$C$14, D201="adicional"),0,_xlfn.DAYS(B201,A201)+1)</f>
        <v>31</v>
      </c>
      <c r="J201" s="271">
        <f t="shared" ref="J201" si="74">IF(AND(OR(A201&gt;=$D$4,B201&lt;=$D$3), AND(A200&gt;=$D$1,B200&lt;$D$2)),(F199*I201*H201),0)</f>
        <v>7253.6087653304203</v>
      </c>
    </row>
    <row r="202" spans="1:10" x14ac:dyDescent="0.35">
      <c r="A202" s="152">
        <f>IF(
    AND(
        YEAR(B201)=YEAR(DATE(YEAR($D$1), MONTH($D$1)-1, 1)),
        MONTH(B201)=MONTH(DATE(YEAR($D$1), MONTH($D$1)-1, 1))
    ),
    $D$1,
    IF(
        $D$4="",
        DATE(YEAR(B201), MONTH(B201)+1, 1),
        IF(
            AND(
                YEAR(B201)=YEAR(DATE(YEAR($D$4), MONTH($D$4)-1, 1)),
                MONTH(B201)=MONTH(DATE(YEAR($D$4), MONTH($D$4)-1, 1))
            ),
            $D$4,
            DATE(YEAR(B201), MONTH(B201)+1, 1)
        )
    )
)</f>
        <v>44197</v>
      </c>
      <c r="B202" s="152">
        <f>IF(
AND(
YEAR(B201)=YEAR(DATE(YEAR($D$2),MONTH($D$2)-1,1)),
MONTH(B201)=MONTH(DATE(YEAR($D$2),MONTH($D$2)-1,1))
),
$D$2,
IF(
$D$3="",
EOMONTH(B201,1),
IF(
AND(
YEAR(B201)=YEAR(DATE(YEAR($D$3),MONTH($D$3)-1,1)),
MONTH(B201)=MONTH(DATE(YEAR($D$3),MONTH($D$3)-1,1))
),
$D$3,
EOMONTH(B201,1)
)))</f>
        <v>44227</v>
      </c>
      <c r="C202" s="468">
        <v>2021</v>
      </c>
      <c r="D202" s="149" t="s">
        <v>96</v>
      </c>
      <c r="E202" s="271">
        <f>'CAP POST'!G201</f>
        <v>3026351.9534559194</v>
      </c>
      <c r="F202" s="271">
        <f t="shared" si="72"/>
        <v>13856896.382532941</v>
      </c>
      <c r="G202" s="216">
        <v>1.9099999999999999E-2</v>
      </c>
      <c r="H202" s="272">
        <f t="shared" si="54"/>
        <v>5.1836644438196799E-5</v>
      </c>
      <c r="I202" s="273">
        <f>IF(OR(A202=SABANA!$C$14, D202="adicional"),0,_xlfn.DAYS(B202,A202)+1)</f>
        <v>31</v>
      </c>
      <c r="J202" s="271">
        <f t="shared" si="73"/>
        <v>17403.991499906919</v>
      </c>
    </row>
    <row r="203" spans="1:10" x14ac:dyDescent="0.35">
      <c r="A203" s="152">
        <f>IF(
    AND(
        YEAR(B202)=YEAR(DATE(YEAR($D$1), MONTH($D$1)-1, 1)),
        MONTH(B202)=MONTH(DATE(YEAR($D$1), MONTH($D$1)-1, 1))
    ),
    $D$1,
    IF(
        $D$4="",
        DATE(YEAR(B202), MONTH(B202)+1, 1),
        IF(
            AND(
                YEAR(B202)=YEAR(DATE(YEAR($D$4), MONTH($D$4)-1, 1)),
                MONTH(B202)=MONTH(DATE(YEAR($D$4), MONTH($D$4)-1, 1))
            ),
            $D$4,
            DATE(YEAR(B202), MONTH(B202)+1, 1)
        )
    )
)</f>
        <v>44228</v>
      </c>
      <c r="B203" s="152">
        <f>IF(
AND(
YEAR(B202)=YEAR(DATE(YEAR($D$2),MONTH($D$2)-1,1)),
MONTH(B202)=MONTH(DATE(YEAR($D$2),MONTH($D$2)-1,1))
),
$D$2,
IF(
$D$3="",
EOMONTH(B202,1),
IF(
AND(
YEAR(B202)=YEAR(DATE(YEAR($D$3),MONTH($D$3)-1,1)),
MONTH(B202)=MONTH(DATE(YEAR($D$3),MONTH($D$3)-1,1))
),
$D$3,
EOMONTH(B202,1)
)))</f>
        <v>44255</v>
      </c>
      <c r="C203" s="471"/>
      <c r="D203" s="149" t="s">
        <v>97</v>
      </c>
      <c r="E203" s="271">
        <f>'CAP POST'!G202</f>
        <v>3026351.9534559194</v>
      </c>
      <c r="F203" s="271">
        <f t="shared" si="72"/>
        <v>16883248.335988861</v>
      </c>
      <c r="G203" s="216">
        <v>1.8100000000000002E-2</v>
      </c>
      <c r="H203" s="272">
        <f t="shared" si="54"/>
        <v>4.9146810763511795E-5</v>
      </c>
      <c r="I203" s="273">
        <f>IF(OR(A203=SABANA!$C$14, D203="adicional"),0,_xlfn.DAYS(B203,A203)+1)</f>
        <v>28</v>
      </c>
      <c r="J203" s="271">
        <f t="shared" si="73"/>
        <v>19068.623399894252</v>
      </c>
    </row>
    <row r="204" spans="1:10" x14ac:dyDescent="0.35">
      <c r="A204" s="152">
        <f>IF(
    AND(
        YEAR(B203)=YEAR(DATE(YEAR($D$1), MONTH($D$1)-1, 1)),
        MONTH(B203)=MONTH(DATE(YEAR($D$1), MONTH($D$1)-1, 1))
    ),
    $D$1,
    IF(
        $D$4="",
        DATE(YEAR(B203), MONTH(B203)+1, 1),
        IF(
            AND(
                YEAR(B203)=YEAR(DATE(YEAR($D$4), MONTH($D$4)-1, 1)),
                MONTH(B203)=MONTH(DATE(YEAR($D$4), MONTH($D$4)-1, 1))
            ),
            $D$4,
            DATE(YEAR(B203), MONTH(B203)+1, 1)
        )
    )
)</f>
        <v>44256</v>
      </c>
      <c r="B204" s="152">
        <f>IF(
AND(
YEAR(B203)=YEAR(DATE(YEAR($D$2),MONTH($D$2)-1,1)),
MONTH(B203)=MONTH(DATE(YEAR($D$2),MONTH($D$2)-1,1))
),
$D$2,
IF(
$D$3="",
EOMONTH(B203,1),
IF(
AND(
YEAR(B203)=YEAR(DATE(YEAR($D$3),MONTH($D$3)-1,1)),
MONTH(B203)=MONTH(DATE(YEAR($D$3),MONTH($D$3)-1,1))
),
$D$3,
EOMONTH(B203,1)
)))</f>
        <v>44286</v>
      </c>
      <c r="C204" s="471"/>
      <c r="D204" s="149" t="s">
        <v>98</v>
      </c>
      <c r="E204" s="271">
        <f>'CAP POST'!G203</f>
        <v>3026351.9534559194</v>
      </c>
      <c r="F204" s="271">
        <f t="shared" si="72"/>
        <v>19909600.289444782</v>
      </c>
      <c r="G204" s="216">
        <v>1.77E-2</v>
      </c>
      <c r="H204" s="272">
        <f t="shared" si="54"/>
        <v>4.8070139484934771E-5</v>
      </c>
      <c r="I204" s="273">
        <f>IF(OR(A204=SABANA!$C$14, D204="adicional"),0,_xlfn.DAYS(B204,A204)+1)</f>
        <v>31</v>
      </c>
      <c r="J204" s="271">
        <f t="shared" si="73"/>
        <v>25158.983176563099</v>
      </c>
    </row>
    <row r="205" spans="1:10" x14ac:dyDescent="0.35">
      <c r="A205" s="152">
        <f>IF(
    AND(
        YEAR(B204)=YEAR(DATE(YEAR($D$1), MONTH($D$1)-1, 1)),
        MONTH(B204)=MONTH(DATE(YEAR($D$1), MONTH($D$1)-1, 1))
    ),
    $D$1,
    IF(
        $D$4="",
        DATE(YEAR(B204), MONTH(B204)+1, 1),
        IF(
            AND(
                YEAR(B204)=YEAR(DATE(YEAR($D$4), MONTH($D$4)-1, 1)),
                MONTH(B204)=MONTH(DATE(YEAR($D$4), MONTH($D$4)-1, 1))
            ),
            $D$4,
            DATE(YEAR(B204), MONTH(B204)+1, 1)
        )
    )
)</f>
        <v>44287</v>
      </c>
      <c r="B205" s="152">
        <f>IF(
AND(
YEAR(B204)=YEAR(DATE(YEAR($D$2),MONTH($D$2)-1,1)),
MONTH(B204)=MONTH(DATE(YEAR($D$2),MONTH($D$2)-1,1))
),
$D$2,
IF(
$D$3="",
EOMONTH(B204,1),
IF(
AND(
YEAR(B204)=YEAR(DATE(YEAR($D$3),MONTH($D$3)-1,1)),
MONTH(B204)=MONTH(DATE(YEAR($D$3),MONTH($D$3)-1,1))
),
$D$3,
EOMONTH(B204,1)
)))</f>
        <v>44301</v>
      </c>
      <c r="C205" s="471"/>
      <c r="D205" s="149" t="s">
        <v>99</v>
      </c>
      <c r="E205" s="271">
        <f>'CAP POST'!G204</f>
        <v>3026351.9534559194</v>
      </c>
      <c r="F205" s="271">
        <f t="shared" si="72"/>
        <v>22935952.242900699</v>
      </c>
      <c r="G205" s="216">
        <v>1.7600000000000001E-2</v>
      </c>
      <c r="H205" s="272">
        <f t="shared" si="54"/>
        <v>4.7800905724759701E-5</v>
      </c>
      <c r="I205" s="273">
        <f>IF(OR(A205=SABANA!$C$14, D205="adicional"),0,_xlfn.DAYS(B205,A205)+1)</f>
        <v>15</v>
      </c>
      <c r="J205" s="271">
        <f t="shared" si="73"/>
        <v>14275.453896800977</v>
      </c>
    </row>
    <row r="206" spans="1:10" x14ac:dyDescent="0.35">
      <c r="A206" s="152">
        <f>IF(
    AND(
        YEAR(B205)=YEAR(DATE(YEAR($D$1), MONTH($D$1)-1, 1)),
        MONTH(B205)=MONTH(DATE(YEAR($D$1), MONTH($D$1)-1, 1))
    ),
    $D$1,
    IF(
        $D$4="",
        DATE(YEAR(B205), MONTH(B205)+1, 1),
        IF(
            AND(
                YEAR(B205)=YEAR(DATE(YEAR($D$4), MONTH($D$4)-1, 1)),
                MONTH(B205)=MONTH(DATE(YEAR($D$4), MONTH($D$4)-1, 1))
            ),
            $D$4,
            DATE(YEAR(B205), MONTH(B205)+1, 1)
        )
    )
)</f>
        <v>44317</v>
      </c>
      <c r="B206" s="152">
        <f>IF(
AND(
YEAR(B205)=YEAR(DATE(YEAR($D$2),MONTH($D$2)-1,1)),
MONTH(B205)=MONTH(DATE(YEAR($D$2),MONTH($D$2)-1,1))
),
$D$2,
IF(
$D$3="",
EOMONTH(B205,1),
IF(
AND(
YEAR(B205)=YEAR(DATE(YEAR($D$3),MONTH($D$3)-1,1)),
MONTH(B205)=MONTH(DATE(YEAR($D$3),MONTH($D$3)-1,1))
),
$D$3,
EOMONTH(B205,1)
)))</f>
        <v>44347</v>
      </c>
      <c r="C206" s="471"/>
      <c r="D206" s="149" t="s">
        <v>100</v>
      </c>
      <c r="E206" s="271">
        <f>'CAP POST'!G205</f>
        <v>3026351.9534559194</v>
      </c>
      <c r="F206" s="271">
        <f t="shared" si="72"/>
        <v>25962304.196356617</v>
      </c>
      <c r="G206" s="216">
        <v>1.8200000000000001E-2</v>
      </c>
      <c r="H206" s="272">
        <f t="shared" si="54"/>
        <v>4.9415912668715478E-5</v>
      </c>
      <c r="I206" s="273">
        <f>IF(OR(A206=SABANA!$C$14, D206="adicional"),0,_xlfn.DAYS(B206,A206)+1)</f>
        <v>31</v>
      </c>
      <c r="J206" s="271">
        <f t="shared" si="73"/>
        <v>0</v>
      </c>
    </row>
    <row r="207" spans="1:10" x14ac:dyDescent="0.35">
      <c r="A207" s="156">
        <f t="shared" ref="A207" si="75">A208</f>
        <v>44348</v>
      </c>
      <c r="B207" s="156">
        <f t="shared" ref="B207" si="76">B208</f>
        <v>44377</v>
      </c>
      <c r="C207" s="471"/>
      <c r="D207" s="157" t="s">
        <v>101</v>
      </c>
      <c r="E207" s="274">
        <f>'CAP POST'!G206</f>
        <v>3439036.3107453631</v>
      </c>
      <c r="F207" s="271">
        <f t="shared" si="72"/>
        <v>29401340.507101979</v>
      </c>
      <c r="G207" s="275"/>
      <c r="H207" s="276"/>
      <c r="I207" s="273">
        <f>IF(OR(A207=SABANA!$C$14, D207="adicional"),0,_xlfn.DAYS(B207,A207)+1)</f>
        <v>0</v>
      </c>
      <c r="J207" s="271">
        <f t="shared" si="73"/>
        <v>0</v>
      </c>
    </row>
    <row r="208" spans="1:10" x14ac:dyDescent="0.35">
      <c r="A208" s="152">
        <f>IF(
    AND(
        YEAR(B206)=YEAR(DATE(YEAR($D$1), MONTH($D$1)-1, 1)),
        MONTH(B206)=MONTH(DATE(YEAR($D$1), MONTH($D$1)-1, 1))
    ),
    $D$1,
    IF(
        $D$4="",
        DATE(YEAR(B206), MONTH(B206)+1, 1),
        IF(
            AND(
                YEAR(B206)=YEAR(DATE(YEAR($D$4), MONTH($D$4)-1, 1)),
                MONTH(B206)=MONTH(DATE(YEAR($D$4), MONTH($D$4)-1, 1))
            ),
            $D$4,
            DATE(YEAR(B206), MONTH(B206)+1, 1)
        )
    )
)</f>
        <v>44348</v>
      </c>
      <c r="B208" s="152">
        <f>IF(
AND(
YEAR(B206)=YEAR(DATE(YEAR($D$2),MONTH($D$2)-1,1)),
MONTH(B206)=MONTH(DATE(YEAR($D$2),MONTH($D$2)-1,1))
),
$D$2,
IF(
$D$3="",
EOMONTH(B206,1),
IF(
AND(
YEAR(B206)=YEAR(DATE(YEAR($D$3),MONTH($D$3)-1,1)),
MONTH(B206)=MONTH(DATE(YEAR($D$3),MONTH($D$3)-1,1))
),
$D$3,
EOMONTH(B206,1)
)))</f>
        <v>44377</v>
      </c>
      <c r="C208" s="471"/>
      <c r="D208" s="149" t="s">
        <v>102</v>
      </c>
      <c r="E208" s="271">
        <f>'CAP POST'!G207</f>
        <v>3026351.9534559194</v>
      </c>
      <c r="F208" s="271">
        <f t="shared" si="72"/>
        <v>32427692.4605579</v>
      </c>
      <c r="G208" s="216">
        <v>1.9099999999999999E-2</v>
      </c>
      <c r="H208" s="272">
        <f>((1+G208)^(1/365)-1)</f>
        <v>5.1836644438196799E-5</v>
      </c>
      <c r="I208" s="273">
        <f>IF(OR(A208=SABANA!$C$14, D208="adicional"),0,_xlfn.DAYS(B208,A208)+1)</f>
        <v>30</v>
      </c>
      <c r="J208" s="271">
        <f t="shared" ref="J208" si="77">IF(AND(OR(A208&gt;=$D$4,B208&lt;=$D$3), AND(A207&gt;=$D$1,B207&lt;$D$2)),(F206*I208*H208),0)</f>
        <v>0</v>
      </c>
    </row>
    <row r="209" spans="1:10" x14ac:dyDescent="0.35">
      <c r="A209" s="152">
        <f>IF(
    AND(
        YEAR(B208)=YEAR(DATE(YEAR($D$1), MONTH($D$1)-1, 1)),
        MONTH(B208)=MONTH(DATE(YEAR($D$1), MONTH($D$1)-1, 1))
    ),
    $D$1,
    IF(
        $D$4="",
        DATE(YEAR(B208), MONTH(B208)+1, 1),
        IF(
            AND(
                YEAR(B208)=YEAR(DATE(YEAR($D$4), MONTH($D$4)-1, 1)),
                MONTH(B208)=MONTH(DATE(YEAR($D$4), MONTH($D$4)-1, 1))
            ),
            $D$4,
            DATE(YEAR(B208), MONTH(B208)+1, 1)
        )
    )
)</f>
        <v>44392</v>
      </c>
      <c r="B209" s="152">
        <f>IF(
AND(
YEAR(B208)=YEAR(DATE(YEAR($D$2),MONTH($D$2)-1,1)),
MONTH(B208)=MONTH(DATE(YEAR($D$2),MONTH($D$2)-1,1))
),
$D$2,
IF(
$D$3="",
EOMONTH(B208,1),
IF(
AND(
YEAR(B208)=YEAR(DATE(YEAR($D$3),MONTH($D$3)-1,1)),
MONTH(B208)=MONTH(DATE(YEAR($D$3),MONTH($D$3)-1,1))
),
$D$3,
EOMONTH(B208,1)
)))</f>
        <v>44408</v>
      </c>
      <c r="C209" s="471"/>
      <c r="D209" s="149" t="s">
        <v>103</v>
      </c>
      <c r="E209" s="271">
        <f>'CAP POST'!G208</f>
        <v>3026351.9534559194</v>
      </c>
      <c r="F209" s="271">
        <f t="shared" si="72"/>
        <v>35454044.414013818</v>
      </c>
      <c r="G209" s="216">
        <v>1.9E-2</v>
      </c>
      <c r="H209" s="272">
        <f t="shared" si="54"/>
        <v>5.1567779546513037E-5</v>
      </c>
      <c r="I209" s="273">
        <f>IF(OR(A209=SABANA!$C$14, D209="adicional"),0,_xlfn.DAYS(B209,A209)+1)</f>
        <v>17</v>
      </c>
      <c r="J209" s="271">
        <f t="shared" si="73"/>
        <v>28427.809632138938</v>
      </c>
    </row>
    <row r="210" spans="1:10" x14ac:dyDescent="0.35">
      <c r="A210" s="152">
        <f>IF(
    AND(
        YEAR(B209)=YEAR(DATE(YEAR($D$1), MONTH($D$1)-1, 1)),
        MONTH(B209)=MONTH(DATE(YEAR($D$1), MONTH($D$1)-1, 1))
    ),
    $D$1,
    IF(
        $D$4="",
        DATE(YEAR(B209), MONTH(B209)+1, 1),
        IF(
            AND(
                YEAR(B209)=YEAR(DATE(YEAR($D$4), MONTH($D$4)-1, 1)),
                MONTH(B209)=MONTH(DATE(YEAR($D$4), MONTH($D$4)-1, 1))
            ),
            $D$4,
            DATE(YEAR(B209), MONTH(B209)+1, 1)
        )
    )
)</f>
        <v>44409</v>
      </c>
      <c r="B210" s="152">
        <f>IF(
AND(
YEAR(B209)=YEAR(DATE(YEAR($D$2),MONTH($D$2)-1,1)),
MONTH(B209)=MONTH(DATE(YEAR($D$2),MONTH($D$2)-1,1))
),
$D$2,
IF(
$D$3="",
EOMONTH(B209,1),
IF(
AND(
YEAR(B209)=YEAR(DATE(YEAR($D$3),MONTH($D$3)-1,1)),
MONTH(B209)=MONTH(DATE(YEAR($D$3),MONTH($D$3)-1,1))
),
$D$3,
EOMONTH(B209,1)
)))</f>
        <v>44423</v>
      </c>
      <c r="C210" s="471"/>
      <c r="D210" s="149" t="s">
        <v>104</v>
      </c>
      <c r="E210" s="271">
        <f>'CAP POST'!G209</f>
        <v>3026351.9534559194</v>
      </c>
      <c r="F210" s="271">
        <f t="shared" si="72"/>
        <v>38480396.367469735</v>
      </c>
      <c r="G210" s="216">
        <v>1.9900000000000001E-2</v>
      </c>
      <c r="H210" s="272">
        <f t="shared" si="54"/>
        <v>5.3986616880719041E-5</v>
      </c>
      <c r="I210" s="273">
        <f>IF(OR(A210=SABANA!$C$14, D210="adicional"),0,_xlfn.DAYS(B210,A210)+1)</f>
        <v>15</v>
      </c>
      <c r="J210" s="271">
        <f t="shared" si="73"/>
        <v>28710.658689770415</v>
      </c>
    </row>
    <row r="211" spans="1:10" x14ac:dyDescent="0.35">
      <c r="A211" s="152">
        <f>IF(
    AND(
        YEAR(B210)=YEAR(DATE(YEAR($D$1), MONTH($D$1)-1, 1)),
        MONTH(B210)=MONTH(DATE(YEAR($D$1), MONTH($D$1)-1, 1))
    ),
    $D$1,
    IF(
        $D$4="",
        DATE(YEAR(B210), MONTH(B210)+1, 1),
        IF(
            AND(
                YEAR(B210)=YEAR(DATE(YEAR($D$4), MONTH($D$4)-1, 1)),
                MONTH(B210)=MONTH(DATE(YEAR($D$4), MONTH($D$4)-1, 1))
            ),
            $D$4,
            DATE(YEAR(B210), MONTH(B210)+1, 1)
        )
    )
)</f>
        <v>44440</v>
      </c>
      <c r="B211" s="152">
        <f>IF(
AND(
YEAR(B210)=YEAR(DATE(YEAR($D$2),MONTH($D$2)-1,1)),
MONTH(B210)=MONTH(DATE(YEAR($D$2),MONTH($D$2)-1,1))
),
$D$2,
IF(
$D$3="",
EOMONTH(B210,1),
IF(
AND(
YEAR(B210)=YEAR(DATE(YEAR($D$3),MONTH($D$3)-1,1)),
MONTH(B210)=MONTH(DATE(YEAR($D$3),MONTH($D$3)-1,1))
),
$D$3,
EOMONTH(B210,1)
)))</f>
        <v>44469</v>
      </c>
      <c r="C211" s="471"/>
      <c r="D211" s="149" t="s">
        <v>105</v>
      </c>
      <c r="E211" s="271">
        <f>'CAP POST'!G210</f>
        <v>3026351.9534559194</v>
      </c>
      <c r="F211" s="271">
        <f t="shared" si="72"/>
        <v>0</v>
      </c>
      <c r="G211" s="216">
        <v>2.0500000000000001E-2</v>
      </c>
      <c r="H211" s="272">
        <f t="shared" si="54"/>
        <v>5.5597992820066722E-5</v>
      </c>
      <c r="I211" s="273">
        <f>IF(OR(A211=SABANA!$C$14, D211="adicional"),0,_xlfn.DAYS(B211,A211)+1)</f>
        <v>30</v>
      </c>
      <c r="J211" s="271">
        <f t="shared" si="73"/>
        <v>0</v>
      </c>
    </row>
    <row r="212" spans="1:10" x14ac:dyDescent="0.35">
      <c r="A212" s="152">
        <f>IF(
    AND(
        YEAR(B211)=YEAR(DATE(YEAR($D$1), MONTH($D$1)-1, 1)),
        MONTH(B211)=MONTH(DATE(YEAR($D$1), MONTH($D$1)-1, 1))
    ),
    $D$1,
    IF(
        $D$4="",
        DATE(YEAR(B211), MONTH(B211)+1, 1),
        IF(
            AND(
                YEAR(B211)=YEAR(DATE(YEAR($D$4), MONTH($D$4)-1, 1)),
                MONTH(B211)=MONTH(DATE(YEAR($D$4), MONTH($D$4)-1, 1))
            ),
            $D$4,
            DATE(YEAR(B211), MONTH(B211)+1, 1)
        )
    )
)</f>
        <v>44470</v>
      </c>
      <c r="B212" s="152">
        <f>IF(
AND(
YEAR(B211)=YEAR(DATE(YEAR($D$2),MONTH($D$2)-1,1)),
MONTH(B211)=MONTH(DATE(YEAR($D$2),MONTH($D$2)-1,1))
),
$D$2,
IF(
$D$3="",
EOMONTH(B211,1),
IF(
AND(
YEAR(B211)=YEAR(DATE(YEAR($D$3),MONTH($D$3)-1,1)),
MONTH(B211)=MONTH(DATE(YEAR($D$3),MONTH($D$3)-1,1))
),
$D$3,
EOMONTH(B211,1)
)))</f>
        <v>44500</v>
      </c>
      <c r="C212" s="471"/>
      <c r="D212" s="149" t="s">
        <v>106</v>
      </c>
      <c r="E212" s="271">
        <f>'CAP POST'!G211</f>
        <v>3026351.9534559194</v>
      </c>
      <c r="F212" s="271">
        <f t="shared" si="72"/>
        <v>0</v>
      </c>
      <c r="G212" s="216">
        <v>2.2200000000000001E-2</v>
      </c>
      <c r="H212" s="272">
        <f t="shared" si="54"/>
        <v>6.0158432328316636E-5</v>
      </c>
      <c r="I212" s="273">
        <f>IF(OR(A212=SABANA!$C$14, D212="adicional"),0,_xlfn.DAYS(B212,A212)+1)</f>
        <v>31</v>
      </c>
      <c r="J212" s="271">
        <f t="shared" si="73"/>
        <v>0</v>
      </c>
    </row>
    <row r="213" spans="1:10" x14ac:dyDescent="0.35">
      <c r="A213" s="152">
        <f>IF(
    AND(
        YEAR(B212)=YEAR(DATE(YEAR($D$1), MONTH($D$1)-1, 1)),
        MONTH(B212)=MONTH(DATE(YEAR($D$1), MONTH($D$1)-1, 1))
    ),
    $D$1,
    IF(
        $D$4="",
        DATE(YEAR(B212), MONTH(B212)+1, 1),
        IF(
            AND(
                YEAR(B212)=YEAR(DATE(YEAR($D$4), MONTH($D$4)-1, 1)),
                MONTH(B212)=MONTH(DATE(YEAR($D$4), MONTH($D$4)-1, 1))
            ),
            $D$4,
            DATE(YEAR(B212), MONTH(B212)+1, 1)
        )
    )
)</f>
        <v>44501</v>
      </c>
      <c r="B213" s="152">
        <f>IF(
AND(
YEAR(B212)=YEAR(DATE(YEAR($D$2),MONTH($D$2)-1,1)),
MONTH(B212)=MONTH(DATE(YEAR($D$2),MONTH($D$2)-1,1))
),
$D$2,
IF(
$D$3="",
EOMONTH(B212,1),
IF(
AND(
YEAR(B212)=YEAR(DATE(YEAR($D$3),MONTH($D$3)-1,1)),
MONTH(B212)=MONTH(DATE(YEAR($D$3),MONTH($D$3)-1,1))
),
$D$3,
EOMONTH(B212,1)
)))</f>
        <v>44530</v>
      </c>
      <c r="C213" s="471"/>
      <c r="D213" s="149" t="s">
        <v>107</v>
      </c>
      <c r="E213" s="271">
        <f>'CAP POST'!G212</f>
        <v>3026351.9534559194</v>
      </c>
      <c r="F213" s="271">
        <f t="shared" si="72"/>
        <v>0</v>
      </c>
      <c r="G213" s="216">
        <v>2.6499999999999999E-2</v>
      </c>
      <c r="H213" s="272">
        <f t="shared" si="54"/>
        <v>7.1659985198868625E-5</v>
      </c>
      <c r="I213" s="273">
        <f>IF(OR(A213=SABANA!$C$14, D213="adicional"),0,_xlfn.DAYS(B213,A213)+1)</f>
        <v>30</v>
      </c>
      <c r="J213" s="271">
        <f t="shared" si="73"/>
        <v>0</v>
      </c>
    </row>
    <row r="214" spans="1:10" x14ac:dyDescent="0.35">
      <c r="A214" s="156">
        <f t="shared" ref="A214" si="78">A213</f>
        <v>44501</v>
      </c>
      <c r="B214" s="156">
        <f t="shared" ref="B214" si="79">B213</f>
        <v>44530</v>
      </c>
      <c r="C214" s="471"/>
      <c r="D214" s="157" t="s">
        <v>101</v>
      </c>
      <c r="E214" s="274">
        <f>'CAP POST'!G213</f>
        <v>3439036.3107453631</v>
      </c>
      <c r="F214" s="271">
        <f t="shared" si="72"/>
        <v>0</v>
      </c>
      <c r="G214" s="275"/>
      <c r="H214" s="276"/>
      <c r="I214" s="273">
        <f>IF(OR(A214=SABANA!$C$14, D214="adicional"),0,_xlfn.DAYS(B214,A214)+1)</f>
        <v>0</v>
      </c>
      <c r="J214" s="271">
        <f t="shared" si="73"/>
        <v>0</v>
      </c>
    </row>
    <row r="215" spans="1:10" x14ac:dyDescent="0.35">
      <c r="A215" s="152">
        <f>IF(
    AND(
        YEAR(B213)=YEAR(DATE(YEAR($D$1), MONTH($D$1)-1, 1)),
        MONTH(B213)=MONTH(DATE(YEAR($D$1), MONTH($D$1)-1, 1))
    ),
    $D$1,
    IF(
        $D$4="",
        DATE(YEAR(B213), MONTH(B213)+1, 1),
        IF(
            AND(
                YEAR(B213)=YEAR(DATE(YEAR($D$4), MONTH($D$4)-1, 1)),
                MONTH(B213)=MONTH(DATE(YEAR($D$4), MONTH($D$4)-1, 1))
            ),
            $D$4,
            DATE(YEAR(B213), MONTH(B213)+1, 1)
        )
    )
)</f>
        <v>44531</v>
      </c>
      <c r="B215" s="152">
        <f>IF(
AND(
YEAR(B213)=YEAR(DATE(YEAR($D$2),MONTH($D$2)-1,1)),
MONTH(B213)=MONTH(DATE(YEAR($D$2),MONTH($D$2)-1,1))
),
$D$2,
IF(
$D$3="",
EOMONTH(B213,1),
IF(
AND(
YEAR(B213)=YEAR(DATE(YEAR($D$3),MONTH($D$3)-1,1)),
MONTH(B213)=MONTH(DATE(YEAR($D$3),MONTH($D$3)-1,1))
),
$D$3,
EOMONTH(B213,1)
)))</f>
        <v>44561</v>
      </c>
      <c r="C215" s="472"/>
      <c r="D215" s="149" t="s">
        <v>108</v>
      </c>
      <c r="E215" s="271">
        <f>'CAP POST'!G214</f>
        <v>3026351.9534559194</v>
      </c>
      <c r="F215" s="271">
        <f t="shared" si="72"/>
        <v>0</v>
      </c>
      <c r="G215" s="216">
        <v>3.0800000000000001E-2</v>
      </c>
      <c r="H215" s="272">
        <f t="shared" si="54"/>
        <v>8.3113590170658114E-5</v>
      </c>
      <c r="I215" s="273">
        <f>IF(OR(A215=SABANA!$C$14, D215="adicional"),0,_xlfn.DAYS(B215,A215)+1)</f>
        <v>31</v>
      </c>
      <c r="J215" s="271">
        <f t="shared" ref="J215" si="80">IF(AND(OR(A215&gt;=$D$4,B215&lt;=$D$3), AND(A214&gt;=$D$1,B214&lt;$D$2)),(F213*I215*H215),0)</f>
        <v>0</v>
      </c>
    </row>
    <row r="216" spans="1:10" x14ac:dyDescent="0.35">
      <c r="A216" s="152">
        <f>IF(
    AND(
        YEAR(B215)=YEAR(DATE(YEAR($D$1), MONTH($D$1)-1, 1)),
        MONTH(B215)=MONTH(DATE(YEAR($D$1), MONTH($D$1)-1, 1))
    ),
    $D$1,
    IF(
        $D$4="",
        DATE(YEAR(B215), MONTH(B215)+1, 1),
        IF(
            AND(
                YEAR(B215)=YEAR(DATE(YEAR($D$4), MONTH($D$4)-1, 1)),
                MONTH(B215)=MONTH(DATE(YEAR($D$4), MONTH($D$4)-1, 1))
            ),
            $D$4,
            DATE(YEAR(B215), MONTH(B215)+1, 1)
        )
    )
)</f>
        <v>44562</v>
      </c>
      <c r="B216" s="152">
        <f>IF(
AND(
YEAR(B215)=YEAR(DATE(YEAR($D$2),MONTH($D$2)-1,1)),
MONTH(B215)=MONTH(DATE(YEAR($D$2),MONTH($D$2)-1,1))
),
$D$2,
IF(
$D$3="",
EOMONTH(B215,1),
IF(
AND(
YEAR(B215)=YEAR(DATE(YEAR($D$3),MONTH($D$3)-1,1)),
MONTH(B215)=MONTH(DATE(YEAR($D$3),MONTH($D$3)-1,1))
),
$D$3,
EOMONTH(B215,1)
)))</f>
        <v>44592</v>
      </c>
      <c r="C216" s="468">
        <v>2022</v>
      </c>
      <c r="D216" s="149" t="s">
        <v>96</v>
      </c>
      <c r="E216" s="271">
        <f>'CAP POST'!G215</f>
        <v>3196432.9332401422</v>
      </c>
      <c r="F216" s="271">
        <f t="shared" si="72"/>
        <v>0</v>
      </c>
      <c r="G216" s="216">
        <v>3.4700000000000002E-2</v>
      </c>
      <c r="H216" s="272">
        <f t="shared" si="54"/>
        <v>9.3460612729190373E-5</v>
      </c>
      <c r="I216" s="273">
        <f>IF(OR(A216=SABANA!$C$14, D216="adicional"),0,_xlfn.DAYS(B216,A216)+1)</f>
        <v>31</v>
      </c>
      <c r="J216" s="271">
        <f t="shared" si="73"/>
        <v>0</v>
      </c>
    </row>
    <row r="217" spans="1:10" x14ac:dyDescent="0.35">
      <c r="A217" s="152">
        <f>IF(
    AND(
        YEAR(B216)=YEAR(DATE(YEAR($D$1), MONTH($D$1)-1, 1)),
        MONTH(B216)=MONTH(DATE(YEAR($D$1), MONTH($D$1)-1, 1))
    ),
    $D$1,
    IF(
        $D$4="",
        DATE(YEAR(B216), MONTH(B216)+1, 1),
        IF(
            AND(
                YEAR(B216)=YEAR(DATE(YEAR($D$4), MONTH($D$4)-1, 1)),
                MONTH(B216)=MONTH(DATE(YEAR($D$4), MONTH($D$4)-1, 1))
            ),
            $D$4,
            DATE(YEAR(B216), MONTH(B216)+1, 1)
        )
    )
)</f>
        <v>44593</v>
      </c>
      <c r="B217" s="152">
        <f>IF(
AND(
YEAR(B216)=YEAR(DATE(YEAR($D$2),MONTH($D$2)-1,1)),
MONTH(B216)=MONTH(DATE(YEAR($D$2),MONTH($D$2)-1,1))
),
$D$2,
IF(
$D$3="",
EOMONTH(B216,1),
IF(
AND(
YEAR(B216)=YEAR(DATE(YEAR($D$3),MONTH($D$3)-1,1)),
MONTH(B216)=MONTH(DATE(YEAR($D$3),MONTH($D$3)-1,1))
),
$D$3,
EOMONTH(B216,1)
)))</f>
        <v>44620</v>
      </c>
      <c r="C217" s="471"/>
      <c r="D217" s="149" t="s">
        <v>97</v>
      </c>
      <c r="E217" s="271">
        <f>'CAP POST'!G216</f>
        <v>3196432.9332401422</v>
      </c>
      <c r="F217" s="271">
        <f t="shared" si="72"/>
        <v>0</v>
      </c>
      <c r="G217" s="216">
        <v>4.3099999999999999E-2</v>
      </c>
      <c r="H217" s="272">
        <f t="shared" si="54"/>
        <v>1.1561503550527874E-4</v>
      </c>
      <c r="I217" s="273">
        <f>IF(OR(A217=SABANA!$C$14, D217="adicional"),0,_xlfn.DAYS(B217,A217)+1)</f>
        <v>28</v>
      </c>
      <c r="J217" s="271">
        <f t="shared" si="73"/>
        <v>0</v>
      </c>
    </row>
    <row r="218" spans="1:10" x14ac:dyDescent="0.35">
      <c r="A218" s="152">
        <f>IF(
    AND(
        YEAR(B217)=YEAR(DATE(YEAR($D$1), MONTH($D$1)-1, 1)),
        MONTH(B217)=MONTH(DATE(YEAR($D$1), MONTH($D$1)-1, 1))
    ),
    $D$1,
    IF(
        $D$4="",
        DATE(YEAR(B217), MONTH(B217)+1, 1),
        IF(
            AND(
                YEAR(B217)=YEAR(DATE(YEAR($D$4), MONTH($D$4)-1, 1)),
                MONTH(B217)=MONTH(DATE(YEAR($D$4), MONTH($D$4)-1, 1))
            ),
            $D$4,
            DATE(YEAR(B217), MONTH(B217)+1, 1)
        )
    )
)</f>
        <v>44621</v>
      </c>
      <c r="B218" s="152">
        <f>IF(
AND(
YEAR(B217)=YEAR(DATE(YEAR($D$2),MONTH($D$2)-1,1)),
MONTH(B217)=MONTH(DATE(YEAR($D$2),MONTH($D$2)-1,1))
),
$D$2,
IF(
$D$3="",
EOMONTH(B217,1),
IF(
AND(
YEAR(B217)=YEAR(DATE(YEAR($D$3),MONTH($D$3)-1,1)),
MONTH(B217)=MONTH(DATE(YEAR($D$3),MONTH($D$3)-1,1))
),
$D$3,
EOMONTH(B217,1)
)))</f>
        <v>44651</v>
      </c>
      <c r="C218" s="471"/>
      <c r="D218" s="149" t="s">
        <v>98</v>
      </c>
      <c r="E218" s="271">
        <f>'CAP POST'!G217</f>
        <v>1598216.4666200711</v>
      </c>
      <c r="F218" s="271">
        <f t="shared" si="72"/>
        <v>0</v>
      </c>
      <c r="G218" s="216">
        <v>4.9700000000000001E-2</v>
      </c>
      <c r="H218" s="272">
        <f t="shared" si="54"/>
        <v>1.3289762205070943E-4</v>
      </c>
      <c r="I218" s="273">
        <f>IF(OR(A218=SABANA!$C$14, D218="adicional"),0,_xlfn.DAYS(B218,A218)+1)</f>
        <v>31</v>
      </c>
      <c r="J218" s="271">
        <f t="shared" si="73"/>
        <v>0</v>
      </c>
    </row>
    <row r="219" spans="1:10" x14ac:dyDescent="0.35">
      <c r="A219" s="152">
        <f>IF(
    AND(
        YEAR(B218)=YEAR(DATE(YEAR($D$1), MONTH($D$1)-1, 1)),
        MONTH(B218)=MONTH(DATE(YEAR($D$1), MONTH($D$1)-1, 1))
    ),
    $D$1,
    IF(
        $D$4="",
        DATE(YEAR(B218), MONTH(B218)+1, 1),
        IF(
            AND(
                YEAR(B218)=YEAR(DATE(YEAR($D$4), MONTH($D$4)-1, 1)),
                MONTH(B218)=MONTH(DATE(YEAR($D$4), MONTH($D$4)-1, 1))
            ),
            $D$4,
            DATE(YEAR(B218), MONTH(B218)+1, 1)
        )
    )
)</f>
        <v>44652</v>
      </c>
      <c r="B219" s="152">
        <f>IF(
AND(
YEAR(B218)=YEAR(DATE(YEAR($D$2),MONTH($D$2)-1,1)),
MONTH(B218)=MONTH(DATE(YEAR($D$2),MONTH($D$2)-1,1))
),
$D$2,
IF(
$D$3="",
EOMONTH(B218,1),
IF(
AND(
YEAR(B218)=YEAR(DATE(YEAR($D$3),MONTH($D$3)-1,1)),
MONTH(B218)=MONTH(DATE(YEAR($D$3),MONTH($D$3)-1,1))
),
$D$3,
EOMONTH(B218,1)
)))</f>
        <v>44681</v>
      </c>
      <c r="C219" s="471"/>
      <c r="D219" s="149" t="s">
        <v>99</v>
      </c>
      <c r="E219" s="271">
        <f>'CAP POST'!G218</f>
        <v>0</v>
      </c>
      <c r="F219" s="271">
        <f t="shared" si="72"/>
        <v>0</v>
      </c>
      <c r="G219" s="216">
        <v>5.9700000000000003E-2</v>
      </c>
      <c r="H219" s="272">
        <f t="shared" si="54"/>
        <v>1.5887796003677401E-4</v>
      </c>
      <c r="I219" s="273">
        <f>IF(OR(A219=SABANA!$C$14, D219="adicional"),0,_xlfn.DAYS(B219,A219)+1)</f>
        <v>30</v>
      </c>
      <c r="J219" s="271">
        <f t="shared" si="73"/>
        <v>0</v>
      </c>
    </row>
    <row r="220" spans="1:10" x14ac:dyDescent="0.35">
      <c r="A220" s="152">
        <f>IF(
    AND(
        YEAR(B219)=YEAR(DATE(YEAR($D$1), MONTH($D$1)-1, 1)),
        MONTH(B219)=MONTH(DATE(YEAR($D$1), MONTH($D$1)-1, 1))
    ),
    $D$1,
    IF(
        $D$4="",
        DATE(YEAR(B219), MONTH(B219)+1, 1),
        IF(
            AND(
                YEAR(B219)=YEAR(DATE(YEAR($D$4), MONTH($D$4)-1, 1)),
                MONTH(B219)=MONTH(DATE(YEAR($D$4), MONTH($D$4)-1, 1))
            ),
            $D$4,
            DATE(YEAR(B219), MONTH(B219)+1, 1)
        )
    )
)</f>
        <v>44682</v>
      </c>
      <c r="B220" s="152">
        <f>IF(
AND(
YEAR(B219)=YEAR(DATE(YEAR($D$2),MONTH($D$2)-1,1)),
MONTH(B219)=MONTH(DATE(YEAR($D$2),MONTH($D$2)-1,1))
),
$D$2,
IF(
$D$3="",
EOMONTH(B219,1),
IF(
AND(
YEAR(B219)=YEAR(DATE(YEAR($D$3),MONTH($D$3)-1,1)),
MONTH(B219)=MONTH(DATE(YEAR($D$3),MONTH($D$3)-1,1))
),
$D$3,
EOMONTH(B219,1)
)))</f>
        <v>44712</v>
      </c>
      <c r="C220" s="471"/>
      <c r="D220" s="149" t="s">
        <v>100</v>
      </c>
      <c r="E220" s="271">
        <f>'CAP POST'!G219</f>
        <v>0</v>
      </c>
      <c r="F220" s="271">
        <f t="shared" si="72"/>
        <v>0</v>
      </c>
      <c r="G220" s="216">
        <v>7.0400000000000004E-2</v>
      </c>
      <c r="H220" s="272">
        <f t="shared" si="54"/>
        <v>1.8640753718313086E-4</v>
      </c>
      <c r="I220" s="273">
        <f>IF(OR(A220=SABANA!$C$14, D220="adicional"),0,_xlfn.DAYS(B220,A220)+1)</f>
        <v>31</v>
      </c>
      <c r="J220" s="271">
        <f t="shared" si="73"/>
        <v>0</v>
      </c>
    </row>
    <row r="221" spans="1:10" x14ac:dyDescent="0.35">
      <c r="A221" s="156">
        <f t="shared" ref="A221" si="81">A222</f>
        <v>44713</v>
      </c>
      <c r="B221" s="156">
        <f t="shared" ref="B221" si="82">B222</f>
        <v>44742</v>
      </c>
      <c r="C221" s="471"/>
      <c r="D221" s="157" t="s">
        <v>101</v>
      </c>
      <c r="E221" s="274">
        <f>'CAP POST'!G220</f>
        <v>0</v>
      </c>
      <c r="F221" s="271">
        <f t="shared" si="72"/>
        <v>0</v>
      </c>
      <c r="G221" s="275"/>
      <c r="H221" s="276"/>
      <c r="I221" s="273">
        <f>IF(OR(A221=SABANA!$C$14, D221="adicional"),0,_xlfn.DAYS(B221,A221)+1)</f>
        <v>0</v>
      </c>
      <c r="J221" s="271">
        <f t="shared" si="73"/>
        <v>0</v>
      </c>
    </row>
    <row r="222" spans="1:10" x14ac:dyDescent="0.35">
      <c r="A222" s="152">
        <f>IF(
    AND(
        YEAR(B220)=YEAR(DATE(YEAR($D$1), MONTH($D$1)-1, 1)),
        MONTH(B220)=MONTH(DATE(YEAR($D$1), MONTH($D$1)-1, 1))
    ),
    $D$1,
    IF(
        $D$4="",
        DATE(YEAR(B220), MONTH(B220)+1, 1),
        IF(
            AND(
                YEAR(B220)=YEAR(DATE(YEAR($D$4), MONTH($D$4)-1, 1)),
                MONTH(B220)=MONTH(DATE(YEAR($D$4), MONTH($D$4)-1, 1))
            ),
            $D$4,
            DATE(YEAR(B220), MONTH(B220)+1, 1)
        )
    )
)</f>
        <v>44713</v>
      </c>
      <c r="B222" s="152">
        <f>IF(
AND(
YEAR(B220)=YEAR(DATE(YEAR($D$2),MONTH($D$2)-1,1)),
MONTH(B220)=MONTH(DATE(YEAR($D$2),MONTH($D$2)-1,1))
),
$D$2,
IF(
$D$3="",
EOMONTH(B220,1),
IF(
AND(
YEAR(B220)=YEAR(DATE(YEAR($D$3),MONTH($D$3)-1,1)),
MONTH(B220)=MONTH(DATE(YEAR($D$3),MONTH($D$3)-1,1))
),
$D$3,
EOMONTH(B220,1)
)))</f>
        <v>44742</v>
      </c>
      <c r="C222" s="471"/>
      <c r="D222" s="149" t="s">
        <v>102</v>
      </c>
      <c r="E222" s="271">
        <f>'CAP POST'!G221</f>
        <v>0</v>
      </c>
      <c r="F222" s="271">
        <f t="shared" si="72"/>
        <v>0</v>
      </c>
      <c r="G222" s="216">
        <v>7.7200000000000005E-2</v>
      </c>
      <c r="H222" s="272">
        <f>((1+G222)^(1/365)-1)</f>
        <v>2.0376070695582449E-4</v>
      </c>
      <c r="I222" s="273">
        <f>IF(OR(A222=SABANA!$C$14, D222="adicional"),0,_xlfn.DAYS(B222,A222)+1)</f>
        <v>30</v>
      </c>
      <c r="J222" s="271">
        <f t="shared" ref="J222" si="83">IF(AND(OR(A222&gt;=$D$4,B222&lt;=$D$3), AND(A221&gt;=$D$1,B221&lt;$D$2)),(F220*I222*H222),0)</f>
        <v>0</v>
      </c>
    </row>
    <row r="223" spans="1:10" x14ac:dyDescent="0.35">
      <c r="A223" s="152">
        <f>IF(
    AND(
        YEAR(B222)=YEAR(DATE(YEAR($D$1), MONTH($D$1)-1, 1)),
        MONTH(B222)=MONTH(DATE(YEAR($D$1), MONTH($D$1)-1, 1))
    ),
    $D$1,
    IF(
        $D$4="",
        DATE(YEAR(B222), MONTH(B222)+1, 1),
        IF(
            AND(
                YEAR(B222)=YEAR(DATE(YEAR($D$4), MONTH($D$4)-1, 1)),
                MONTH(B222)=MONTH(DATE(YEAR($D$4), MONTH($D$4)-1, 1))
            ),
            $D$4,
            DATE(YEAR(B222), MONTH(B222)+1, 1)
        )
    )
)</f>
        <v>44743</v>
      </c>
      <c r="B223" s="152">
        <f>IF(
AND(
YEAR(B222)=YEAR(DATE(YEAR($D$2),MONTH($D$2)-1,1)),
MONTH(B222)=MONTH(DATE(YEAR($D$2),MONTH($D$2)-1,1))
),
$D$2,
IF(
$D$3="",
EOMONTH(B222,1),
IF(
AND(
YEAR(B222)=YEAR(DATE(YEAR($D$3),MONTH($D$3)-1,1)),
MONTH(B222)=MONTH(DATE(YEAR($D$3),MONTH($D$3)-1,1))
),
$D$3,
EOMONTH(B222,1)
)))</f>
        <v>44773</v>
      </c>
      <c r="C223" s="471"/>
      <c r="D223" s="149" t="s">
        <v>103</v>
      </c>
      <c r="E223" s="271">
        <f>'CAP POST'!G222</f>
        <v>0</v>
      </c>
      <c r="F223" s="271">
        <f t="shared" si="72"/>
        <v>0</v>
      </c>
      <c r="G223" s="216">
        <v>9.2999999999999999E-2</v>
      </c>
      <c r="H223" s="272">
        <f t="shared" si="54"/>
        <v>2.4366313088708402E-4</v>
      </c>
      <c r="I223" s="273">
        <f>IF(OR(A223=SABANA!$C$14, D223="adicional"),0,_xlfn.DAYS(B223,A223)+1)</f>
        <v>31</v>
      </c>
      <c r="J223" s="271">
        <f t="shared" si="73"/>
        <v>0</v>
      </c>
    </row>
    <row r="224" spans="1:10" x14ac:dyDescent="0.35">
      <c r="A224" s="152">
        <f>IF(
    AND(
        YEAR(B223)=YEAR(DATE(YEAR($D$1), MONTH($D$1)-1, 1)),
        MONTH(B223)=MONTH(DATE(YEAR($D$1), MONTH($D$1)-1, 1))
    ),
    $D$1,
    IF(
        $D$4="",
        DATE(YEAR(B223), MONTH(B223)+1, 1),
        IF(
            AND(
                YEAR(B223)=YEAR(DATE(YEAR($D$4), MONTH($D$4)-1, 1)),
                MONTH(B223)=MONTH(DATE(YEAR($D$4), MONTH($D$4)-1, 1))
            ),
            $D$4,
            DATE(YEAR(B223), MONTH(B223)+1, 1)
        )
    )
)</f>
        <v>44774</v>
      </c>
      <c r="B224" s="152">
        <f>IF(
AND(
YEAR(B223)=YEAR(DATE(YEAR($D$2),MONTH($D$2)-1,1)),
MONTH(B223)=MONTH(DATE(YEAR($D$2),MONTH($D$2)-1,1))
),
$D$2,
IF(
$D$3="",
EOMONTH(B223,1),
IF(
AND(
YEAR(B223)=YEAR(DATE(YEAR($D$3),MONTH($D$3)-1,1)),
MONTH(B223)=MONTH(DATE(YEAR($D$3),MONTH($D$3)-1,1))
),
$D$3,
EOMONTH(B223,1)
)))</f>
        <v>44804</v>
      </c>
      <c r="C224" s="471"/>
      <c r="D224" s="149" t="s">
        <v>104</v>
      </c>
      <c r="E224" s="271">
        <f>'CAP POST'!G223</f>
        <v>0</v>
      </c>
      <c r="F224" s="271">
        <f t="shared" si="72"/>
        <v>0</v>
      </c>
      <c r="G224" s="216">
        <v>0.1057</v>
      </c>
      <c r="H224" s="272">
        <f t="shared" ref="H224:H248" si="84">((1+G224)^(1/365)-1)</f>
        <v>2.7532178056910439E-4</v>
      </c>
      <c r="I224" s="273">
        <f>IF(OR(A224=SABANA!$C$14, D224="adicional"),0,_xlfn.DAYS(B224,A224)+1)</f>
        <v>31</v>
      </c>
      <c r="J224" s="271">
        <f t="shared" si="73"/>
        <v>0</v>
      </c>
    </row>
    <row r="225" spans="1:10" x14ac:dyDescent="0.35">
      <c r="A225" s="152">
        <f>IF(
    AND(
        YEAR(B224)=YEAR(DATE(YEAR($D$1), MONTH($D$1)-1, 1)),
        MONTH(B224)=MONTH(DATE(YEAR($D$1), MONTH($D$1)-1, 1))
    ),
    $D$1,
    IF(
        $D$4="",
        DATE(YEAR(B224), MONTH(B224)+1, 1),
        IF(
            AND(
                YEAR(B224)=YEAR(DATE(YEAR($D$4), MONTH($D$4)-1, 1)),
                MONTH(B224)=MONTH(DATE(YEAR($D$4), MONTH($D$4)-1, 1))
            ),
            $D$4,
            DATE(YEAR(B224), MONTH(B224)+1, 1)
        )
    )
)</f>
        <v>44805</v>
      </c>
      <c r="B225" s="152">
        <f>IF(
AND(
YEAR(B224)=YEAR(DATE(YEAR($D$2),MONTH($D$2)-1,1)),
MONTH(B224)=MONTH(DATE(YEAR($D$2),MONTH($D$2)-1,1))
),
$D$2,
IF(
$D$3="",
EOMONTH(B224,1),
IF(
AND(
YEAR(B224)=YEAR(DATE(YEAR($D$3),MONTH($D$3)-1,1)),
MONTH(B224)=MONTH(DATE(YEAR($D$3),MONTH($D$3)-1,1))
),
$D$3,
EOMONTH(B224,1)
)))</f>
        <v>44834</v>
      </c>
      <c r="C225" s="471"/>
      <c r="D225" s="149" t="s">
        <v>105</v>
      </c>
      <c r="E225" s="271">
        <f>'CAP POST'!G224</f>
        <v>0</v>
      </c>
      <c r="F225" s="271">
        <f t="shared" si="72"/>
        <v>0</v>
      </c>
      <c r="G225" s="216">
        <v>0.1099</v>
      </c>
      <c r="H225" s="272">
        <f t="shared" si="84"/>
        <v>2.857118247707735E-4</v>
      </c>
      <c r="I225" s="273">
        <f>IF(OR(A225=SABANA!$C$14, D225="adicional"),0,_xlfn.DAYS(B225,A225)+1)</f>
        <v>30</v>
      </c>
      <c r="J225" s="271">
        <f t="shared" si="73"/>
        <v>0</v>
      </c>
    </row>
    <row r="226" spans="1:10" x14ac:dyDescent="0.35">
      <c r="A226" s="152">
        <f>IF(
    AND(
        YEAR(B225)=YEAR(DATE(YEAR($D$1), MONTH($D$1)-1, 1)),
        MONTH(B225)=MONTH(DATE(YEAR($D$1), MONTH($D$1)-1, 1))
    ),
    $D$1,
    IF(
        $D$4="",
        DATE(YEAR(B225), MONTH(B225)+1, 1),
        IF(
            AND(
                YEAR(B225)=YEAR(DATE(YEAR($D$4), MONTH($D$4)-1, 1)),
                MONTH(B225)=MONTH(DATE(YEAR($D$4), MONTH($D$4)-1, 1))
            ),
            $D$4,
            DATE(YEAR(B225), MONTH(B225)+1, 1)
        )
    )
)</f>
        <v>44835</v>
      </c>
      <c r="B226" s="152">
        <f>IF(
AND(
YEAR(B225)=YEAR(DATE(YEAR($D$2),MONTH($D$2)-1,1)),
MONTH(B225)=MONTH(DATE(YEAR($D$2),MONTH($D$2)-1,1))
),
$D$2,
IF(
$D$3="",
EOMONTH(B225,1),
IF(
AND(
YEAR(B225)=YEAR(DATE(YEAR($D$3),MONTH($D$3)-1,1)),
MONTH(B225)=MONTH(DATE(YEAR($D$3),MONTH($D$3)-1,1))
),
$D$3,
EOMONTH(B225,1)
)))</f>
        <v>44865</v>
      </c>
      <c r="C226" s="471"/>
      <c r="D226" s="149" t="s">
        <v>106</v>
      </c>
      <c r="E226" s="271">
        <f>'CAP POST'!G225</f>
        <v>0</v>
      </c>
      <c r="F226" s="271">
        <f t="shared" si="72"/>
        <v>0</v>
      </c>
      <c r="G226" s="216">
        <v>0.11600000000000001</v>
      </c>
      <c r="H226" s="272">
        <f t="shared" si="84"/>
        <v>3.0073250947526553E-4</v>
      </c>
      <c r="I226" s="273">
        <f>IF(OR(A226=SABANA!$C$14, D226="adicional"),0,_xlfn.DAYS(B226,A226)+1)</f>
        <v>31</v>
      </c>
      <c r="J226" s="271">
        <f t="shared" si="73"/>
        <v>0</v>
      </c>
    </row>
    <row r="227" spans="1:10" x14ac:dyDescent="0.35">
      <c r="A227" s="152">
        <f>IF(
    AND(
        YEAR(B226)=YEAR(DATE(YEAR($D$1), MONTH($D$1)-1, 1)),
        MONTH(B226)=MONTH(DATE(YEAR($D$1), MONTH($D$1)-1, 1))
    ),
    $D$1,
    IF(
        $D$4="",
        DATE(YEAR(B226), MONTH(B226)+1, 1),
        IF(
            AND(
                YEAR(B226)=YEAR(DATE(YEAR($D$4), MONTH($D$4)-1, 1)),
                MONTH(B226)=MONTH(DATE(YEAR($D$4), MONTH($D$4)-1, 1))
            ),
            $D$4,
            DATE(YEAR(B226), MONTH(B226)+1, 1)
        )
    )
)</f>
        <v>44866</v>
      </c>
      <c r="B227" s="152">
        <f>IF(
AND(
YEAR(B226)=YEAR(DATE(YEAR($D$2),MONTH($D$2)-1,1)),
MONTH(B226)=MONTH(DATE(YEAR($D$2),MONTH($D$2)-1,1))
),
$D$2,
IF(
$D$3="",
EOMONTH(B226,1),
IF(
AND(
YEAR(B226)=YEAR(DATE(YEAR($D$3),MONTH($D$3)-1,1)),
MONTH(B226)=MONTH(DATE(YEAR($D$3),MONTH($D$3)-1,1))
),
$D$3,
EOMONTH(B226,1)
)))</f>
        <v>44895</v>
      </c>
      <c r="C227" s="471"/>
      <c r="D227" s="149" t="s">
        <v>107</v>
      </c>
      <c r="E227" s="271">
        <f>'CAP POST'!G226</f>
        <v>0</v>
      </c>
      <c r="F227" s="271">
        <f t="shared" si="72"/>
        <v>0</v>
      </c>
      <c r="G227" s="216">
        <v>0.1263</v>
      </c>
      <c r="H227" s="272">
        <f t="shared" si="84"/>
        <v>3.2591042348917298E-4</v>
      </c>
      <c r="I227" s="273">
        <f>IF(OR(A227=SABANA!$C$14, D227="adicional"),0,_xlfn.DAYS(B227,A227)+1)</f>
        <v>30</v>
      </c>
      <c r="J227" s="271">
        <f t="shared" si="73"/>
        <v>0</v>
      </c>
    </row>
    <row r="228" spans="1:10" x14ac:dyDescent="0.35">
      <c r="A228" s="156">
        <f t="shared" ref="A228" si="85">A227</f>
        <v>44866</v>
      </c>
      <c r="B228" s="156">
        <f t="shared" ref="B228" si="86">B227</f>
        <v>44895</v>
      </c>
      <c r="C228" s="471"/>
      <c r="D228" s="157" t="s">
        <v>101</v>
      </c>
      <c r="E228" s="274">
        <f>'CAP POST'!G227</f>
        <v>0</v>
      </c>
      <c r="F228" s="271">
        <f t="shared" si="72"/>
        <v>0</v>
      </c>
      <c r="G228" s="275"/>
      <c r="H228" s="276"/>
      <c r="I228" s="273">
        <f>IF(OR(A228=SABANA!$C$14, D228="adicional"),0,_xlfn.DAYS(B228,A228)+1)</f>
        <v>0</v>
      </c>
      <c r="J228" s="271">
        <f t="shared" si="73"/>
        <v>0</v>
      </c>
    </row>
    <row r="229" spans="1:10" x14ac:dyDescent="0.35">
      <c r="A229" s="152">
        <f>IF(
    AND(
        YEAR(B227)=YEAR(DATE(YEAR($D$1), MONTH($D$1)-1, 1)),
        MONTH(B227)=MONTH(DATE(YEAR($D$1), MONTH($D$1)-1, 1))
    ),
    $D$1,
    IF(
        $D$4="",
        DATE(YEAR(B227), MONTH(B227)+1, 1),
        IF(
            AND(
                YEAR(B227)=YEAR(DATE(YEAR($D$4), MONTH($D$4)-1, 1)),
                MONTH(B227)=MONTH(DATE(YEAR($D$4), MONTH($D$4)-1, 1))
            ),
            $D$4,
            DATE(YEAR(B227), MONTH(B227)+1, 1)
        )
    )
)</f>
        <v>44896</v>
      </c>
      <c r="B229" s="152">
        <f>IF(
AND(
YEAR(B227)=YEAR(DATE(YEAR($D$2),MONTH($D$2)-1,1)),
MONTH(B227)=MONTH(DATE(YEAR($D$2),MONTH($D$2)-1,1))
),
$D$2,
IF(
$D$3="",
EOMONTH(B227,1),
IF(
AND(
YEAR(B227)=YEAR(DATE(YEAR($D$3),MONTH($D$3)-1,1)),
MONTH(B227)=MONTH(DATE(YEAR($D$3),MONTH($D$3)-1,1))
),
$D$3,
EOMONTH(B227,1)
)))</f>
        <v>44926</v>
      </c>
      <c r="C229" s="472"/>
      <c r="D229" s="149" t="s">
        <v>108</v>
      </c>
      <c r="E229" s="271">
        <f>'CAP POST'!G228</f>
        <v>0</v>
      </c>
      <c r="F229" s="271">
        <f t="shared" si="72"/>
        <v>0</v>
      </c>
      <c r="G229" s="216">
        <v>0.13420000000000001</v>
      </c>
      <c r="H229" s="272">
        <f t="shared" si="84"/>
        <v>3.4506652613908173E-4</v>
      </c>
      <c r="I229" s="273">
        <f>IF(OR(A229=SABANA!$C$14, D229="adicional"),0,_xlfn.DAYS(B229,A229)+1)</f>
        <v>31</v>
      </c>
      <c r="J229" s="271">
        <f t="shared" ref="J229" si="87">IF(AND(OR(A229&gt;=$D$4,B229&lt;=$D$3), AND(A228&gt;=$D$1,B228&lt;$D$2)),(F227*I229*H229),0)</f>
        <v>0</v>
      </c>
    </row>
    <row r="230" spans="1:10" x14ac:dyDescent="0.35">
      <c r="A230" s="152">
        <f>IF(
    AND(
        YEAR(B229)=YEAR(DATE(YEAR($D$1), MONTH($D$1)-1, 1)),
        MONTH(B229)=MONTH(DATE(YEAR($D$1), MONTH($D$1)-1, 1))
    ),
    $D$1,
    IF(
        $D$4="",
        DATE(YEAR(B229), MONTH(B229)+1, 1),
        IF(
            AND(
                YEAR(B229)=YEAR(DATE(YEAR($D$4), MONTH($D$4)-1, 1)),
                MONTH(B229)=MONTH(DATE(YEAR($D$4), MONTH($D$4)-1, 1))
            ),
            $D$4,
            DATE(YEAR(B229), MONTH(B229)+1, 1)
        )
    )
)</f>
        <v>44927</v>
      </c>
      <c r="B230" s="152">
        <f>IF(
AND(
YEAR(B229)=YEAR(DATE(YEAR($D$2),MONTH($D$2)-1,1)),
MONTH(B229)=MONTH(DATE(YEAR($D$2),MONTH($D$2)-1,1))
),
$D$2,
IF(
$D$3="",
EOMONTH(B229,1),
IF(
AND(
YEAR(B229)=YEAR(DATE(YEAR($D$3),MONTH($D$3)-1,1)),
MONTH(B229)=MONTH(DATE(YEAR($D$3),MONTH($D$3)-1,1))
),
$D$3,
EOMONTH(B229,1)
)))</f>
        <v>44957</v>
      </c>
      <c r="C230" s="468">
        <v>2023</v>
      </c>
      <c r="D230" s="149" t="s">
        <v>96</v>
      </c>
      <c r="E230" s="271">
        <f>'CAP POST'!G229</f>
        <v>0</v>
      </c>
      <c r="F230" s="271">
        <f t="shared" si="72"/>
        <v>0</v>
      </c>
      <c r="G230" s="277">
        <v>0.1391</v>
      </c>
      <c r="H230" s="272">
        <f t="shared" si="84"/>
        <v>3.5688141202028234E-4</v>
      </c>
      <c r="I230" s="273">
        <f>IF(OR(A230=SABANA!$C$14, D230="adicional"),0,_xlfn.DAYS(B230,A230)+1)</f>
        <v>31</v>
      </c>
      <c r="J230" s="271">
        <f t="shared" si="73"/>
        <v>0</v>
      </c>
    </row>
    <row r="231" spans="1:10" x14ac:dyDescent="0.35">
      <c r="A231" s="152">
        <f>IF(
    AND(
        YEAR(B230)=YEAR(DATE(YEAR($D$1), MONTH($D$1)-1, 1)),
        MONTH(B230)=MONTH(DATE(YEAR($D$1), MONTH($D$1)-1, 1))
    ),
    $D$1,
    IF(
        $D$4="",
        DATE(YEAR(B230), MONTH(B230)+1, 1),
        IF(
            AND(
                YEAR(B230)=YEAR(DATE(YEAR($D$4), MONTH($D$4)-1, 1)),
                MONTH(B230)=MONTH(DATE(YEAR($D$4), MONTH($D$4)-1, 1))
            ),
            $D$4,
            DATE(YEAR(B230), MONTH(B230)+1, 1)
        )
    )
)</f>
        <v>44958</v>
      </c>
      <c r="B231" s="152">
        <f>IF(
AND(
YEAR(B230)=YEAR(DATE(YEAR($D$2),MONTH($D$2)-1,1)),
MONTH(B230)=MONTH(DATE(YEAR($D$2),MONTH($D$2)-1,1))
),
$D$2,
IF(
$D$3="",
EOMONTH(B230,1),
IF(
AND(
YEAR(B230)=YEAR(DATE(YEAR($D$3),MONTH($D$3)-1,1)),
MONTH(B230)=MONTH(DATE(YEAR($D$3),MONTH($D$3)-1,1))
),
$D$3,
EOMONTH(B230,1)
)))</f>
        <v>44985</v>
      </c>
      <c r="C231" s="471"/>
      <c r="D231" s="149" t="s">
        <v>97</v>
      </c>
      <c r="E231" s="271">
        <f>'CAP POST'!G230</f>
        <v>0</v>
      </c>
      <c r="F231" s="271">
        <f t="shared" si="72"/>
        <v>0</v>
      </c>
      <c r="G231" s="277">
        <v>0.1439</v>
      </c>
      <c r="H231" s="272">
        <f t="shared" si="84"/>
        <v>3.6840613679478551E-4</v>
      </c>
      <c r="I231" s="273">
        <f>IF(OR(A231=SABANA!$C$14, D231="adicional"),0,_xlfn.DAYS(B231,A231)+1)</f>
        <v>28</v>
      </c>
      <c r="J231" s="271">
        <f t="shared" si="73"/>
        <v>0</v>
      </c>
    </row>
    <row r="232" spans="1:10" x14ac:dyDescent="0.35">
      <c r="A232" s="152">
        <f>IF(
    AND(
        YEAR(B231)=YEAR(DATE(YEAR($D$1), MONTH($D$1)-1, 1)),
        MONTH(B231)=MONTH(DATE(YEAR($D$1), MONTH($D$1)-1, 1))
    ),
    $D$1,
    IF(
        $D$4="",
        DATE(YEAR(B231), MONTH(B231)+1, 1),
        IF(
            AND(
                YEAR(B231)=YEAR(DATE(YEAR($D$4), MONTH($D$4)-1, 1)),
                MONTH(B231)=MONTH(DATE(YEAR($D$4), MONTH($D$4)-1, 1))
            ),
            $D$4,
            DATE(YEAR(B231), MONTH(B231)+1, 1)
        )
    )
)</f>
        <v>44986</v>
      </c>
      <c r="B232" s="152">
        <f>IF(
AND(
YEAR(B231)=YEAR(DATE(YEAR($D$2),MONTH($D$2)-1,1)),
MONTH(B231)=MONTH(DATE(YEAR($D$2),MONTH($D$2)-1,1))
),
$D$2,
IF(
$D$3="",
EOMONTH(B231,1),
IF(
AND(
YEAR(B231)=YEAR(DATE(YEAR($D$3),MONTH($D$3)-1,1)),
MONTH(B231)=MONTH(DATE(YEAR($D$3),MONTH($D$3)-1,1))
),
$D$3,
EOMONTH(B231,1)
)))</f>
        <v>45016</v>
      </c>
      <c r="C232" s="471"/>
      <c r="D232" s="149" t="s">
        <v>98</v>
      </c>
      <c r="E232" s="271">
        <f>'CAP POST'!G231</f>
        <v>0</v>
      </c>
      <c r="F232" s="271">
        <f t="shared" si="72"/>
        <v>0</v>
      </c>
      <c r="G232" s="277">
        <v>0.12529999999999999</v>
      </c>
      <c r="H232" s="272">
        <f t="shared" si="84"/>
        <v>3.2347605168414617E-4</v>
      </c>
      <c r="I232" s="273">
        <f>IF(OR(A232=SABANA!$C$14, D232="adicional"),0,_xlfn.DAYS(B232,A232)+1)</f>
        <v>31</v>
      </c>
      <c r="J232" s="271">
        <f t="shared" si="73"/>
        <v>0</v>
      </c>
    </row>
    <row r="233" spans="1:10" x14ac:dyDescent="0.35">
      <c r="A233" s="152">
        <f>IF(
    AND(
        YEAR(B232)=YEAR(DATE(YEAR($D$1), MONTH($D$1)-1, 1)),
        MONTH(B232)=MONTH(DATE(YEAR($D$1), MONTH($D$1)-1, 1))
    ),
    $D$1,
    IF(
        $D$4="",
        DATE(YEAR(B232), MONTH(B232)+1, 1),
        IF(
            AND(
                YEAR(B232)=YEAR(DATE(YEAR($D$4), MONTH($D$4)-1, 1)),
                MONTH(B232)=MONTH(DATE(YEAR($D$4), MONTH($D$4)-1, 1))
            ),
            $D$4,
            DATE(YEAR(B232), MONTH(B232)+1, 1)
        )
    )
)</f>
        <v>45017</v>
      </c>
      <c r="B233" s="152">
        <f>IF(
AND(
YEAR(B232)=YEAR(DATE(YEAR($D$2),MONTH($D$2)-1,1)),
MONTH(B232)=MONTH(DATE(YEAR($D$2),MONTH($D$2)-1,1))
),
$D$2,
IF(
$D$3="",
EOMONTH(B232,1),
IF(
AND(
YEAR(B232)=YEAR(DATE(YEAR($D$3),MONTH($D$3)-1,1)),
MONTH(B232)=MONTH(DATE(YEAR($D$3),MONTH($D$3)-1,1))
),
$D$3,
EOMONTH(B232,1)
)))</f>
        <v>45046</v>
      </c>
      <c r="C233" s="471"/>
      <c r="D233" s="149" t="s">
        <v>99</v>
      </c>
      <c r="E233" s="271">
        <f>'CAP POST'!G232</f>
        <v>0</v>
      </c>
      <c r="F233" s="271">
        <f t="shared" si="72"/>
        <v>0</v>
      </c>
      <c r="G233" s="277">
        <v>0.12529999999999999</v>
      </c>
      <c r="H233" s="272">
        <f t="shared" si="84"/>
        <v>3.2347605168414617E-4</v>
      </c>
      <c r="I233" s="273">
        <f>IF(OR(A233=SABANA!$C$14, D233="adicional"),0,_xlfn.DAYS(B233,A233)+1)</f>
        <v>30</v>
      </c>
      <c r="J233" s="271">
        <f t="shared" si="73"/>
        <v>0</v>
      </c>
    </row>
    <row r="234" spans="1:10" x14ac:dyDescent="0.35">
      <c r="A234" s="152">
        <f>IF(
    AND(
        YEAR(B233)=YEAR(DATE(YEAR($D$1), MONTH($D$1)-1, 1)),
        MONTH(B233)=MONTH(DATE(YEAR($D$1), MONTH($D$1)-1, 1))
    ),
    $D$1,
    IF(
        $D$4="",
        DATE(YEAR(B233), MONTH(B233)+1, 1),
        IF(
            AND(
                YEAR(B233)=YEAR(DATE(YEAR($D$4), MONTH($D$4)-1, 1)),
                MONTH(B233)=MONTH(DATE(YEAR($D$4), MONTH($D$4)-1, 1))
            ),
            $D$4,
            DATE(YEAR(B233), MONTH(B233)+1, 1)
        )
    )
)</f>
        <v>45047</v>
      </c>
      <c r="B234" s="152">
        <f>IF(
AND(
YEAR(B233)=YEAR(DATE(YEAR($D$2),MONTH($D$2)-1,1)),
MONTH(B233)=MONTH(DATE(YEAR($D$2),MONTH($D$2)-1,1))
),
$D$2,
IF(
$D$3="",
EOMONTH(B233,1),
IF(
AND(
YEAR(B233)=YEAR(DATE(YEAR($D$3),MONTH($D$3)-1,1)),
MONTH(B233)=MONTH(DATE(YEAR($D$3),MONTH($D$3)-1,1))
),
$D$3,
EOMONTH(B233,1)
)))</f>
        <v>45077</v>
      </c>
      <c r="C234" s="471"/>
      <c r="D234" s="149" t="s">
        <v>100</v>
      </c>
      <c r="E234" s="271">
        <f>'CAP POST'!G233</f>
        <v>0</v>
      </c>
      <c r="F234" s="271">
        <f t="shared" si="72"/>
        <v>0</v>
      </c>
      <c r="G234" s="277">
        <v>0.12570000000000001</v>
      </c>
      <c r="H234" s="272">
        <f t="shared" si="84"/>
        <v>3.2445005919234937E-4</v>
      </c>
      <c r="I234" s="273">
        <f>IF(OR(A234=SABANA!$C$14, D234="adicional"),0,_xlfn.DAYS(B234,A234)+1)</f>
        <v>31</v>
      </c>
      <c r="J234" s="271">
        <f t="shared" si="73"/>
        <v>0</v>
      </c>
    </row>
    <row r="235" spans="1:10" x14ac:dyDescent="0.35">
      <c r="A235" s="156">
        <f t="shared" ref="A235" si="88">A236</f>
        <v>45078</v>
      </c>
      <c r="B235" s="156">
        <f t="shared" ref="B235" si="89">B236</f>
        <v>45107</v>
      </c>
      <c r="C235" s="471"/>
      <c r="D235" s="157" t="s">
        <v>101</v>
      </c>
      <c r="E235" s="274">
        <f>'CAP POST'!G234</f>
        <v>0</v>
      </c>
      <c r="F235" s="271">
        <f t="shared" si="72"/>
        <v>0</v>
      </c>
      <c r="G235" s="275"/>
      <c r="H235" s="276"/>
      <c r="I235" s="273">
        <f>IF(OR(A235=SABANA!$C$14, D235="adicional"),0,_xlfn.DAYS(B235,A235)+1)</f>
        <v>0</v>
      </c>
      <c r="J235" s="271">
        <f t="shared" si="73"/>
        <v>0</v>
      </c>
    </row>
    <row r="236" spans="1:10" x14ac:dyDescent="0.35">
      <c r="A236" s="152">
        <f>IF(
    AND(
        YEAR(B234)=YEAR(DATE(YEAR($D$1), MONTH($D$1)-1, 1)),
        MONTH(B234)=MONTH(DATE(YEAR($D$1), MONTH($D$1)-1, 1))
    ),
    $D$1,
    IF(
        $D$4="",
        DATE(YEAR(B234), MONTH(B234)+1, 1),
        IF(
            AND(
                YEAR(B234)=YEAR(DATE(YEAR($D$4), MONTH($D$4)-1, 1)),
                MONTH(B234)=MONTH(DATE(YEAR($D$4), MONTH($D$4)-1, 1))
            ),
            $D$4,
            DATE(YEAR(B234), MONTH(B234)+1, 1)
        )
    )
)</f>
        <v>45078</v>
      </c>
      <c r="B236" s="152">
        <f>IF(
AND(
YEAR(B234)=YEAR(DATE(YEAR($D$2),MONTH($D$2)-1,1)),
MONTH(B234)=MONTH(DATE(YEAR($D$2),MONTH($D$2)-1,1))
),
$D$2,
IF(
$D$3="",
EOMONTH(B234,1),
IF(
AND(
YEAR(B234)=YEAR(DATE(YEAR($D$3),MONTH($D$3)-1,1)),
MONTH(B234)=MONTH(DATE(YEAR($D$3),MONTH($D$3)-1,1))
),
$D$3,
EOMONTH(B234,1)
)))</f>
        <v>45107</v>
      </c>
      <c r="C236" s="471"/>
      <c r="D236" s="149" t="s">
        <v>102</v>
      </c>
      <c r="E236" s="271">
        <f>'CAP POST'!G235</f>
        <v>0</v>
      </c>
      <c r="F236" s="271">
        <f t="shared" si="72"/>
        <v>0</v>
      </c>
      <c r="G236" s="277">
        <v>0.13020000000000001</v>
      </c>
      <c r="H236" s="272">
        <f>((1+G236)^(1/365)-1)</f>
        <v>3.3538392235188397E-4</v>
      </c>
      <c r="I236" s="273">
        <f>IF(OR(A236=SABANA!$C$14, D236="adicional"),0,_xlfn.DAYS(B236,A236)+1)</f>
        <v>30</v>
      </c>
      <c r="J236" s="271">
        <f t="shared" ref="J236" si="90">IF(AND(OR(A236&gt;=$D$4,B236&lt;=$D$3), AND(A235&gt;=$D$1,B235&lt;$D$2)),(F234*I236*H236),0)</f>
        <v>0</v>
      </c>
    </row>
    <row r="237" spans="1:10" x14ac:dyDescent="0.35">
      <c r="A237" s="152">
        <f>IF(
    AND(
        YEAR(B236)=YEAR(DATE(YEAR($D$1), MONTH($D$1)-1, 1)),
        MONTH(B236)=MONTH(DATE(YEAR($D$1), MONTH($D$1)-1, 1))
    ),
    $D$1,
    IF(
        $D$4="",
        DATE(YEAR(B236), MONTH(B236)+1, 1),
        IF(
            AND(
                YEAR(B236)=YEAR(DATE(YEAR($D$4), MONTH($D$4)-1, 1)),
                MONTH(B236)=MONTH(DATE(YEAR($D$4), MONTH($D$4)-1, 1))
            ),
            $D$4,
            DATE(YEAR(B236), MONTH(B236)+1, 1)
        )
    )
)</f>
        <v>45108</v>
      </c>
      <c r="B237" s="152">
        <f>IF(
AND(
YEAR(B236)=YEAR(DATE(YEAR($D$2),MONTH($D$2)-1,1)),
MONTH(B236)=MONTH(DATE(YEAR($D$2),MONTH($D$2)-1,1))
),
$D$2,
IF(
$D$3="",
EOMONTH(B236,1),
IF(
AND(
YEAR(B236)=YEAR(DATE(YEAR($D$3),MONTH($D$3)-1,1)),
MONTH(B236)=MONTH(DATE(YEAR($D$3),MONTH($D$3)-1,1))
),
$D$3,
EOMONTH(B236,1)
)))</f>
        <v>45138</v>
      </c>
      <c r="C237" s="471"/>
      <c r="D237" s="149" t="s">
        <v>103</v>
      </c>
      <c r="E237" s="271">
        <f>'CAP POST'!G236</f>
        <v>0</v>
      </c>
      <c r="F237" s="271">
        <f t="shared" si="72"/>
        <v>0</v>
      </c>
      <c r="G237" s="277">
        <v>0.1358</v>
      </c>
      <c r="H237" s="272">
        <f t="shared" si="84"/>
        <v>3.4893003579394843E-4</v>
      </c>
      <c r="I237" s="273">
        <f>IF(OR(A237=SABANA!$C$14, D237="adicional"),0,_xlfn.DAYS(B237,A237)+1)</f>
        <v>31</v>
      </c>
      <c r="J237" s="271">
        <f t="shared" si="73"/>
        <v>0</v>
      </c>
    </row>
    <row r="238" spans="1:10" x14ac:dyDescent="0.35">
      <c r="A238" s="152">
        <f>IF(
    AND(
        YEAR(B237)=YEAR(DATE(YEAR($D$1), MONTH($D$1)-1, 1)),
        MONTH(B237)=MONTH(DATE(YEAR($D$1), MONTH($D$1)-1, 1))
    ),
    $D$1,
    IF(
        $D$4="",
        DATE(YEAR(B237), MONTH(B237)+1, 1),
        IF(
            AND(
                YEAR(B237)=YEAR(DATE(YEAR($D$4), MONTH($D$4)-1, 1)),
                MONTH(B237)=MONTH(DATE(YEAR($D$4), MONTH($D$4)-1, 1))
            ),
            $D$4,
            DATE(YEAR(B237), MONTH(B237)+1, 1)
        )
    )
)</f>
        <v>45139</v>
      </c>
      <c r="B238" s="152">
        <f>IF(
AND(
YEAR(B237)=YEAR(DATE(YEAR($D$2),MONTH($D$2)-1,1)),
MONTH(B237)=MONTH(DATE(YEAR($D$2),MONTH($D$2)-1,1))
),
$D$2,
IF(
$D$3="",
EOMONTH(B237,1),
IF(
AND(
YEAR(B237)=YEAR(DATE(YEAR($D$3),MONTH($D$3)-1,1)),
MONTH(B237)=MONTH(DATE(YEAR($D$3),MONTH($D$3)-1,1))
),
$D$3,
EOMONTH(B237,1)
)))</f>
        <v>45169</v>
      </c>
      <c r="C238" s="471"/>
      <c r="D238" s="149" t="s">
        <v>104</v>
      </c>
      <c r="E238" s="271">
        <f>'CAP POST'!G237</f>
        <v>0</v>
      </c>
      <c r="F238" s="271">
        <f t="shared" si="72"/>
        <v>0</v>
      </c>
      <c r="G238" s="277">
        <v>0.1371</v>
      </c>
      <c r="H238" s="272">
        <f t="shared" si="84"/>
        <v>3.5206514298891101E-4</v>
      </c>
      <c r="I238" s="273">
        <f>IF(OR(A238=SABANA!$C$14, D238="adicional"),0,_xlfn.DAYS(B238,A238)+1)</f>
        <v>31</v>
      </c>
      <c r="J238" s="271">
        <f t="shared" si="73"/>
        <v>0</v>
      </c>
    </row>
    <row r="239" spans="1:10" x14ac:dyDescent="0.35">
      <c r="A239" s="152">
        <f>IF(
    AND(
        YEAR(B238)=YEAR(DATE(YEAR($D$1), MONTH($D$1)-1, 1)),
        MONTH(B238)=MONTH(DATE(YEAR($D$1), MONTH($D$1)-1, 1))
    ),
    $D$1,
    IF(
        $D$4="",
        DATE(YEAR(B238), MONTH(B238)+1, 1),
        IF(
            AND(
                YEAR(B238)=YEAR(DATE(YEAR($D$4), MONTH($D$4)-1, 1)),
                MONTH(B238)=MONTH(DATE(YEAR($D$4), MONTH($D$4)-1, 1))
            ),
            $D$4,
            DATE(YEAR(B238), MONTH(B238)+1, 1)
        )
    )
)</f>
        <v>45170</v>
      </c>
      <c r="B239" s="152">
        <f>IF(
AND(
YEAR(B238)=YEAR(DATE(YEAR($D$2),MONTH($D$2)-1,1)),
MONTH(B238)=MONTH(DATE(YEAR($D$2),MONTH($D$2)-1,1))
),
$D$2,
IF(
$D$3="",
EOMONTH(B238,1),
IF(
AND(
YEAR(B238)=YEAR(DATE(YEAR($D$3),MONTH($D$3)-1,1)),
MONTH(B238)=MONTH(DATE(YEAR($D$3),MONTH($D$3)-1,1))
),
$D$3,
EOMONTH(B238,1)
)))</f>
        <v>45199</v>
      </c>
      <c r="C239" s="471"/>
      <c r="D239" s="149" t="s">
        <v>105</v>
      </c>
      <c r="E239" s="271">
        <f>'CAP POST'!G238</f>
        <v>0</v>
      </c>
      <c r="F239" s="271">
        <f t="shared" si="72"/>
        <v>0</v>
      </c>
      <c r="G239" s="277">
        <v>0.13070000000000001</v>
      </c>
      <c r="H239" s="272">
        <f t="shared" si="84"/>
        <v>3.3659611510361565E-4</v>
      </c>
      <c r="I239" s="273">
        <f>IF(OR(A239=SABANA!$C$14, D239="adicional"),0,_xlfn.DAYS(B239,A239)+1)</f>
        <v>30</v>
      </c>
      <c r="J239" s="271">
        <f t="shared" si="73"/>
        <v>0</v>
      </c>
    </row>
    <row r="240" spans="1:10" x14ac:dyDescent="0.35">
      <c r="A240" s="152">
        <f>IF(
    AND(
        YEAR(B239)=YEAR(DATE(YEAR($D$1), MONTH($D$1)-1, 1)),
        MONTH(B239)=MONTH(DATE(YEAR($D$1), MONTH($D$1)-1, 1))
    ),
    $D$1,
    IF(
        $D$4="",
        DATE(YEAR(B239), MONTH(B239)+1, 1),
        IF(
            AND(
                YEAR(B239)=YEAR(DATE(YEAR($D$4), MONTH($D$4)-1, 1)),
                MONTH(B239)=MONTH(DATE(YEAR($D$4), MONTH($D$4)-1, 1))
            ),
            $D$4,
            DATE(YEAR(B239), MONTH(B239)+1, 1)
        )
    )
)</f>
        <v>45200</v>
      </c>
      <c r="B240" s="152">
        <f>IF(
AND(
YEAR(B239)=YEAR(DATE(YEAR($D$2),MONTH($D$2)-1,1)),
MONTH(B239)=MONTH(DATE(YEAR($D$2),MONTH($D$2)-1,1))
),
$D$2,
IF(
$D$3="",
EOMONTH(B239,1),
IF(
AND(
YEAR(B239)=YEAR(DATE(YEAR($D$3),MONTH($D$3)-1,1)),
MONTH(B239)=MONTH(DATE(YEAR($D$3),MONTH($D$3)-1,1))
),
$D$3,
EOMONTH(B239,1)
)))</f>
        <v>45230</v>
      </c>
      <c r="C240" s="471"/>
      <c r="D240" s="149" t="s">
        <v>106</v>
      </c>
      <c r="E240" s="271">
        <f>'CAP POST'!G239</f>
        <v>0</v>
      </c>
      <c r="F240" s="271">
        <f t="shared" si="72"/>
        <v>0</v>
      </c>
      <c r="G240" s="277">
        <v>0.13089999999999999</v>
      </c>
      <c r="H240" s="272">
        <f t="shared" si="84"/>
        <v>3.3708084253203374E-4</v>
      </c>
      <c r="I240" s="273">
        <f>IF(OR(A240=SABANA!$C$14, D240="adicional"),0,_xlfn.DAYS(B240,A240)+1)</f>
        <v>31</v>
      </c>
      <c r="J240" s="271">
        <f t="shared" si="73"/>
        <v>0</v>
      </c>
    </row>
    <row r="241" spans="1:10" x14ac:dyDescent="0.35">
      <c r="A241" s="152">
        <f>IF(
    AND(
        YEAR(B240)=YEAR(DATE(YEAR($D$1), MONTH($D$1)-1, 1)),
        MONTH(B240)=MONTH(DATE(YEAR($D$1), MONTH($D$1)-1, 1))
    ),
    $D$1,
    IF(
        $D$4="",
        DATE(YEAR(B240), MONTH(B240)+1, 1),
        IF(
            AND(
                YEAR(B240)=YEAR(DATE(YEAR($D$4), MONTH($D$4)-1, 1)),
                MONTH(B240)=MONTH(DATE(YEAR($D$4), MONTH($D$4)-1, 1))
            ),
            $D$4,
            DATE(YEAR(B240), MONTH(B240)+1, 1)
        )
    )
)</f>
        <v>45231</v>
      </c>
      <c r="B241" s="152">
        <f>IF(
AND(
YEAR(B240)=YEAR(DATE(YEAR($D$2),MONTH($D$2)-1,1)),
MONTH(B240)=MONTH(DATE(YEAR($D$2),MONTH($D$2)-1,1))
),
$D$2,
IF(
$D$3="",
EOMONTH(B240,1),
IF(
AND(
YEAR(B240)=YEAR(DATE(YEAR($D$3),MONTH($D$3)-1,1)),
MONTH(B240)=MONTH(DATE(YEAR($D$3),MONTH($D$3)-1,1))
),
$D$3,
EOMONTH(B240,1)
)))</f>
        <v>45260</v>
      </c>
      <c r="C241" s="471"/>
      <c r="D241" s="149" t="s">
        <v>107</v>
      </c>
      <c r="E241" s="271">
        <f>'CAP POST'!G240</f>
        <v>0</v>
      </c>
      <c r="F241" s="271">
        <f t="shared" si="72"/>
        <v>0</v>
      </c>
      <c r="G241" s="277">
        <v>0.12759999999999999</v>
      </c>
      <c r="H241" s="272">
        <f t="shared" si="84"/>
        <v>3.2907188640884932E-4</v>
      </c>
      <c r="I241" s="273">
        <f>IF(OR(A241=SABANA!$C$14, D241="adicional"),0,_xlfn.DAYS(B241,A241)+1)</f>
        <v>30</v>
      </c>
      <c r="J241" s="271">
        <f t="shared" si="73"/>
        <v>0</v>
      </c>
    </row>
    <row r="242" spans="1:10" x14ac:dyDescent="0.35">
      <c r="A242" s="156">
        <f t="shared" ref="A242" si="91">A241</f>
        <v>45231</v>
      </c>
      <c r="B242" s="156">
        <f t="shared" ref="B242" si="92">B241</f>
        <v>45260</v>
      </c>
      <c r="C242" s="471"/>
      <c r="D242" s="157" t="s">
        <v>101</v>
      </c>
      <c r="E242" s="274">
        <f>'CAP POST'!G241</f>
        <v>0</v>
      </c>
      <c r="F242" s="271">
        <f t="shared" si="72"/>
        <v>0</v>
      </c>
      <c r="G242" s="275"/>
      <c r="H242" s="276"/>
      <c r="I242" s="273">
        <f>IF(OR(A242=SABANA!$C$14, D242="adicional"),0,_xlfn.DAYS(B242,A242)+1)</f>
        <v>0</v>
      </c>
      <c r="J242" s="271">
        <f t="shared" si="73"/>
        <v>0</v>
      </c>
    </row>
    <row r="243" spans="1:10" x14ac:dyDescent="0.35">
      <c r="A243" s="152">
        <f>IF(
    AND(
        YEAR(B241)=YEAR(DATE(YEAR($D$1), MONTH($D$1)-1, 1)),
        MONTH(B241)=MONTH(DATE(YEAR($D$1), MONTH($D$1)-1, 1))
    ),
    $D$1,
    IF(
        $D$4="",
        DATE(YEAR(B241), MONTH(B241)+1, 1),
        IF(
            AND(
                YEAR(B241)=YEAR(DATE(YEAR($D$4), MONTH($D$4)-1, 1)),
                MONTH(B241)=MONTH(DATE(YEAR($D$4), MONTH($D$4)-1, 1))
            ),
            $D$4,
            DATE(YEAR(B241), MONTH(B241)+1, 1)
        )
    )
)</f>
        <v>45261</v>
      </c>
      <c r="B243" s="152">
        <f>IF(
AND(
YEAR(B241)=YEAR(DATE(YEAR($D$2),MONTH($D$2)-1,1)),
MONTH(B241)=MONTH(DATE(YEAR($D$2),MONTH($D$2)-1,1))
),
$D$2,
IF(
$D$3="",
EOMONTH(B241,1),
IF(
AND(
YEAR(B241)=YEAR(DATE(YEAR($D$3),MONTH($D$3)-1,1)),
MONTH(B241)=MONTH(DATE(YEAR($D$3),MONTH($D$3)-1,1))
),
$D$3,
EOMONTH(B241,1)
)))</f>
        <v>45291</v>
      </c>
      <c r="C243" s="472"/>
      <c r="D243" s="149" t="s">
        <v>108</v>
      </c>
      <c r="E243" s="271">
        <f>'CAP POST'!G242</f>
        <v>0</v>
      </c>
      <c r="F243" s="271">
        <f t="shared" si="72"/>
        <v>0</v>
      </c>
      <c r="G243" s="216">
        <v>0.1263</v>
      </c>
      <c r="H243" s="272">
        <f t="shared" si="84"/>
        <v>3.2591042348917298E-4</v>
      </c>
      <c r="I243" s="273">
        <f>IF(OR(A243=SABANA!$C$14, D243="adicional"),0,_xlfn.DAYS(B243,A243)+1)</f>
        <v>31</v>
      </c>
      <c r="J243" s="271">
        <f t="shared" ref="J243" si="93">IF(AND(OR(A243&gt;=$D$4,B243&lt;=$D$3), AND(A242&gt;=$D$1,B242&lt;$D$2)),(F241*I243*H243),0)</f>
        <v>0</v>
      </c>
    </row>
    <row r="244" spans="1:10" x14ac:dyDescent="0.35">
      <c r="A244" s="152">
        <f>IF(
    AND(
        YEAR(B243)=YEAR(DATE(YEAR($D$1), MONTH($D$1)-1, 1)),
        MONTH(B243)=MONTH(DATE(YEAR($D$1), MONTH($D$1)-1, 1))
    ),
    $D$1,
    IF(
        $D$4="",
        DATE(YEAR(B243), MONTH(B243)+1, 1),
        IF(
            AND(
                YEAR(B243)=YEAR(DATE(YEAR($D$4), MONTH($D$4)-1, 1)),
                MONTH(B243)=MONTH(DATE(YEAR($D$4), MONTH($D$4)-1, 1))
            ),
            $D$4,
            DATE(YEAR(B243), MONTH(B243)+1, 1)
        )
    )
)</f>
        <v>45292</v>
      </c>
      <c r="B244" s="152">
        <f>IF(
AND(
YEAR(B243)=YEAR(DATE(YEAR($D$2),MONTH($D$2)-1,1)),
MONTH(B243)=MONTH(DATE(YEAR($D$2),MONTH($D$2)-1,1))
),
$D$2,
IF(
$D$3="",
EOMONTH(B243,1),
IF(
AND(
YEAR(B243)=YEAR(DATE(YEAR($D$3),MONTH($D$3)-1,1)),
MONTH(B243)=MONTH(DATE(YEAR($D$3),MONTH($D$3)-1,1))
),
$D$3,
EOMONTH(B243,1)
)))</f>
        <v>45322</v>
      </c>
      <c r="C244" s="468">
        <v>2024</v>
      </c>
      <c r="D244" s="149" t="s">
        <v>96</v>
      </c>
      <c r="E244" s="271">
        <f>'CAP POST'!G243</f>
        <v>0</v>
      </c>
      <c r="F244" s="271">
        <f t="shared" si="72"/>
        <v>0</v>
      </c>
      <c r="G244" s="277">
        <v>0.1162</v>
      </c>
      <c r="H244" s="272">
        <f t="shared" si="84"/>
        <v>3.0122360357642819E-4</v>
      </c>
      <c r="I244" s="273">
        <f>IF(OR(A244=SABANA!$C$14, D244="adicional"),0,_xlfn.DAYS(B244,A244)+1)</f>
        <v>31</v>
      </c>
      <c r="J244" s="271">
        <f t="shared" si="73"/>
        <v>0</v>
      </c>
    </row>
    <row r="245" spans="1:10" x14ac:dyDescent="0.35">
      <c r="A245" s="152">
        <f>IF(
    AND(
        YEAR(B244)=YEAR(DATE(YEAR($D$1), MONTH($D$1)-1, 1)),
        MONTH(B244)=MONTH(DATE(YEAR($D$1), MONTH($D$1)-1, 1))
    ),
    $D$1,
    IF(
        $D$4="",
        DATE(YEAR(B244), MONTH(B244)+1, 1),
        IF(
            AND(
                YEAR(B244)=YEAR(DATE(YEAR($D$4), MONTH($D$4)-1, 1)),
                MONTH(B244)=MONTH(DATE(YEAR($D$4), MONTH($D$4)-1, 1))
            ),
            $D$4,
            DATE(YEAR(B244), MONTH(B244)+1, 1)
        )
    )
)</f>
        <v>45323</v>
      </c>
      <c r="B245" s="152">
        <f>IF(
AND(
YEAR(B244)=YEAR(DATE(YEAR($D$2),MONTH($D$2)-1,1)),
MONTH(B244)=MONTH(DATE(YEAR($D$2),MONTH($D$2)-1,1))
),
$D$2,
IF(
$D$3="",
EOMONTH(B244,1),
IF(
AND(
YEAR(B244)=YEAR(DATE(YEAR($D$3),MONTH($D$3)-1,1)),
MONTH(B244)=MONTH(DATE(YEAR($D$3),MONTH($D$3)-1,1))
),
$D$3,
EOMONTH(B244,1)
)))</f>
        <v>45351</v>
      </c>
      <c r="C245" s="471"/>
      <c r="D245" s="149" t="s">
        <v>97</v>
      </c>
      <c r="E245" s="271">
        <f>'CAP POST'!G244</f>
        <v>0</v>
      </c>
      <c r="F245" s="271">
        <f>IF(AND(A245&gt;=$D$1,B245&lt;=$D$2),(F244+E245),0)</f>
        <v>0</v>
      </c>
      <c r="G245" s="277">
        <v>0.11070000000000001</v>
      </c>
      <c r="H245" s="272">
        <f t="shared" si="84"/>
        <v>2.8768643460441723E-4</v>
      </c>
      <c r="I245" s="273">
        <f>IF(OR(A245=SABANA!$C$14, D245="adicional"),0,_xlfn.DAYS(B245,A245)+1)</f>
        <v>29</v>
      </c>
      <c r="J245" s="271">
        <f t="shared" si="73"/>
        <v>0</v>
      </c>
    </row>
    <row r="246" spans="1:10" x14ac:dyDescent="0.35">
      <c r="A246" s="152">
        <f>IF(
    AND(
        YEAR(B245)=YEAR(DATE(YEAR($D$1), MONTH($D$1)-1, 1)),
        MONTH(B245)=MONTH(DATE(YEAR($D$1), MONTH($D$1)-1, 1))
    ),
    $D$1,
    IF(
        $D$4="",
        DATE(YEAR(B245), MONTH(B245)+1, 1),
        IF(
            AND(
                YEAR(B245)=YEAR(DATE(YEAR($D$4), MONTH($D$4)-1, 1)),
                MONTH(B245)=MONTH(DATE(YEAR($D$4), MONTH($D$4)-1, 1))
            ),
            $D$4,
            DATE(YEAR(B245), MONTH(B245)+1, 1)
        )
    )
)</f>
        <v>45352</v>
      </c>
      <c r="B246" s="152">
        <f>IF(
AND(
YEAR(B245)=YEAR(DATE(YEAR($D$2),MONTH($D$2)-1,1)),
MONTH(B245)=MONTH(DATE(YEAR($D$2),MONTH($D$2)-1,1))
),
$D$2,
IF(
$D$3="",
EOMONTH(B245,1),
IF(
AND(
YEAR(B245)=YEAR(DATE(YEAR($D$3),MONTH($D$3)-1,1)),
MONTH(B245)=MONTH(DATE(YEAR($D$3),MONTH($D$3)-1,1))
),
$D$3,
EOMONTH(B245,1)
)))</f>
        <v>45382</v>
      </c>
      <c r="C246" s="471"/>
      <c r="D246" s="149" t="s">
        <v>98</v>
      </c>
      <c r="E246" s="271">
        <f>'CAP POST'!G245</f>
        <v>0</v>
      </c>
      <c r="F246" s="271">
        <f t="shared" ref="F246:F248" si="94">IF(AND(A246&gt;=$D$1,B246&lt;=$D$2),(F245+E246),0)</f>
        <v>0</v>
      </c>
      <c r="G246" s="277">
        <v>0.1085</v>
      </c>
      <c r="H246" s="272">
        <f t="shared" si="84"/>
        <v>2.8225283974103732E-4</v>
      </c>
      <c r="I246" s="273">
        <f>IF(OR(A246=SABANA!$C$14, D246="adicional"),0,_xlfn.DAYS(B246,A246)+1)</f>
        <v>31</v>
      </c>
      <c r="J246" s="271">
        <f t="shared" si="73"/>
        <v>0</v>
      </c>
    </row>
    <row r="247" spans="1:10" x14ac:dyDescent="0.35">
      <c r="A247" s="152">
        <f>IF(
    AND(
        YEAR(B246)=YEAR(DATE(YEAR($D$1), MONTH($D$1)-1, 1)),
        MONTH(B246)=MONTH(DATE(YEAR($D$1), MONTH($D$1)-1, 1))
    ),
    $D$1,
    IF(
        $D$4="",
        DATE(YEAR(B246), MONTH(B246)+1, 1),
        IF(
            AND(
                YEAR(B246)=YEAR(DATE(YEAR($D$4), MONTH($D$4)-1, 1)),
                MONTH(B246)=MONTH(DATE(YEAR($D$4), MONTH($D$4)-1, 1))
            ),
            $D$4,
            DATE(YEAR(B246), MONTH(B246)+1, 1)
        )
    )
)</f>
        <v>45383</v>
      </c>
      <c r="B247" s="152">
        <f>IF(
AND(
YEAR(B246)=YEAR(DATE(YEAR($D$2),MONTH($D$2)-1,1)),
MONTH(B246)=MONTH(DATE(YEAR($D$2),MONTH($D$2)-1,1))
),
$D$2,
IF(
$D$3="",
EOMONTH(B246,1),
IF(
AND(
YEAR(B246)=YEAR(DATE(YEAR($D$3),MONTH($D$3)-1,1)),
MONTH(B246)=MONTH(DATE(YEAR($D$3),MONTH($D$3)-1,1))
),
$D$3,
EOMONTH(B246,1)
)))</f>
        <v>45412</v>
      </c>
      <c r="C247" s="471"/>
      <c r="D247" s="149" t="s">
        <v>99</v>
      </c>
      <c r="E247" s="271">
        <f>'CAP POST'!G246</f>
        <v>0</v>
      </c>
      <c r="F247" s="271">
        <f t="shared" si="94"/>
        <v>0</v>
      </c>
      <c r="G247" s="277">
        <v>0.1056</v>
      </c>
      <c r="H247" s="272">
        <f t="shared" si="84"/>
        <v>2.7507391913039747E-4</v>
      </c>
      <c r="I247" s="273">
        <f>IF(OR(A247=SABANA!$C$14, D247="adicional"),0,_xlfn.DAYS(B247,A247)+1)</f>
        <v>30</v>
      </c>
      <c r="J247" s="271">
        <f t="shared" si="73"/>
        <v>0</v>
      </c>
    </row>
    <row r="248" spans="1:10" x14ac:dyDescent="0.35">
      <c r="A248" s="152">
        <f>IF(
    AND(
        YEAR(B247)=YEAR(DATE(YEAR($D$1), MONTH($D$1)-1, 1)),
        MONTH(B247)=MONTH(DATE(YEAR($D$1), MONTH($D$1)-1, 1))
    ),
    $D$1,
    IF(
        $D$4="",
        DATE(YEAR(B247), MONTH(B247)+1, 1),
        IF(
            AND(
                YEAR(B247)=YEAR(DATE(YEAR($D$4), MONTH($D$4)-1, 1)),
                MONTH(B247)=MONTH(DATE(YEAR($D$4), MONTH($D$4)-1, 1))
            ),
            $D$4,
            DATE(YEAR(B247), MONTH(B247)+1, 1)
        )
    )
)</f>
        <v>45413</v>
      </c>
      <c r="B248" s="152">
        <f>IF(
AND(
YEAR(B247)=YEAR(DATE(YEAR($D$2),MONTH($D$2)-1,1)),
MONTH(B247)=MONTH(DATE(YEAR($D$2),MONTH($D$2)-1,1))
),
$D$2,
IF(
$D$3="",
EOMONTH(B247,1),
IF(
AND(
YEAR(B247)=YEAR(DATE(YEAR($D$3),MONTH($D$3)-1,1)),
MONTH(B247)=MONTH(DATE(YEAR($D$3),MONTH($D$3)-1,1))
),
$D$3,
EOMONTH(B247,1)
)))</f>
        <v>45443</v>
      </c>
      <c r="C248" s="471"/>
      <c r="D248" s="149" t="s">
        <v>100</v>
      </c>
      <c r="E248" s="271">
        <f>'CAP POST'!G247</f>
        <v>0</v>
      </c>
      <c r="F248" s="271">
        <f t="shared" si="94"/>
        <v>0</v>
      </c>
      <c r="G248" s="277">
        <v>0.1024</v>
      </c>
      <c r="H248" s="272">
        <f t="shared" si="84"/>
        <v>2.6713052582061358E-4</v>
      </c>
      <c r="I248" s="273">
        <f>IF(OR(A248=SABANA!$C$14, D248="adicional"),0,_xlfn.DAYS(B248,A248)+1)</f>
        <v>31</v>
      </c>
      <c r="J248" s="271">
        <f t="shared" si="73"/>
        <v>0</v>
      </c>
    </row>
    <row r="249" spans="1:10" ht="15" thickBot="1" x14ac:dyDescent="0.4">
      <c r="A249" s="264"/>
      <c r="B249" s="264"/>
      <c r="C249" s="264"/>
      <c r="D249" s="264"/>
      <c r="E249" s="281"/>
      <c r="F249" s="281"/>
      <c r="G249" s="282"/>
      <c r="H249" s="264"/>
      <c r="I249" s="264"/>
      <c r="J249" s="264"/>
    </row>
    <row r="250" spans="1:10" ht="15" thickBot="1" x14ac:dyDescent="0.4">
      <c r="A250" s="520" t="s">
        <v>156</v>
      </c>
      <c r="B250" s="521"/>
      <c r="C250" s="521"/>
      <c r="D250" s="521"/>
      <c r="E250" s="521"/>
      <c r="F250" s="521"/>
      <c r="G250" s="521"/>
      <c r="H250" s="521"/>
      <c r="I250" s="521"/>
      <c r="J250" s="283">
        <f>SUM(J6:J249)</f>
        <v>142675.02417577329</v>
      </c>
    </row>
    <row r="251" spans="1:10" ht="15" thickBot="1" x14ac:dyDescent="0.4"/>
    <row r="252" spans="1:10" ht="15" customHeight="1" x14ac:dyDescent="0.35">
      <c r="A252" s="514" t="s">
        <v>157</v>
      </c>
      <c r="B252" s="515"/>
      <c r="C252" s="515"/>
      <c r="D252" s="515"/>
      <c r="E252" s="515"/>
      <c r="F252" s="515"/>
      <c r="G252" s="515"/>
      <c r="H252" s="515"/>
      <c r="I252" s="515"/>
      <c r="J252" s="516"/>
    </row>
    <row r="253" spans="1:10" ht="15" thickBot="1" x14ac:dyDescent="0.4">
      <c r="A253" s="517"/>
      <c r="B253" s="518"/>
      <c r="C253" s="518"/>
      <c r="D253" s="518"/>
      <c r="E253" s="518"/>
      <c r="F253" s="518"/>
      <c r="G253" s="518"/>
      <c r="H253" s="518"/>
      <c r="I253" s="518"/>
      <c r="J253" s="519"/>
    </row>
    <row r="254" spans="1:10" ht="15" thickBot="1" x14ac:dyDescent="0.4"/>
    <row r="255" spans="1:10" x14ac:dyDescent="0.35">
      <c r="A255" s="507" t="s">
        <v>158</v>
      </c>
      <c r="B255" s="508"/>
      <c r="C255" s="508"/>
      <c r="D255" s="508"/>
      <c r="E255" s="508"/>
      <c r="F255" s="508"/>
      <c r="G255" s="508"/>
      <c r="H255" s="508"/>
      <c r="I255" s="508"/>
      <c r="J255" s="509"/>
    </row>
    <row r="256" spans="1:10" ht="15" thickBot="1" x14ac:dyDescent="0.4">
      <c r="A256" s="510"/>
      <c r="B256" s="511"/>
      <c r="C256" s="511"/>
      <c r="D256" s="511"/>
      <c r="E256" s="511"/>
      <c r="F256" s="511"/>
      <c r="G256" s="511"/>
      <c r="H256" s="511"/>
      <c r="I256" s="511"/>
      <c r="J256" s="512"/>
    </row>
  </sheetData>
  <mergeCells count="25">
    <mergeCell ref="A1:C1"/>
    <mergeCell ref="A2:C2"/>
    <mergeCell ref="A3:C3"/>
    <mergeCell ref="A4:C4"/>
    <mergeCell ref="A252:J253"/>
    <mergeCell ref="C62:C75"/>
    <mergeCell ref="C76:C89"/>
    <mergeCell ref="C6:C19"/>
    <mergeCell ref="C20:C33"/>
    <mergeCell ref="C34:C47"/>
    <mergeCell ref="C48:C61"/>
    <mergeCell ref="A250:I250"/>
    <mergeCell ref="C160:C173"/>
    <mergeCell ref="C174:C187"/>
    <mergeCell ref="C188:C201"/>
    <mergeCell ref="C202:C215"/>
    <mergeCell ref="C244:C248"/>
    <mergeCell ref="A255:J256"/>
    <mergeCell ref="C216:C229"/>
    <mergeCell ref="C230:C243"/>
    <mergeCell ref="C90:C103"/>
    <mergeCell ref="C104:C117"/>
    <mergeCell ref="C118:C131"/>
    <mergeCell ref="C132:C145"/>
    <mergeCell ref="C146:C159"/>
  </mergeCells>
  <pageMargins left="0.7" right="0.7" top="0.75" bottom="0.75" header="0.3" footer="0.3"/>
  <pageSetup paperSize="12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48570"/>
  <sheetViews>
    <sheetView tabSelected="1" zoomScale="77" zoomScaleNormal="140" workbookViewId="0">
      <pane ySplit="5" topLeftCell="A102" activePane="bottomLeft" state="frozen"/>
      <selection pane="bottomLeft" activeCell="M106" activeCellId="1" sqref="K20:K260 M106"/>
    </sheetView>
  </sheetViews>
  <sheetFormatPr baseColWidth="10" defaultColWidth="11.54296875" defaultRowHeight="14.5" x14ac:dyDescent="0.35"/>
  <cols>
    <col min="1" max="2" width="7.54296875" style="77" bestFit="1" customWidth="1"/>
    <col min="3" max="3" width="5.1796875" style="77" bestFit="1" customWidth="1"/>
    <col min="4" max="4" width="9.54296875" style="77" bestFit="1" customWidth="1"/>
    <col min="5" max="6" width="13.26953125" style="284" customWidth="1"/>
    <col min="7" max="7" width="11.1796875" style="285" customWidth="1"/>
    <col min="8" max="8" width="11.7265625" style="77" customWidth="1"/>
    <col min="9" max="9" width="8.81640625" style="77" customWidth="1"/>
    <col min="10" max="10" width="7.26953125" style="316" customWidth="1"/>
    <col min="11" max="11" width="15.54296875" style="77" customWidth="1"/>
    <col min="12" max="13" width="11.54296875" style="74"/>
    <col min="14" max="14" width="16.54296875" customWidth="1"/>
  </cols>
  <sheetData>
    <row r="1" spans="1:13" ht="20.5" thickBot="1" x14ac:dyDescent="0.4">
      <c r="A1" s="477" t="s">
        <v>140</v>
      </c>
      <c r="B1" s="477"/>
      <c r="C1" s="477"/>
      <c r="D1" s="477"/>
      <c r="E1" s="318">
        <f>SABANA!C14+DAY(1)</f>
        <v>44120</v>
      </c>
      <c r="F1" s="77" t="s">
        <v>138</v>
      </c>
      <c r="G1" s="77"/>
      <c r="I1" s="285"/>
      <c r="J1" s="168" t="s">
        <v>159</v>
      </c>
      <c r="K1" s="92">
        <f>EDATE(E1,10)</f>
        <v>44424</v>
      </c>
    </row>
    <row r="2" spans="1:13" ht="15" thickBot="1" x14ac:dyDescent="0.4">
      <c r="A2" s="477" t="s">
        <v>160</v>
      </c>
      <c r="B2" s="477"/>
      <c r="C2" s="477"/>
      <c r="D2" s="477"/>
      <c r="E2" s="209">
        <f>SABANA!C17 -DAY(1)</f>
        <v>44634</v>
      </c>
      <c r="F2" s="77" t="s">
        <v>161</v>
      </c>
      <c r="G2" s="77"/>
      <c r="I2" s="285"/>
      <c r="J2" s="77"/>
    </row>
    <row r="3" spans="1:13" ht="15" thickBot="1" x14ac:dyDescent="0.4">
      <c r="A3" s="477" t="s">
        <v>119</v>
      </c>
      <c r="B3" s="477"/>
      <c r="C3" s="477"/>
      <c r="D3" s="477"/>
      <c r="E3" s="209">
        <f>IF(ISBLANK(SABANA!C25 ),"",SABANA!C25 )</f>
        <v>44301</v>
      </c>
      <c r="F3" s="340"/>
      <c r="G3" s="77"/>
      <c r="I3" s="285"/>
      <c r="J3" s="77"/>
    </row>
    <row r="4" spans="1:13" ht="15" thickBot="1" x14ac:dyDescent="0.4">
      <c r="A4" s="513" t="s">
        <v>143</v>
      </c>
      <c r="B4" s="513"/>
      <c r="C4" s="513"/>
      <c r="D4" s="513"/>
      <c r="E4" s="209">
        <f>IF(ISBLANK(SABANA!D25),"",SABANA!D25)</f>
        <v>44392</v>
      </c>
      <c r="F4" s="340"/>
      <c r="G4" s="77"/>
      <c r="I4" s="285"/>
      <c r="J4" s="77"/>
    </row>
    <row r="5" spans="1:13" s="1" customFormat="1" ht="20" x14ac:dyDescent="0.35">
      <c r="A5" s="145" t="s">
        <v>85</v>
      </c>
      <c r="B5" s="145" t="s">
        <v>86</v>
      </c>
      <c r="C5" s="145" t="s">
        <v>66</v>
      </c>
      <c r="D5" s="145" t="s">
        <v>87</v>
      </c>
      <c r="E5" s="319" t="s">
        <v>154</v>
      </c>
      <c r="F5" s="270" t="s">
        <v>89</v>
      </c>
      <c r="G5" s="286" t="s">
        <v>162</v>
      </c>
      <c r="H5" s="145" t="s">
        <v>163</v>
      </c>
      <c r="I5" s="145" t="s">
        <v>122</v>
      </c>
      <c r="J5" s="287" t="s">
        <v>123</v>
      </c>
      <c r="K5" s="145" t="s">
        <v>124</v>
      </c>
      <c r="L5" s="107"/>
      <c r="M5" s="107"/>
    </row>
    <row r="6" spans="1:13" x14ac:dyDescent="0.35">
      <c r="A6" s="152">
        <f>IF(
    AND(
        YEAR(B6)=YEAR(DATE(YEAR($E$1),MONTH($E$1),1)),
        MONTH(B6)=MONTH(DATE(YEAR($E$1),MONTH($E$1),1))
    ),
    $E$1,
    IF(
        AND(
            YEAR(B6)=YEAR(DATE(YEAR($K$1),MONTH($K$1),1)),
            MONTH(B6)=MONTH(DATE(YEAR($K$1),MONTH($K$1),1))
        ),
        $K$1,
        IF(
            $E$4="",
            DATE(YEAR(B6),MONTH(B6),1),
            IF(
                AND(
                    YEAR(B6)=YEAR(DATE(YEAR($E$4),MONTH($E$4),1)),
                    MONTH(B6)=MONTH(DATE(YEAR($E$4),MONTH($E$4),1))
                ),
                $E$4,
                DATE(YEAR(B6),MONTH(B6),1)
            )
        )
    )
)</f>
        <v>39083</v>
      </c>
      <c r="B6" s="152">
        <v>39113</v>
      </c>
      <c r="C6" s="437">
        <v>2007</v>
      </c>
      <c r="D6" s="149" t="s">
        <v>96</v>
      </c>
      <c r="E6" s="271">
        <f>'CAP POST'!G5</f>
        <v>0</v>
      </c>
      <c r="F6" s="271">
        <f>E6</f>
        <v>0</v>
      </c>
      <c r="G6" s="215">
        <v>0.13830000000000001</v>
      </c>
      <c r="H6" s="288">
        <f>G6*1.5</f>
        <v>0.20745000000000002</v>
      </c>
      <c r="I6" s="272">
        <f>((1+H6)^(1/365)-1)</f>
        <v>5.1660105764761433E-4</v>
      </c>
      <c r="J6" s="289">
        <f>IF(OR(A6=SABANA!$C$14, D6="adicional"),0,_xlfn.DAYS(B6,A6)+1)</f>
        <v>31</v>
      </c>
      <c r="K6" s="271">
        <f>0</f>
        <v>0</v>
      </c>
    </row>
    <row r="7" spans="1:13" x14ac:dyDescent="0.35">
      <c r="A7" s="152">
        <f>IF(
    AND(
        YEAR(B6)=YEAR(DATE(YEAR($E$1),MONTH($E$1)-1,1)),
        MONTH(B6)=MONTH(DATE(YEAR($E$1),MONTH($E$1)-1,1))
    ),
    $E$1,
    IF(
        AND(
            YEAR(B6)=YEAR(DATE(YEAR($K$1),MONTH($K$1)-1,1)),
            MONTH(B6)=MONTH(DATE(YEAR($K$1),MONTH($K$1)-1,1))
        ),
        $K$1,
        IF(
            $E$4="",
            DATE(YEAR(B6),MONTH(B6)+1,1),
            IF(
                AND(
                    YEAR(B6)=YEAR(DATE(YEAR($E$4),MONTH($E$4)-1,1)),
                    MONTH(B6)=MONTH(DATE(YEAR($E$4),MONTH($E$4)-1,1))
                ),
                $E$4,
                DATE(YEAR(B6),MONTH(B6)+1,1)
            )
        )
    )
)</f>
        <v>39114</v>
      </c>
      <c r="B7" s="152">
        <f>IF(
AND(
YEAR(B6)=YEAR(DATE(YEAR($E$2),MONTH($E$2)-1,1)),
MONTH(B6)=MONTH(DATE(YEAR($E$2),MONTH($E$2)-1,1))
),
$E$2,
IF(
$E$3="",
EOMONTH(B6,1),
IF(
AND(
YEAR(B6)=YEAR(DATE(YEAR($E$3),MONTH($E$3)-1,1)),
MONTH(B6)=MONTH(DATE(YEAR($E$3),MONTH($E$3)-1,1))
),
$E$3,
EOMONTH(B6,1)
)))</f>
        <v>39141</v>
      </c>
      <c r="C7" s="438"/>
      <c r="D7" s="149" t="s">
        <v>97</v>
      </c>
      <c r="E7" s="271">
        <f>'CAP POST'!G6</f>
        <v>0</v>
      </c>
      <c r="F7" s="271">
        <f>IF(AND(A7&gt;=$E$1,B7&lt;=$E$2),(F6+E7),0)</f>
        <v>0</v>
      </c>
      <c r="G7" s="215">
        <v>0.13830000000000001</v>
      </c>
      <c r="H7" s="288">
        <f t="shared" ref="H7:H70" si="0">G7*1.5</f>
        <v>0.20745000000000002</v>
      </c>
      <c r="I7" s="272">
        <f t="shared" ref="I7:I70" si="1">((1+H7)^(1/365)-1)</f>
        <v>5.1660105764761433E-4</v>
      </c>
      <c r="J7" s="289">
        <f>IF(OR(A7=SABANA!$C$14, D7="adicional"),0,_xlfn.DAYS(B7,A7)+1)</f>
        <v>28</v>
      </c>
      <c r="K7" s="271">
        <f>IF(AND(OR(A7&gt;=$E$4,B7&lt;=$E$3), AND(A6&gt;=$E$1,B6&lt;$E$2)),(F6*I7*H7),0)</f>
        <v>0</v>
      </c>
    </row>
    <row r="8" spans="1:13" x14ac:dyDescent="0.35">
      <c r="A8" s="152">
        <f>IF(
    AND(
        YEAR(B7)=YEAR(DATE(YEAR($E$1),MONTH($E$1)-1,1)),
        MONTH(B7)=MONTH(DATE(YEAR($E$1),MONTH($E$1)-1,1))
    ),
    $E$1,
    IF(
        AND(
            YEAR(B7)=YEAR(DATE(YEAR($K$1),MONTH($K$1)-1,1)),
            MONTH(B7)=MONTH(DATE(YEAR($K$1),MONTH($K$1)-1,1))
        ),
        $K$1,
        IF(
            $E$4="",
            DATE(YEAR(B7),MONTH(B7)+1,1),
            IF(
                AND(
                    YEAR(B7)=YEAR(DATE(YEAR($E$4),MONTH($E$4)-1,1)),
                    MONTH(B7)=MONTH(DATE(YEAR($E$4),MONTH($E$4)-1,1))
                ),
                $E$4,
                DATE(YEAR(B7),MONTH(B7)+1,1)
            )
        )
    )
)</f>
        <v>39142</v>
      </c>
      <c r="B8" s="152">
        <f>IF(
AND(
YEAR(B7)=YEAR(DATE(YEAR($E$2),MONTH($E$2)-1,1)),
MONTH(B7)=MONTH(DATE(YEAR($E$2),MONTH($E$2)-1,1))
),
$E$2,
IF(
$E$3="",
EOMONTH(B7,1),
IF(
AND(
YEAR(B7)=YEAR(DATE(YEAR($E$3),MONTH($E$3)-1,1)),
MONTH(B7)=MONTH(DATE(YEAR($E$3),MONTH($E$3)-1,1))
),
$E$3,
EOMONTH(B7,1)
)))</f>
        <v>39172</v>
      </c>
      <c r="C8" s="438"/>
      <c r="D8" s="149" t="s">
        <v>98</v>
      </c>
      <c r="E8" s="271">
        <f>'CAP POST'!G7</f>
        <v>0</v>
      </c>
      <c r="F8" s="271">
        <f t="shared" ref="F8:F71" si="2">IF(AND(A8&gt;=$E$1,B8&lt;=$E$2),(F7+E8),0)</f>
        <v>0</v>
      </c>
      <c r="G8" s="215">
        <v>0.13830000000000001</v>
      </c>
      <c r="H8" s="288">
        <f t="shared" si="0"/>
        <v>0.20745000000000002</v>
      </c>
      <c r="I8" s="272">
        <f t="shared" si="1"/>
        <v>5.1660105764761433E-4</v>
      </c>
      <c r="J8" s="289">
        <f>IF(OR(A8=SABANA!$C$14, D8="adicional"),0,_xlfn.DAYS(B8,A8)+1)</f>
        <v>31</v>
      </c>
      <c r="K8" s="271">
        <f t="shared" ref="K8:K71" si="3">IF(AND(OR(A8&gt;=$E$4,B8&lt;=$E$3), AND(A7&gt;=$E$1,B7&lt;$E$2)),(F7*I8*H8),0)</f>
        <v>0</v>
      </c>
      <c r="M8" s="74">
        <f>IF(AND(A8&gt;=SABANA!$C$14,B8&lt;=SABANA!$C$17),((#REF!+E8)*#REF!)/30,0)</f>
        <v>0</v>
      </c>
    </row>
    <row r="9" spans="1:13" x14ac:dyDescent="0.35">
      <c r="A9" s="152">
        <f>IF(
    AND(
        YEAR(B8)=YEAR(DATE(YEAR($E$1),MONTH($E$1)-1,1)),
        MONTH(B8)=MONTH(DATE(YEAR($E$1),MONTH($E$1)-1,1))
    ),
    $E$1,
    IF(
        AND(
            YEAR(B8)=YEAR(DATE(YEAR($K$1),MONTH($K$1)-1,1)),
            MONTH(B8)=MONTH(DATE(YEAR($K$1),MONTH($K$1)-1,1))
        ),
        $K$1,
        IF(
            $E$4="",
            DATE(YEAR(B8),MONTH(B8)+1,1),
            IF(
                AND(
                    YEAR(B8)=YEAR(DATE(YEAR($E$4),MONTH($E$4)-1,1)),
                    MONTH(B8)=MONTH(DATE(YEAR($E$4),MONTH($E$4)-1,1))
                ),
                $E$4,
                DATE(YEAR(B8),MONTH(B8)+1,1)
            )
        )
    )
)</f>
        <v>39173</v>
      </c>
      <c r="B9" s="152">
        <f>IF(
AND(
YEAR(B8)=YEAR(DATE(YEAR($E$2),MONTH($E$2)-1,1)),
MONTH(B8)=MONTH(DATE(YEAR($E$2),MONTH($E$2)-1,1))
),
$E$2,
IF(
$E$3="",
EOMONTH(B8,1),
IF(
AND(
YEAR(B8)=YEAR(DATE(YEAR($E$3),MONTH($E$3)-1,1)),
MONTH(B8)=MONTH(DATE(YEAR($E$3),MONTH($E$3)-1,1))
),
$E$3,
EOMONTH(B8,1)
)))</f>
        <v>39202</v>
      </c>
      <c r="C9" s="438"/>
      <c r="D9" s="149" t="s">
        <v>99</v>
      </c>
      <c r="E9" s="271">
        <f>'CAP POST'!G8</f>
        <v>0</v>
      </c>
      <c r="F9" s="271">
        <f t="shared" si="2"/>
        <v>0</v>
      </c>
      <c r="G9" s="215">
        <v>0.16750000000000001</v>
      </c>
      <c r="H9" s="288">
        <f t="shared" si="0"/>
        <v>0.25125000000000003</v>
      </c>
      <c r="I9" s="272">
        <f t="shared" si="1"/>
        <v>6.1427914466394284E-4</v>
      </c>
      <c r="J9" s="289">
        <f>IF(OR(A9=SABANA!$C$14, D9="adicional"),0,_xlfn.DAYS(B9,A9)+1)</f>
        <v>30</v>
      </c>
      <c r="K9" s="271">
        <f t="shared" si="3"/>
        <v>0</v>
      </c>
    </row>
    <row r="10" spans="1:13" x14ac:dyDescent="0.35">
      <c r="A10" s="152">
        <f>IF(
    AND(
        YEAR(B9)=YEAR(DATE(YEAR($E$1),MONTH($E$1)-1,1)),
        MONTH(B9)=MONTH(DATE(YEAR($E$1),MONTH($E$1)-1,1))
    ),
    $E$1,
    IF(
        AND(
            YEAR(B9)=YEAR(DATE(YEAR($K$1),MONTH($K$1)-1,1)),
            MONTH(B9)=MONTH(DATE(YEAR($K$1),MONTH($K$1)-1,1))
        ),
        $K$1,
        IF(
            $E$4="",
            DATE(YEAR(B9),MONTH(B9)+1,1),
            IF(
                AND(
                    YEAR(B9)=YEAR(DATE(YEAR($E$4),MONTH($E$4)-1,1)),
                    MONTH(B9)=MONTH(DATE(YEAR($E$4),MONTH($E$4)-1,1))
                ),
                $E$4,
                DATE(YEAR(B9),MONTH(B9)+1,1)
            )
        )
    )
)</f>
        <v>39203</v>
      </c>
      <c r="B10" s="152">
        <f>IF(
AND(
YEAR(B9)=YEAR(DATE(YEAR($E$2),MONTH($E$2)-1,1)),
MONTH(B9)=MONTH(DATE(YEAR($E$2),MONTH($E$2)-1,1))
),
$E$2,
IF(
$E$3="",
EOMONTH(B9,1),
IF(
AND(
YEAR(B9)=YEAR(DATE(YEAR($E$3),MONTH($E$3)-1,1)),
MONTH(B9)=MONTH(DATE(YEAR($E$3),MONTH($E$3)-1,1))
),
$E$3,
EOMONTH(B9,1)
)))</f>
        <v>39233</v>
      </c>
      <c r="C10" s="438"/>
      <c r="D10" s="149" t="s">
        <v>100</v>
      </c>
      <c r="E10" s="271">
        <f>'CAP POST'!G9</f>
        <v>0</v>
      </c>
      <c r="F10" s="271">
        <f t="shared" si="2"/>
        <v>0</v>
      </c>
      <c r="G10" s="215">
        <v>0.16750000000000001</v>
      </c>
      <c r="H10" s="288">
        <f t="shared" si="0"/>
        <v>0.25125000000000003</v>
      </c>
      <c r="I10" s="272">
        <f t="shared" si="1"/>
        <v>6.1427914466394284E-4</v>
      </c>
      <c r="J10" s="289">
        <f>IF(OR(A10=SABANA!$C$14, D10="adicional"),0,_xlfn.DAYS(B10,A10)+1)</f>
        <v>31</v>
      </c>
      <c r="K10" s="271">
        <f t="shared" si="3"/>
        <v>0</v>
      </c>
    </row>
    <row r="11" spans="1:13" x14ac:dyDescent="0.35">
      <c r="A11" s="156">
        <f>A12</f>
        <v>39234</v>
      </c>
      <c r="B11" s="156">
        <f>B12</f>
        <v>39263</v>
      </c>
      <c r="C11" s="438"/>
      <c r="D11" s="157" t="s">
        <v>101</v>
      </c>
      <c r="E11" s="274">
        <f>'CAP POST'!G10</f>
        <v>0</v>
      </c>
      <c r="F11" s="271">
        <f t="shared" si="2"/>
        <v>0</v>
      </c>
      <c r="G11" s="290"/>
      <c r="H11" s="291"/>
      <c r="I11" s="276">
        <f t="shared" si="1"/>
        <v>0</v>
      </c>
      <c r="J11" s="289">
        <f>IF(OR(A11=SABANA!$C$14, D11="adicional"),0,_xlfn.DAYS(B11,A11)+1)</f>
        <v>0</v>
      </c>
      <c r="K11" s="271">
        <f>IF(AND(OR(A11&gt;=$E$4,B11&lt;=$E$3), AND(A10&gt;=$E$1,B10&lt;$E$2)),(F10*I11*H11),0)</f>
        <v>0</v>
      </c>
    </row>
    <row r="12" spans="1:13" x14ac:dyDescent="0.35">
      <c r="A12" s="152">
        <f>IF(
    AND(
        YEAR(B10)=YEAR(DATE(YEAR($E$1),MONTH($E$1)-1,1)),
        MONTH(B10)=MONTH(DATE(YEAR($E$1),MONTH($E$1)-1,1))
    ),
    $E$1,
    IF(
        AND(
            YEAR(B10)=YEAR(DATE(YEAR($K$1),MONTH($K$1)-1,1)),
            MONTH(B10)=MONTH(DATE(YEAR($K$1),MONTH($K$1)-1,1))
        ),
        $K$1,
        IF(
            $E$4="",
            DATE(YEAR(B10),MONTH(B10)+1,1),
            IF(
                AND(
                    YEAR(B10)=YEAR(DATE(YEAR($E$4),MONTH($E$4)-1,1)),
                    MONTH(B10)=MONTH(DATE(YEAR($E$4),MONTH($E$4)-1,1))
                ),
                $E$4,
                DATE(YEAR(B10),MONTH(B10)+1,1)
            )
        )
    )
)</f>
        <v>39234</v>
      </c>
      <c r="B12" s="152">
        <f>IF(
AND(
YEAR(B10)=YEAR(DATE(YEAR($E$2),MONTH($E$2)-1,1)),
MONTH(B10)=MONTH(DATE(YEAR($E$2),MONTH($E$2)-1,1))
),
$E$2,
IF(
$E$3="",
EOMONTH(B10,1),
IF(
AND(
YEAR(B10)=YEAR(DATE(YEAR($E$3),MONTH($E$3)-1,1)),
MONTH(B10)=MONTH(DATE(YEAR($E$3),MONTH($E$3)-1,1))
),
$E$3,
EOMONTH(B10,1)
)))</f>
        <v>39263</v>
      </c>
      <c r="C12" s="438"/>
      <c r="D12" s="149" t="s">
        <v>102</v>
      </c>
      <c r="E12" s="271">
        <f>'CAP POST'!G11</f>
        <v>0</v>
      </c>
      <c r="F12" s="271">
        <f t="shared" si="2"/>
        <v>0</v>
      </c>
      <c r="G12" s="215">
        <v>0.16750000000000001</v>
      </c>
      <c r="H12" s="288">
        <f>G12*1.5</f>
        <v>0.25125000000000003</v>
      </c>
      <c r="I12" s="272">
        <f t="shared" si="1"/>
        <v>6.1427914466394284E-4</v>
      </c>
      <c r="J12" s="289">
        <f>IF(OR(A12=SABANA!$C$14, D12="adicional"),0,_xlfn.DAYS(B12,A12)+1)</f>
        <v>30</v>
      </c>
      <c r="K12" s="271">
        <f>IF(AND(OR(A12&gt;=$E$4,B12&lt;=$E$3), AND(A11&gt;=$E$1,B11&lt;$E$2)),(F10*I12*H12),0)</f>
        <v>0</v>
      </c>
    </row>
    <row r="13" spans="1:13" x14ac:dyDescent="0.35">
      <c r="A13" s="152">
        <f>IF(
    AND(
        YEAR(B12)=YEAR(DATE(YEAR($E$1),MONTH($E$1)-1,1)),
        MONTH(B12)=MONTH(DATE(YEAR($E$1),MONTH($E$1)-1,1))
    ),
    $E$1,
    IF(
        AND(
            YEAR(B12)=YEAR(DATE(YEAR($K$1),MONTH($K$1)-1,1)),
            MONTH(B12)=MONTH(DATE(YEAR($K$1),MONTH($K$1)-1,1))
        ),
        $K$1,
        IF(
            $E$4="",
            DATE(YEAR(B12),MONTH(B12)+1,1),
            IF(
                AND(
                    YEAR(B12)=YEAR(DATE(YEAR($E$4),MONTH($E$4)-1,1)),
                    MONTH(B12)=MONTH(DATE(YEAR($E$4),MONTH($E$4)-1,1))
                ),
                $E$4,
                DATE(YEAR(B12),MONTH(B12)+1,1)
            )
        )
    )
)</f>
        <v>39264</v>
      </c>
      <c r="B13" s="152">
        <f>IF(
AND(
YEAR(B12)=YEAR(DATE(YEAR($E$2),MONTH($E$2)-1,1)),
MONTH(B12)=MONTH(DATE(YEAR($E$2),MONTH($E$2)-1,1))
),
$E$2,
IF(
$E$3="",
EOMONTH(B12,1),
IF(
AND(
YEAR(B12)=YEAR(DATE(YEAR($E$3),MONTH($E$3)-1,1)),
MONTH(B12)=MONTH(DATE(YEAR($E$3),MONTH($E$3)-1,1))
),
$E$3,
EOMONTH(B12,1)
)))</f>
        <v>39294</v>
      </c>
      <c r="C13" s="438"/>
      <c r="D13" s="149" t="s">
        <v>103</v>
      </c>
      <c r="E13" s="271">
        <f>'CAP POST'!G12</f>
        <v>0</v>
      </c>
      <c r="F13" s="271">
        <f t="shared" si="2"/>
        <v>0</v>
      </c>
      <c r="G13" s="215">
        <v>0.19009999999999999</v>
      </c>
      <c r="H13" s="288">
        <f t="shared" si="0"/>
        <v>0.28515000000000001</v>
      </c>
      <c r="I13" s="272">
        <f t="shared" si="1"/>
        <v>6.8756624634369601E-4</v>
      </c>
      <c r="J13" s="289">
        <f>IF(OR(A13=SABANA!$C$14, D13="adicional"),0,_xlfn.DAYS(B13,A13)+1)</f>
        <v>31</v>
      </c>
      <c r="K13" s="271">
        <f t="shared" si="3"/>
        <v>0</v>
      </c>
    </row>
    <row r="14" spans="1:13" x14ac:dyDescent="0.35">
      <c r="A14" s="152">
        <f>IF(
    AND(
        YEAR(B13)=YEAR(DATE(YEAR($E$1),MONTH($E$1)-1,1)),
        MONTH(B13)=MONTH(DATE(YEAR($E$1),MONTH($E$1)-1,1))
    ),
    $E$1,
    IF(
        AND(
            YEAR(B13)=YEAR(DATE(YEAR($K$1),MONTH($K$1)-1,1)),
            MONTH(B13)=MONTH(DATE(YEAR($K$1),MONTH($K$1)-1,1))
        ),
        $K$1,
        IF(
            $E$4="",
            DATE(YEAR(B13),MONTH(B13)+1,1),
            IF(
                AND(
                    YEAR(B13)=YEAR(DATE(YEAR($E$4),MONTH($E$4)-1,1)),
                    MONTH(B13)=MONTH(DATE(YEAR($E$4),MONTH($E$4)-1,1))
                ),
                $E$4,
                DATE(YEAR(B13),MONTH(B13)+1,1)
            )
        )
    )
)</f>
        <v>39295</v>
      </c>
      <c r="B14" s="152">
        <f>IF(
AND(
YEAR(B13)=YEAR(DATE(YEAR($E$2),MONTH($E$2)-1,1)),
MONTH(B13)=MONTH(DATE(YEAR($E$2),MONTH($E$2)-1,1))
),
$E$2,
IF(
$E$3="",
EOMONTH(B13,1),
IF(
AND(
YEAR(B13)=YEAR(DATE(YEAR($E$3),MONTH($E$3)-1,1)),
MONTH(B13)=MONTH(DATE(YEAR($E$3),MONTH($E$3)-1,1))
),
$E$3,
EOMONTH(B13,1)
)))</f>
        <v>39325</v>
      </c>
      <c r="C14" s="438"/>
      <c r="D14" s="149" t="s">
        <v>104</v>
      </c>
      <c r="E14" s="271">
        <f>'CAP POST'!G13</f>
        <v>0</v>
      </c>
      <c r="F14" s="271">
        <f t="shared" si="2"/>
        <v>0</v>
      </c>
      <c r="G14" s="215">
        <v>0.19009999999999999</v>
      </c>
      <c r="H14" s="288">
        <f t="shared" si="0"/>
        <v>0.28515000000000001</v>
      </c>
      <c r="I14" s="272">
        <f t="shared" si="1"/>
        <v>6.8756624634369601E-4</v>
      </c>
      <c r="J14" s="289">
        <f>IF(OR(A14=SABANA!$C$14, D14="adicional"),0,_xlfn.DAYS(B14,A14)+1)</f>
        <v>31</v>
      </c>
      <c r="K14" s="271">
        <f t="shared" si="3"/>
        <v>0</v>
      </c>
    </row>
    <row r="15" spans="1:13" x14ac:dyDescent="0.35">
      <c r="A15" s="152">
        <f>IF(
    AND(
        YEAR(B14)=YEAR(DATE(YEAR($E$1),MONTH($E$1)-1,1)),
        MONTH(B14)=MONTH(DATE(YEAR($E$1),MONTH($E$1)-1,1))
    ),
    $E$1,
    IF(
        AND(
            YEAR(B14)=YEAR(DATE(YEAR($K$1),MONTH($K$1)-1,1)),
            MONTH(B14)=MONTH(DATE(YEAR($K$1),MONTH($K$1)-1,1))
        ),
        $K$1,
        IF(
            $E$4="",
            DATE(YEAR(B14),MONTH(B14)+1,1),
            IF(
                AND(
                    YEAR(B14)=YEAR(DATE(YEAR($E$4),MONTH($E$4)-1,1)),
                    MONTH(B14)=MONTH(DATE(YEAR($E$4),MONTH($E$4)-1,1))
                ),
                $E$4,
                DATE(YEAR(B14),MONTH(B14)+1,1)
            )
        )
    )
)</f>
        <v>39326</v>
      </c>
      <c r="B15" s="152">
        <f>IF(
AND(
YEAR(B14)=YEAR(DATE(YEAR($E$2),MONTH($E$2)-1,1)),
MONTH(B14)=MONTH(DATE(YEAR($E$2),MONTH($E$2)-1,1))
),
$E$2,
IF(
$E$3="",
EOMONTH(B14,1),
IF(
AND(
YEAR(B14)=YEAR(DATE(YEAR($E$3),MONTH($E$3)-1,1)),
MONTH(B14)=MONTH(DATE(YEAR($E$3),MONTH($E$3)-1,1))
),
$E$3,
EOMONTH(B14,1)
)))</f>
        <v>39355</v>
      </c>
      <c r="C15" s="438"/>
      <c r="D15" s="149" t="s">
        <v>105</v>
      </c>
      <c r="E15" s="271">
        <f>'CAP POST'!G14</f>
        <v>0</v>
      </c>
      <c r="F15" s="271">
        <f t="shared" si="2"/>
        <v>0</v>
      </c>
      <c r="G15" s="215">
        <v>0.19009999999999999</v>
      </c>
      <c r="H15" s="288">
        <f t="shared" si="0"/>
        <v>0.28515000000000001</v>
      </c>
      <c r="I15" s="272">
        <f t="shared" si="1"/>
        <v>6.8756624634369601E-4</v>
      </c>
      <c r="J15" s="289">
        <f>IF(OR(A15=SABANA!$C$14, D15="adicional"),0,_xlfn.DAYS(B15,A15)+1)</f>
        <v>30</v>
      </c>
      <c r="K15" s="271">
        <f t="shared" si="3"/>
        <v>0</v>
      </c>
    </row>
    <row r="16" spans="1:13" x14ac:dyDescent="0.35">
      <c r="A16" s="152">
        <f>IF(
    AND(
        YEAR(B15)=YEAR(DATE(YEAR($E$1),MONTH($E$1)-1,1)),
        MONTH(B15)=MONTH(DATE(YEAR($E$1),MONTH($E$1)-1,1))
    ),
    $E$1,
    IF(
        AND(
            YEAR(B15)=YEAR(DATE(YEAR($K$1),MONTH($K$1)-1,1)),
            MONTH(B15)=MONTH(DATE(YEAR($K$1),MONTH($K$1)-1,1))
        ),
        $K$1,
        IF(
            $E$4="",
            DATE(YEAR(B15),MONTH(B15)+1,1),
            IF(
                AND(
                    YEAR(B15)=YEAR(DATE(YEAR($E$4),MONTH($E$4)-1,1)),
                    MONTH(B15)=MONTH(DATE(YEAR($E$4),MONTH($E$4)-1,1))
                ),
                $E$4,
                DATE(YEAR(B15),MONTH(B15)+1,1)
            )
        )
    )
)</f>
        <v>39356</v>
      </c>
      <c r="B16" s="152">
        <f>IF(
AND(
YEAR(B15)=YEAR(DATE(YEAR($E$2),MONTH($E$2)-1,1)),
MONTH(B15)=MONTH(DATE(YEAR($E$2),MONTH($E$2)-1,1))
),
$E$2,
IF(
$E$3="",
EOMONTH(B15,1),
IF(
AND(
YEAR(B15)=YEAR(DATE(YEAR($E$3),MONTH($E$3)-1,1)),
MONTH(B15)=MONTH(DATE(YEAR($E$3),MONTH($E$3)-1,1))
),
$E$3,
EOMONTH(B15,1)
)))</f>
        <v>39386</v>
      </c>
      <c r="C16" s="438"/>
      <c r="D16" s="149" t="s">
        <v>106</v>
      </c>
      <c r="E16" s="271">
        <f>'CAP POST'!G15</f>
        <v>0</v>
      </c>
      <c r="F16" s="271">
        <f t="shared" si="2"/>
        <v>0</v>
      </c>
      <c r="G16" s="215">
        <v>0.21260000000000001</v>
      </c>
      <c r="H16" s="288">
        <f t="shared" si="0"/>
        <v>0.31890000000000002</v>
      </c>
      <c r="I16" s="272">
        <f t="shared" si="1"/>
        <v>7.5863845864221346E-4</v>
      </c>
      <c r="J16" s="289">
        <f>IF(OR(A16=SABANA!$C$14, D16="adicional"),0,_xlfn.DAYS(B16,A16)+1)</f>
        <v>31</v>
      </c>
      <c r="K16" s="271">
        <f t="shared" si="3"/>
        <v>0</v>
      </c>
    </row>
    <row r="17" spans="1:11" x14ac:dyDescent="0.35">
      <c r="A17" s="152">
        <f>IF(
    AND(
        YEAR(B16)=YEAR(DATE(YEAR($E$1),MONTH($E$1)-1,1)),
        MONTH(B16)=MONTH(DATE(YEAR($E$1),MONTH($E$1)-1,1))
    ),
    $E$1,
    IF(
        AND(
            YEAR(B16)=YEAR(DATE(YEAR($K$1),MONTH($K$1)-1,1)),
            MONTH(B16)=MONTH(DATE(YEAR($K$1),MONTH($K$1)-1,1))
        ),
        $K$1,
        IF(
            $E$4="",
            DATE(YEAR(B16),MONTH(B16)+1,1),
            IF(
                AND(
                    YEAR(B16)=YEAR(DATE(YEAR($E$4),MONTH($E$4)-1,1)),
                    MONTH(B16)=MONTH(DATE(YEAR($E$4),MONTH($E$4)-1,1))
                ),
                $E$4,
                DATE(YEAR(B16),MONTH(B16)+1,1)
            )
        )
    )
)</f>
        <v>39387</v>
      </c>
      <c r="B17" s="152">
        <f>IF(
AND(
YEAR(B16)=YEAR(DATE(YEAR($E$2),MONTH($E$2)-1,1)),
MONTH(B16)=MONTH(DATE(YEAR($E$2),MONTH($E$2)-1,1))
),
$E$2,
IF(
$E$3="",
EOMONTH(B16,1),
IF(
AND(
YEAR(B16)=YEAR(DATE(YEAR($E$3),MONTH($E$3)-1,1)),
MONTH(B16)=MONTH(DATE(YEAR($E$3),MONTH($E$3)-1,1))
),
$E$3,
EOMONTH(B16,1)
)))</f>
        <v>39416</v>
      </c>
      <c r="C17" s="438"/>
      <c r="D17" s="149" t="s">
        <v>107</v>
      </c>
      <c r="E17" s="271">
        <f>'CAP POST'!G16</f>
        <v>0</v>
      </c>
      <c r="F17" s="271">
        <f t="shared" si="2"/>
        <v>0</v>
      </c>
      <c r="G17" s="215">
        <v>0.21260000000000001</v>
      </c>
      <c r="H17" s="288">
        <f>G17*1.5</f>
        <v>0.31890000000000002</v>
      </c>
      <c r="I17" s="272">
        <f t="shared" si="1"/>
        <v>7.5863845864221346E-4</v>
      </c>
      <c r="J17" s="289">
        <f>IF(OR(A17=SABANA!$C$14, D17="adicional"),0,_xlfn.DAYS(B17,A17)+1)</f>
        <v>30</v>
      </c>
      <c r="K17" s="271">
        <f t="shared" si="3"/>
        <v>0</v>
      </c>
    </row>
    <row r="18" spans="1:11" x14ac:dyDescent="0.35">
      <c r="A18" s="156">
        <f>A17</f>
        <v>39387</v>
      </c>
      <c r="B18" s="156">
        <f>B17</f>
        <v>39416</v>
      </c>
      <c r="C18" s="438"/>
      <c r="D18" s="157" t="s">
        <v>101</v>
      </c>
      <c r="E18" s="274">
        <f>'CAP POST'!G17</f>
        <v>0</v>
      </c>
      <c r="F18" s="271">
        <f t="shared" si="2"/>
        <v>0</v>
      </c>
      <c r="G18" s="275"/>
      <c r="H18" s="292"/>
      <c r="I18" s="276">
        <f t="shared" si="1"/>
        <v>0</v>
      </c>
      <c r="J18" s="289">
        <f>IF(OR(A18=SABANA!$C$14, D18="adicional"),0,_xlfn.DAYS(B18,A18)+1)</f>
        <v>0</v>
      </c>
      <c r="K18" s="271">
        <f t="shared" si="3"/>
        <v>0</v>
      </c>
    </row>
    <row r="19" spans="1:11" x14ac:dyDescent="0.35">
      <c r="A19" s="152">
        <f>IF(
    AND(
        YEAR(B17)=YEAR(DATE(YEAR($E$1),MONTH($E$1)-1,1)),
        MONTH(B17)=MONTH(DATE(YEAR($E$1),MONTH($E$1)-1,1))
    ),
    $E$1,
    IF(
        AND(
            YEAR(B17)=YEAR(DATE(YEAR($K$1),MONTH($K$1)-1,1)),
            MONTH(B17)=MONTH(DATE(YEAR($K$1),MONTH($K$1)-1,1))
        ),
        $K$1,
        IF(
            $E$4="",
            DATE(YEAR(B17),MONTH(B17)+1,1),
            IF(
                AND(
                    YEAR(B17)=YEAR(DATE(YEAR($E$4),MONTH($E$4)-1,1)),
                    MONTH(B17)=MONTH(DATE(YEAR($E$4),MONTH($E$4)-1,1))
                ),
                $E$4,
                DATE(YEAR(B17),MONTH(B17)+1,1)
            )
        )
    )
)</f>
        <v>39417</v>
      </c>
      <c r="B19" s="152">
        <f>IF(
AND(
YEAR(B17)=YEAR(DATE(YEAR($E$2),MONTH($E$2)-1,1)),
MONTH(B17)=MONTH(DATE(YEAR($E$2),MONTH($E$2)-1,1))
),
$E$2,
IF(
$E$3="",
EOMONTH(B17,1),
IF(
AND(
YEAR(B17)=YEAR(DATE(YEAR($E$3),MONTH($E$3)-1,1)),
MONTH(B17)=MONTH(DATE(YEAR($E$3),MONTH($E$3)-1,1))
),
$E$3,
EOMONTH(B17,1)
)))</f>
        <v>39447</v>
      </c>
      <c r="C19" s="439"/>
      <c r="D19" s="149" t="s">
        <v>108</v>
      </c>
      <c r="E19" s="271">
        <f>'CAP POST'!G18</f>
        <v>0</v>
      </c>
      <c r="F19" s="271">
        <f t="shared" si="2"/>
        <v>0</v>
      </c>
      <c r="G19" s="215">
        <v>0.21260000000000001</v>
      </c>
      <c r="H19" s="288">
        <f t="shared" si="0"/>
        <v>0.31890000000000002</v>
      </c>
      <c r="I19" s="272">
        <f t="shared" si="1"/>
        <v>7.5863845864221346E-4</v>
      </c>
      <c r="J19" s="289">
        <f>IF(OR(A19=SABANA!$C$14, D19="adicional"),0,_xlfn.DAYS(B19,A19)+1)</f>
        <v>31</v>
      </c>
      <c r="K19" s="271">
        <f>IF(AND(OR(A19&gt;=$E$4,B19&lt;=$E$3), AND(A18&gt;=$E$1,B18&lt;$E$2)),(F17*I19*H19),0)</f>
        <v>0</v>
      </c>
    </row>
    <row r="20" spans="1:11" x14ac:dyDescent="0.35">
      <c r="A20" s="152">
        <f>IF(
    AND(
        YEAR(B19)=YEAR(DATE(YEAR($E$1),MONTH($E$1)-1,1)),
        MONTH(B19)=MONTH(DATE(YEAR($E$1),MONTH($E$1)-1,1))
    ),
    $E$1,
    IF(
        AND(
            YEAR(B19)=YEAR(DATE(YEAR($K$1),MONTH($K$1)-1,1)),
            MONTH(B19)=MONTH(DATE(YEAR($K$1),MONTH($K$1)-1,1))
        ),
        $K$1,
        IF(
            $E$4="",
            DATE(YEAR(B19),MONTH(B19)+1,1),
            IF(
                AND(
                    YEAR(B19)=YEAR(DATE(YEAR($E$4),MONTH($E$4)-1,1)),
                    MONTH(B19)=MONTH(DATE(YEAR($E$4),MONTH($E$4)-1,1))
                ),
                $E$4,
                DATE(YEAR(B19),MONTH(B19)+1,1)
            )
        )
    )
)</f>
        <v>39448</v>
      </c>
      <c r="B20" s="152">
        <f>IF(
AND(
YEAR(B19)=YEAR(DATE(YEAR($E$2),MONTH($E$2)-1,1)),
MONTH(B19)=MONTH(DATE(YEAR($E$2),MONTH($E$2)-1,1))
),
$E$2,
IF(
$E$3="",
EOMONTH(B19,1),
IF(
AND(
YEAR(B19)=YEAR(DATE(YEAR($E$3),MONTH($E$3)-1,1)),
MONTH(B19)=MONTH(DATE(YEAR($E$3),MONTH($E$3)-1,1))
),
$E$3,
EOMONTH(B19,1)
)))</f>
        <v>39478</v>
      </c>
      <c r="C20" s="437">
        <v>2008</v>
      </c>
      <c r="D20" s="149" t="s">
        <v>96</v>
      </c>
      <c r="E20" s="271">
        <f>'CAP POST'!G19</f>
        <v>0</v>
      </c>
      <c r="F20" s="271">
        <f t="shared" si="2"/>
        <v>0</v>
      </c>
      <c r="G20" s="215">
        <v>0.21829999999999999</v>
      </c>
      <c r="H20" s="288">
        <f t="shared" si="0"/>
        <v>0.32745000000000002</v>
      </c>
      <c r="I20" s="272">
        <f t="shared" si="1"/>
        <v>7.7635547827781259E-4</v>
      </c>
      <c r="J20" s="289">
        <f>IF(OR(A20=SABANA!$C$14, D20="adicional"),0,_xlfn.DAYS(B20,A20)+1)</f>
        <v>31</v>
      </c>
      <c r="K20" s="527">
        <f t="shared" si="3"/>
        <v>0</v>
      </c>
    </row>
    <row r="21" spans="1:11" x14ac:dyDescent="0.35">
      <c r="A21" s="152">
        <f>IF(
    AND(
        YEAR(B20)=YEAR(DATE(YEAR($E$1),MONTH($E$1)-1,1)),
        MONTH(B20)=MONTH(DATE(YEAR($E$1),MONTH($E$1)-1,1))
    ),
    $E$1,
    IF(
        AND(
            YEAR(B20)=YEAR(DATE(YEAR($K$1),MONTH($K$1)-1,1)),
            MONTH(B20)=MONTH(DATE(YEAR($K$1),MONTH($K$1)-1,1))
        ),
        $K$1,
        IF(
            $E$4="",
            DATE(YEAR(B20),MONTH(B20)+1,1),
            IF(
                AND(
                    YEAR(B20)=YEAR(DATE(YEAR($E$4),MONTH($E$4)-1,1)),
                    MONTH(B20)=MONTH(DATE(YEAR($E$4),MONTH($E$4)-1,1))
                ),
                $E$4,
                DATE(YEAR(B20),MONTH(B20)+1,1)
            )
        )
    )
)</f>
        <v>39479</v>
      </c>
      <c r="B21" s="152">
        <f>IF(
AND(
YEAR(B20)=YEAR(DATE(YEAR($E$2),MONTH($E$2)-1,1)),
MONTH(B20)=MONTH(DATE(YEAR($E$2),MONTH($E$2)-1,1))
),
$E$2,
IF(
$E$3="",
EOMONTH(B20,1),
IF(
AND(
YEAR(B20)=YEAR(DATE(YEAR($E$3),MONTH($E$3)-1,1)),
MONTH(B20)=MONTH(DATE(YEAR($E$3),MONTH($E$3)-1,1))
),
$E$3,
EOMONTH(B20,1)
)))</f>
        <v>39507</v>
      </c>
      <c r="C21" s="438"/>
      <c r="D21" s="149" t="s">
        <v>97</v>
      </c>
      <c r="E21" s="271">
        <f>'CAP POST'!G20</f>
        <v>0</v>
      </c>
      <c r="F21" s="271">
        <f t="shared" si="2"/>
        <v>0</v>
      </c>
      <c r="G21" s="215">
        <v>0.21829999999999999</v>
      </c>
      <c r="H21" s="288">
        <f t="shared" si="0"/>
        <v>0.32745000000000002</v>
      </c>
      <c r="I21" s="272">
        <f t="shared" si="1"/>
        <v>7.7635547827781259E-4</v>
      </c>
      <c r="J21" s="289">
        <f>IF(OR(A21=SABANA!$C$14, D21="adicional"),0,_xlfn.DAYS(B21,A21)+1)</f>
        <v>29</v>
      </c>
      <c r="K21" s="527">
        <f t="shared" si="3"/>
        <v>0</v>
      </c>
    </row>
    <row r="22" spans="1:11" x14ac:dyDescent="0.35">
      <c r="A22" s="152">
        <f>IF(
    AND(
        YEAR(B21)=YEAR(DATE(YEAR($E$1),MONTH($E$1)-1,1)),
        MONTH(B21)=MONTH(DATE(YEAR($E$1),MONTH($E$1)-1,1))
    ),
    $E$1,
    IF(
        AND(
            YEAR(B21)=YEAR(DATE(YEAR($K$1),MONTH($K$1)-1,1)),
            MONTH(B21)=MONTH(DATE(YEAR($K$1),MONTH($K$1)-1,1))
        ),
        $K$1,
        IF(
            $E$4="",
            DATE(YEAR(B21),MONTH(B21)+1,1),
            IF(
                AND(
                    YEAR(B21)=YEAR(DATE(YEAR($E$4),MONTH($E$4)-1,1)),
                    MONTH(B21)=MONTH(DATE(YEAR($E$4),MONTH($E$4)-1,1))
                ),
                $E$4,
                DATE(YEAR(B21),MONTH(B21)+1,1)
            )
        )
    )
)</f>
        <v>39508</v>
      </c>
      <c r="B22" s="152">
        <f>IF(
AND(
YEAR(B21)=YEAR(DATE(YEAR($E$2),MONTH($E$2)-1,1)),
MONTH(B21)=MONTH(DATE(YEAR($E$2),MONTH($E$2)-1,1))
),
$E$2,
IF(
$E$3="",
EOMONTH(B21,1),
IF(
AND(
YEAR(B21)=YEAR(DATE(YEAR($E$3),MONTH($E$3)-1,1)),
MONTH(B21)=MONTH(DATE(YEAR($E$3),MONTH($E$3)-1,1))
),
$E$3,
EOMONTH(B21,1)
)))</f>
        <v>39538</v>
      </c>
      <c r="C22" s="438"/>
      <c r="D22" s="149" t="s">
        <v>98</v>
      </c>
      <c r="E22" s="271">
        <f>'CAP POST'!G21</f>
        <v>0</v>
      </c>
      <c r="F22" s="271">
        <f t="shared" si="2"/>
        <v>0</v>
      </c>
      <c r="G22" s="215">
        <v>0.21829999999999999</v>
      </c>
      <c r="H22" s="288">
        <f t="shared" si="0"/>
        <v>0.32745000000000002</v>
      </c>
      <c r="I22" s="272">
        <f t="shared" si="1"/>
        <v>7.7635547827781259E-4</v>
      </c>
      <c r="J22" s="289">
        <f>IF(OR(A22=SABANA!$C$14, D22="adicional"),0,_xlfn.DAYS(B22,A22)+1)</f>
        <v>31</v>
      </c>
      <c r="K22" s="527">
        <f t="shared" si="3"/>
        <v>0</v>
      </c>
    </row>
    <row r="23" spans="1:11" x14ac:dyDescent="0.35">
      <c r="A23" s="152">
        <f>IF(
    AND(
        YEAR(B22)=YEAR(DATE(YEAR($E$1),MONTH($E$1)-1,1)),
        MONTH(B22)=MONTH(DATE(YEAR($E$1),MONTH($E$1)-1,1))
    ),
    $E$1,
    IF(
        AND(
            YEAR(B22)=YEAR(DATE(YEAR($K$1),MONTH($K$1)-1,1)),
            MONTH(B22)=MONTH(DATE(YEAR($K$1),MONTH($K$1)-1,1))
        ),
        $K$1,
        IF(
            $E$4="",
            DATE(YEAR(B22),MONTH(B22)+1,1),
            IF(
                AND(
                    YEAR(B22)=YEAR(DATE(YEAR($E$4),MONTH($E$4)-1,1)),
                    MONTH(B22)=MONTH(DATE(YEAR($E$4),MONTH($E$4)-1,1))
                ),
                $E$4,
                DATE(YEAR(B22),MONTH(B22)+1,1)
            )
        )
    )
)</f>
        <v>39539</v>
      </c>
      <c r="B23" s="152">
        <f>IF(
AND(
YEAR(B22)=YEAR(DATE(YEAR($E$2),MONTH($E$2)-1,1)),
MONTH(B22)=MONTH(DATE(YEAR($E$2),MONTH($E$2)-1,1))
),
$E$2,
IF(
$E$3="",
EOMONTH(B22,1),
IF(
AND(
YEAR(B22)=YEAR(DATE(YEAR($E$3),MONTH($E$3)-1,1)),
MONTH(B22)=MONTH(DATE(YEAR($E$3),MONTH($E$3)-1,1))
),
$E$3,
EOMONTH(B22,1)
)))</f>
        <v>39568</v>
      </c>
      <c r="C23" s="438"/>
      <c r="D23" s="149" t="s">
        <v>99</v>
      </c>
      <c r="E23" s="271">
        <f>'CAP POST'!G22</f>
        <v>0</v>
      </c>
      <c r="F23" s="271">
        <f t="shared" si="2"/>
        <v>0</v>
      </c>
      <c r="G23" s="215">
        <v>0.21920000000000001</v>
      </c>
      <c r="H23" s="288">
        <f t="shared" si="0"/>
        <v>0.32879999999999998</v>
      </c>
      <c r="I23" s="272">
        <f t="shared" si="1"/>
        <v>7.7914249535959712E-4</v>
      </c>
      <c r="J23" s="289">
        <f>IF(OR(A23=SABANA!$C$14, D23="adicional"),0,_xlfn.DAYS(B23,A23)+1)</f>
        <v>30</v>
      </c>
      <c r="K23" s="527">
        <f t="shared" si="3"/>
        <v>0</v>
      </c>
    </row>
    <row r="24" spans="1:11" x14ac:dyDescent="0.35">
      <c r="A24" s="152">
        <f>IF(
    AND(
        YEAR(B23)=YEAR(DATE(YEAR($E$1),MONTH($E$1)-1,1)),
        MONTH(B23)=MONTH(DATE(YEAR($E$1),MONTH($E$1)-1,1))
    ),
    $E$1,
    IF(
        AND(
            YEAR(B23)=YEAR(DATE(YEAR($K$1),MONTH($K$1)-1,1)),
            MONTH(B23)=MONTH(DATE(YEAR($K$1),MONTH($K$1)-1,1))
        ),
        $K$1,
        IF(
            $E$4="",
            DATE(YEAR(B23),MONTH(B23)+1,1),
            IF(
                AND(
                    YEAR(B23)=YEAR(DATE(YEAR($E$4),MONTH($E$4)-1,1)),
                    MONTH(B23)=MONTH(DATE(YEAR($E$4),MONTH($E$4)-1,1))
                ),
                $E$4,
                DATE(YEAR(B23),MONTH(B23)+1,1)
            )
        )
    )
)</f>
        <v>39569</v>
      </c>
      <c r="B24" s="152">
        <f>IF(
AND(
YEAR(B23)=YEAR(DATE(YEAR($E$2),MONTH($E$2)-1,1)),
MONTH(B23)=MONTH(DATE(YEAR($E$2),MONTH($E$2)-1,1))
),
$E$2,
IF(
$E$3="",
EOMONTH(B23,1),
IF(
AND(
YEAR(B23)=YEAR(DATE(YEAR($E$3),MONTH($E$3)-1,1)),
MONTH(B23)=MONTH(DATE(YEAR($E$3),MONTH($E$3)-1,1))
),
$E$3,
EOMONTH(B23,1)
)))</f>
        <v>39599</v>
      </c>
      <c r="C24" s="438"/>
      <c r="D24" s="149" t="s">
        <v>100</v>
      </c>
      <c r="E24" s="271">
        <f>'CAP POST'!G23</f>
        <v>0</v>
      </c>
      <c r="F24" s="271">
        <f t="shared" si="2"/>
        <v>0</v>
      </c>
      <c r="G24" s="215">
        <v>0.21920000000000001</v>
      </c>
      <c r="H24" s="288">
        <f t="shared" si="0"/>
        <v>0.32879999999999998</v>
      </c>
      <c r="I24" s="272">
        <f t="shared" si="1"/>
        <v>7.7914249535959712E-4</v>
      </c>
      <c r="J24" s="289">
        <f>IF(OR(A24=SABANA!$C$14, D24="adicional"),0,_xlfn.DAYS(B24,A24)+1)</f>
        <v>31</v>
      </c>
      <c r="K24" s="527">
        <f t="shared" si="3"/>
        <v>0</v>
      </c>
    </row>
    <row r="25" spans="1:11" x14ac:dyDescent="0.35">
      <c r="A25" s="156">
        <f>A26</f>
        <v>39600</v>
      </c>
      <c r="B25" s="156">
        <f>B26</f>
        <v>39629</v>
      </c>
      <c r="C25" s="438"/>
      <c r="D25" s="157" t="s">
        <v>101</v>
      </c>
      <c r="E25" s="274">
        <f>'CAP POST'!G24</f>
        <v>0</v>
      </c>
      <c r="F25" s="271">
        <f t="shared" si="2"/>
        <v>0</v>
      </c>
      <c r="G25" s="293"/>
      <c r="H25" s="294"/>
      <c r="I25" s="276">
        <f t="shared" si="1"/>
        <v>0</v>
      </c>
      <c r="J25" s="289">
        <f>IF(OR(A25=SABANA!$C$14, D25="adicional"),0,_xlfn.DAYS(B25,A25)+1)</f>
        <v>0</v>
      </c>
      <c r="K25" s="527">
        <f t="shared" si="3"/>
        <v>0</v>
      </c>
    </row>
    <row r="26" spans="1:11" x14ac:dyDescent="0.35">
      <c r="A26" s="152">
        <f>IF(
    AND(
        YEAR(B24)=YEAR(DATE(YEAR($E$1),MONTH($E$1)-1,1)),
        MONTH(B24)=MONTH(DATE(YEAR($E$1),MONTH($E$1)-1,1))
    ),
    $E$1,
    IF(
        AND(
            YEAR(B24)=YEAR(DATE(YEAR($K$1),MONTH($K$1)-1,1)),
            MONTH(B24)=MONTH(DATE(YEAR($K$1),MONTH($K$1)-1,1))
        ),
        $K$1,
        IF(
            $E$4="",
            DATE(YEAR(B24),MONTH(B24)+1,1),
            IF(
                AND(
                    YEAR(B24)=YEAR(DATE(YEAR($E$4),MONTH($E$4)-1,1)),
                    MONTH(B24)=MONTH(DATE(YEAR($E$4),MONTH($E$4)-1,1))
                ),
                $E$4,
                DATE(YEAR(B24),MONTH(B24)+1,1)
            )
        )
    )
)</f>
        <v>39600</v>
      </c>
      <c r="B26" s="152">
        <f>IF(
AND(
YEAR(B24)=YEAR(DATE(YEAR($E$2),MONTH($E$2)-1,1)),
MONTH(B24)=MONTH(DATE(YEAR($E$2),MONTH($E$2)-1,1))
),
$E$2,
IF(
$E$3="",
EOMONTH(B24,1),
IF(
AND(
YEAR(B24)=YEAR(DATE(YEAR($E$3),MONTH($E$3)-1,1)),
MONTH(B24)=MONTH(DATE(YEAR($E$3),MONTH($E$3)-1,1))
),
$E$3,
EOMONTH(B24,1)
)))</f>
        <v>39629</v>
      </c>
      <c r="C26" s="438"/>
      <c r="D26" s="149" t="s">
        <v>102</v>
      </c>
      <c r="E26" s="271">
        <f>'CAP POST'!G25</f>
        <v>0</v>
      </c>
      <c r="F26" s="271">
        <f t="shared" si="2"/>
        <v>0</v>
      </c>
      <c r="G26" s="215">
        <v>0.21920000000000001</v>
      </c>
      <c r="H26" s="288">
        <f>G26*1.5</f>
        <v>0.32879999999999998</v>
      </c>
      <c r="I26" s="272">
        <f t="shared" si="1"/>
        <v>7.7914249535959712E-4</v>
      </c>
      <c r="J26" s="289">
        <f>IF(OR(A26=SABANA!$C$14, D26="adicional"),0,_xlfn.DAYS(B26,A26)+1)</f>
        <v>30</v>
      </c>
      <c r="K26" s="527">
        <f>IF(AND(OR(A26&gt;=$E$4,B26&lt;=$E$3), AND(A25&gt;=$E$1,B25&lt;$E$2)),(F24*I26*H26),0)</f>
        <v>0</v>
      </c>
    </row>
    <row r="27" spans="1:11" x14ac:dyDescent="0.35">
      <c r="A27" s="152">
        <f>IF(
    AND(
        YEAR(B26)=YEAR(DATE(YEAR($E$1),MONTH($E$1)-1,1)),
        MONTH(B26)=MONTH(DATE(YEAR($E$1),MONTH($E$1)-1,1))
    ),
    $E$1,
    IF(
        AND(
            YEAR(B26)=YEAR(DATE(YEAR($K$1),MONTH($K$1)-1,1)),
            MONTH(B26)=MONTH(DATE(YEAR($K$1),MONTH($K$1)-1,1))
        ),
        $K$1,
        IF(
            $E$4="",
            DATE(YEAR(B26),MONTH(B26)+1,1),
            IF(
                AND(
                    YEAR(B26)=YEAR(DATE(YEAR($E$4),MONTH($E$4)-1,1)),
                    MONTH(B26)=MONTH(DATE(YEAR($E$4),MONTH($E$4)-1,1))
                ),
                $E$4,
                DATE(YEAR(B26),MONTH(B26)+1,1)
            )
        )
    )
)</f>
        <v>39630</v>
      </c>
      <c r="B27" s="152">
        <f>IF(
AND(
YEAR(B26)=YEAR(DATE(YEAR($E$2),MONTH($E$2)-1,1)),
MONTH(B26)=MONTH(DATE(YEAR($E$2),MONTH($E$2)-1,1))
),
$E$2,
IF(
$E$3="",
EOMONTH(B26,1),
IF(
AND(
YEAR(B26)=YEAR(DATE(YEAR($E$3),MONTH($E$3)-1,1)),
MONTH(B26)=MONTH(DATE(YEAR($E$3),MONTH($E$3)-1,1))
),
$E$3,
EOMONTH(B26,1)
)))</f>
        <v>39660</v>
      </c>
      <c r="C27" s="438"/>
      <c r="D27" s="149" t="s">
        <v>103</v>
      </c>
      <c r="E27" s="271">
        <f>'CAP POST'!G26</f>
        <v>0</v>
      </c>
      <c r="F27" s="271">
        <f t="shared" si="2"/>
        <v>0</v>
      </c>
      <c r="G27" s="215">
        <v>0.21510000000000001</v>
      </c>
      <c r="H27" s="288">
        <f t="shared" si="0"/>
        <v>0.32264999999999999</v>
      </c>
      <c r="I27" s="272">
        <f t="shared" si="1"/>
        <v>7.6642314091612818E-4</v>
      </c>
      <c r="J27" s="289">
        <f>IF(OR(A27=SABANA!$C$14, D27="adicional"),0,_xlfn.DAYS(B27,A27)+1)</f>
        <v>31</v>
      </c>
      <c r="K27" s="527">
        <f t="shared" si="3"/>
        <v>0</v>
      </c>
    </row>
    <row r="28" spans="1:11" x14ac:dyDescent="0.35">
      <c r="A28" s="152">
        <f>IF(
    AND(
        YEAR(B27)=YEAR(DATE(YEAR($E$1),MONTH($E$1)-1,1)),
        MONTH(B27)=MONTH(DATE(YEAR($E$1),MONTH($E$1)-1,1))
    ),
    $E$1,
    IF(
        AND(
            YEAR(B27)=YEAR(DATE(YEAR($K$1),MONTH($K$1)-1,1)),
            MONTH(B27)=MONTH(DATE(YEAR($K$1),MONTH($K$1)-1,1))
        ),
        $K$1,
        IF(
            $E$4="",
            DATE(YEAR(B27),MONTH(B27)+1,1),
            IF(
                AND(
                    YEAR(B27)=YEAR(DATE(YEAR($E$4),MONTH($E$4)-1,1)),
                    MONTH(B27)=MONTH(DATE(YEAR($E$4),MONTH($E$4)-1,1))
                ),
                $E$4,
                DATE(YEAR(B27),MONTH(B27)+1,1)
            )
        )
    )
)</f>
        <v>39661</v>
      </c>
      <c r="B28" s="152">
        <f>IF(
AND(
YEAR(B27)=YEAR(DATE(YEAR($E$2),MONTH($E$2)-1,1)),
MONTH(B27)=MONTH(DATE(YEAR($E$2),MONTH($E$2)-1,1))
),
$E$2,
IF(
$E$3="",
EOMONTH(B27,1),
IF(
AND(
YEAR(B27)=YEAR(DATE(YEAR($E$3),MONTH($E$3)-1,1)),
MONTH(B27)=MONTH(DATE(YEAR($E$3),MONTH($E$3)-1,1))
),
$E$3,
EOMONTH(B27,1)
)))</f>
        <v>39691</v>
      </c>
      <c r="C28" s="438"/>
      <c r="D28" s="149" t="s">
        <v>104</v>
      </c>
      <c r="E28" s="271">
        <f>'CAP POST'!G27</f>
        <v>0</v>
      </c>
      <c r="F28" s="271">
        <f t="shared" si="2"/>
        <v>0</v>
      </c>
      <c r="G28" s="215">
        <v>0.21510000000000001</v>
      </c>
      <c r="H28" s="288">
        <f t="shared" si="0"/>
        <v>0.32264999999999999</v>
      </c>
      <c r="I28" s="272">
        <f t="shared" si="1"/>
        <v>7.6642314091612818E-4</v>
      </c>
      <c r="J28" s="289">
        <f>IF(OR(A28=SABANA!$C$14, D28="adicional"),0,_xlfn.DAYS(B28,A28)+1)</f>
        <v>31</v>
      </c>
      <c r="K28" s="527">
        <f t="shared" si="3"/>
        <v>0</v>
      </c>
    </row>
    <row r="29" spans="1:11" x14ac:dyDescent="0.35">
      <c r="A29" s="152">
        <f>IF(
    AND(
        YEAR(B28)=YEAR(DATE(YEAR($E$1),MONTH($E$1)-1,1)),
        MONTH(B28)=MONTH(DATE(YEAR($E$1),MONTH($E$1)-1,1))
    ),
    $E$1,
    IF(
        AND(
            YEAR(B28)=YEAR(DATE(YEAR($K$1),MONTH($K$1)-1,1)),
            MONTH(B28)=MONTH(DATE(YEAR($K$1),MONTH($K$1)-1,1))
        ),
        $K$1,
        IF(
            $E$4="",
            DATE(YEAR(B28),MONTH(B28)+1,1),
            IF(
                AND(
                    YEAR(B28)=YEAR(DATE(YEAR($E$4),MONTH($E$4)-1,1)),
                    MONTH(B28)=MONTH(DATE(YEAR($E$4),MONTH($E$4)-1,1))
                ),
                $E$4,
                DATE(YEAR(B28),MONTH(B28)+1,1)
            )
        )
    )
)</f>
        <v>39692</v>
      </c>
      <c r="B29" s="152">
        <f>IF(
AND(
YEAR(B28)=YEAR(DATE(YEAR($E$2),MONTH($E$2)-1,1)),
MONTH(B28)=MONTH(DATE(YEAR($E$2),MONTH($E$2)-1,1))
),
$E$2,
IF(
$E$3="",
EOMONTH(B28,1),
IF(
AND(
YEAR(B28)=YEAR(DATE(YEAR($E$3),MONTH($E$3)-1,1)),
MONTH(B28)=MONTH(DATE(YEAR($E$3),MONTH($E$3)-1,1))
),
$E$3,
EOMONTH(B28,1)
)))</f>
        <v>39721</v>
      </c>
      <c r="C29" s="438"/>
      <c r="D29" s="149" t="s">
        <v>105</v>
      </c>
      <c r="E29" s="271">
        <f>'CAP POST'!G28</f>
        <v>0</v>
      </c>
      <c r="F29" s="271">
        <f t="shared" si="2"/>
        <v>0</v>
      </c>
      <c r="G29" s="215">
        <v>0.21510000000000001</v>
      </c>
      <c r="H29" s="288">
        <f t="shared" si="0"/>
        <v>0.32264999999999999</v>
      </c>
      <c r="I29" s="272">
        <f t="shared" si="1"/>
        <v>7.6642314091612818E-4</v>
      </c>
      <c r="J29" s="289">
        <f>IF(OR(A29=SABANA!$C$14, D29="adicional"),0,_xlfn.DAYS(B29,A29)+1)</f>
        <v>30</v>
      </c>
      <c r="K29" s="527">
        <f t="shared" si="3"/>
        <v>0</v>
      </c>
    </row>
    <row r="30" spans="1:11" x14ac:dyDescent="0.35">
      <c r="A30" s="152">
        <f>IF(
    AND(
        YEAR(B29)=YEAR(DATE(YEAR($E$1),MONTH($E$1)-1,1)),
        MONTH(B29)=MONTH(DATE(YEAR($E$1),MONTH($E$1)-1,1))
    ),
    $E$1,
    IF(
        AND(
            YEAR(B29)=YEAR(DATE(YEAR($K$1),MONTH($K$1)-1,1)),
            MONTH(B29)=MONTH(DATE(YEAR($K$1),MONTH($K$1)-1,1))
        ),
        $K$1,
        IF(
            $E$4="",
            DATE(YEAR(B29),MONTH(B29)+1,1),
            IF(
                AND(
                    YEAR(B29)=YEAR(DATE(YEAR($E$4),MONTH($E$4)-1,1)),
                    MONTH(B29)=MONTH(DATE(YEAR($E$4),MONTH($E$4)-1,1))
                ),
                $E$4,
                DATE(YEAR(B29),MONTH(B29)+1,1)
            )
        )
    )
)</f>
        <v>39722</v>
      </c>
      <c r="B30" s="152">
        <f>IF(
AND(
YEAR(B29)=YEAR(DATE(YEAR($E$2),MONTH($E$2)-1,1)),
MONTH(B29)=MONTH(DATE(YEAR($E$2),MONTH($E$2)-1,1))
),
$E$2,
IF(
$E$3="",
EOMONTH(B29,1),
IF(
AND(
YEAR(B29)=YEAR(DATE(YEAR($E$3),MONTH($E$3)-1,1)),
MONTH(B29)=MONTH(DATE(YEAR($E$3),MONTH($E$3)-1,1))
),
$E$3,
EOMONTH(B29,1)
)))</f>
        <v>39752</v>
      </c>
      <c r="C30" s="438"/>
      <c r="D30" s="149" t="s">
        <v>106</v>
      </c>
      <c r="E30" s="271">
        <f>'CAP POST'!G29</f>
        <v>0</v>
      </c>
      <c r="F30" s="271">
        <f t="shared" si="2"/>
        <v>0</v>
      </c>
      <c r="G30" s="215">
        <v>0.2102</v>
      </c>
      <c r="H30" s="288">
        <f t="shared" si="0"/>
        <v>0.31530000000000002</v>
      </c>
      <c r="I30" s="272">
        <f t="shared" si="1"/>
        <v>7.5114436909107241E-4</v>
      </c>
      <c r="J30" s="289">
        <f>IF(OR(A30=SABANA!$C$14, D30="adicional"),0,_xlfn.DAYS(B30,A30)+1)</f>
        <v>31</v>
      </c>
      <c r="K30" s="527">
        <f t="shared" si="3"/>
        <v>0</v>
      </c>
    </row>
    <row r="31" spans="1:11" x14ac:dyDescent="0.35">
      <c r="A31" s="152">
        <f>IF(
    AND(
        YEAR(B30)=YEAR(DATE(YEAR($E$1),MONTH($E$1)-1,1)),
        MONTH(B30)=MONTH(DATE(YEAR($E$1),MONTH($E$1)-1,1))
    ),
    $E$1,
    IF(
        AND(
            YEAR(B30)=YEAR(DATE(YEAR($K$1),MONTH($K$1)-1,1)),
            MONTH(B30)=MONTH(DATE(YEAR($K$1),MONTH($K$1)-1,1))
        ),
        $K$1,
        IF(
            $E$4="",
            DATE(YEAR(B30),MONTH(B30)+1,1),
            IF(
                AND(
                    YEAR(B30)=YEAR(DATE(YEAR($E$4),MONTH($E$4)-1,1)),
                    MONTH(B30)=MONTH(DATE(YEAR($E$4),MONTH($E$4)-1,1))
                ),
                $E$4,
                DATE(YEAR(B30),MONTH(B30)+1,1)
            )
        )
    )
)</f>
        <v>39753</v>
      </c>
      <c r="B31" s="152">
        <f>IF(
AND(
YEAR(B30)=YEAR(DATE(YEAR($E$2),MONTH($E$2)-1,1)),
MONTH(B30)=MONTH(DATE(YEAR($E$2),MONTH($E$2)-1,1))
),
$E$2,
IF(
$E$3="",
EOMONTH(B30,1),
IF(
AND(
YEAR(B30)=YEAR(DATE(YEAR($E$3),MONTH($E$3)-1,1)),
MONTH(B30)=MONTH(DATE(YEAR($E$3),MONTH($E$3)-1,1))
),
$E$3,
EOMONTH(B30,1)
)))</f>
        <v>39782</v>
      </c>
      <c r="C31" s="438"/>
      <c r="D31" s="149" t="s">
        <v>107</v>
      </c>
      <c r="E31" s="271">
        <f>'CAP POST'!G30</f>
        <v>0</v>
      </c>
      <c r="F31" s="271">
        <f t="shared" si="2"/>
        <v>0</v>
      </c>
      <c r="G31" s="215">
        <v>0.2102</v>
      </c>
      <c r="H31" s="288">
        <f t="shared" si="0"/>
        <v>0.31530000000000002</v>
      </c>
      <c r="I31" s="272">
        <f t="shared" si="1"/>
        <v>7.5114436909107241E-4</v>
      </c>
      <c r="J31" s="289">
        <f>IF(OR(A31=SABANA!$C$14, D31="adicional"),0,_xlfn.DAYS(B31,A31)+1)</f>
        <v>30</v>
      </c>
      <c r="K31" s="527">
        <f t="shared" si="3"/>
        <v>0</v>
      </c>
    </row>
    <row r="32" spans="1:11" x14ac:dyDescent="0.35">
      <c r="A32" s="156">
        <f>A31</f>
        <v>39753</v>
      </c>
      <c r="B32" s="156">
        <f>B31</f>
        <v>39782</v>
      </c>
      <c r="C32" s="438"/>
      <c r="D32" s="157" t="s">
        <v>101</v>
      </c>
      <c r="E32" s="274">
        <f>'CAP POST'!G31</f>
        <v>0</v>
      </c>
      <c r="F32" s="271">
        <f t="shared" si="2"/>
        <v>0</v>
      </c>
      <c r="G32" s="275"/>
      <c r="H32" s="292">
        <f t="shared" si="0"/>
        <v>0</v>
      </c>
      <c r="I32" s="276">
        <f t="shared" si="1"/>
        <v>0</v>
      </c>
      <c r="J32" s="289">
        <f>IF(OR(A32=SABANA!$C$14, D32="adicional"),0,_xlfn.DAYS(B32,A32)+1)</f>
        <v>0</v>
      </c>
      <c r="K32" s="527">
        <f t="shared" si="3"/>
        <v>0</v>
      </c>
    </row>
    <row r="33" spans="1:11" x14ac:dyDescent="0.35">
      <c r="A33" s="152">
        <f>IF(
    AND(
        YEAR(B31)=YEAR(DATE(YEAR($E$1),MONTH($E$1)-1,1)),
        MONTH(B31)=MONTH(DATE(YEAR($E$1),MONTH($E$1)-1,1))
    ),
    $E$1,
    IF(
        AND(
            YEAR(B31)=YEAR(DATE(YEAR($K$1),MONTH($K$1)-1,1)),
            MONTH(B31)=MONTH(DATE(YEAR($K$1),MONTH($K$1)-1,1))
        ),
        $K$1,
        IF(
            $E$4="",
            DATE(YEAR(B31),MONTH(B31)+1,1),
            IF(
                AND(
                    YEAR(B31)=YEAR(DATE(YEAR($E$4),MONTH($E$4)-1,1)),
                    MONTH(B31)=MONTH(DATE(YEAR($E$4),MONTH($E$4)-1,1))
                ),
                $E$4,
                DATE(YEAR(B31),MONTH(B31)+1,1)
            )
        )
    )
)</f>
        <v>39783</v>
      </c>
      <c r="B33" s="152">
        <f>IF(
AND(
YEAR(B31)=YEAR(DATE(YEAR($E$2),MONTH($E$2)-1,1)),
MONTH(B31)=MONTH(DATE(YEAR($E$2),MONTH($E$2)-1,1))
),
$E$2,
IF(
$E$3="",
EOMONTH(B31,1),
IF(
AND(
YEAR(B31)=YEAR(DATE(YEAR($E$3),MONTH($E$3)-1,1)),
MONTH(B31)=MONTH(DATE(YEAR($E$3),MONTH($E$3)-1,1))
),
$E$3,
EOMONTH(B31,1)
)))</f>
        <v>39813</v>
      </c>
      <c r="C33" s="439"/>
      <c r="D33" s="149" t="s">
        <v>108</v>
      </c>
      <c r="E33" s="271">
        <f>'CAP POST'!G32</f>
        <v>0</v>
      </c>
      <c r="F33" s="271">
        <f t="shared" si="2"/>
        <v>0</v>
      </c>
      <c r="G33" s="215">
        <v>0.2102</v>
      </c>
      <c r="H33" s="288">
        <f t="shared" si="0"/>
        <v>0.31530000000000002</v>
      </c>
      <c r="I33" s="272">
        <f t="shared" si="1"/>
        <v>7.5114436909107241E-4</v>
      </c>
      <c r="J33" s="289">
        <f>IF(OR(A33=SABANA!$C$14, D33="adicional"),0,_xlfn.DAYS(B33,A33)+1)</f>
        <v>31</v>
      </c>
      <c r="K33" s="527">
        <f>IF(AND(OR(A33&gt;=$E$4,B33&lt;=$E$3), AND(A32&gt;=$E$1,B32&lt;$E$2)),(F31*I33*H33),0)</f>
        <v>0</v>
      </c>
    </row>
    <row r="34" spans="1:11" x14ac:dyDescent="0.35">
      <c r="A34" s="152">
        <f>IF(
    AND(
        YEAR(B33)=YEAR(DATE(YEAR($E$1),MONTH($E$1)-1,1)),
        MONTH(B33)=MONTH(DATE(YEAR($E$1),MONTH($E$1)-1,1))
    ),
    $E$1,
    IF(
        AND(
            YEAR(B33)=YEAR(DATE(YEAR($K$1),MONTH($K$1)-1,1)),
            MONTH(B33)=MONTH(DATE(YEAR($K$1),MONTH($K$1)-1,1))
        ),
        $K$1,
        IF(
            $E$4="",
            DATE(YEAR(B33),MONTH(B33)+1,1),
            IF(
                AND(
                    YEAR(B33)=YEAR(DATE(YEAR($E$4),MONTH($E$4)-1,1)),
                    MONTH(B33)=MONTH(DATE(YEAR($E$4),MONTH($E$4)-1,1))
                ),
                $E$4,
                DATE(YEAR(B33),MONTH(B33)+1,1)
            )
        )
    )
)</f>
        <v>39814</v>
      </c>
      <c r="B34" s="152">
        <f>IF(
AND(
YEAR(B33)=YEAR(DATE(YEAR($E$2),MONTH($E$2)-1,1)),
MONTH(B33)=MONTH(DATE(YEAR($E$2),MONTH($E$2)-1,1))
),
$E$2,
IF(
$E$3="",
EOMONTH(B33,1),
IF(
AND(
YEAR(B33)=YEAR(DATE(YEAR($E$3),MONTH($E$3)-1,1)),
MONTH(B33)=MONTH(DATE(YEAR($E$3),MONTH($E$3)-1,1))
),
$E$3,
EOMONTH(B33,1)
)))</f>
        <v>39844</v>
      </c>
      <c r="C34" s="437">
        <v>2009</v>
      </c>
      <c r="D34" s="149" t="s">
        <v>96</v>
      </c>
      <c r="E34" s="271">
        <f>'CAP POST'!G33</f>
        <v>0</v>
      </c>
      <c r="F34" s="271">
        <f t="shared" si="2"/>
        <v>0</v>
      </c>
      <c r="G34" s="215">
        <v>0.20469999999999999</v>
      </c>
      <c r="H34" s="288">
        <f t="shared" si="0"/>
        <v>0.30704999999999999</v>
      </c>
      <c r="I34" s="272">
        <f t="shared" si="1"/>
        <v>7.3389297449621971E-4</v>
      </c>
      <c r="J34" s="289">
        <f>IF(OR(A34=SABANA!$C$14, D34="adicional"),0,_xlfn.DAYS(B34,A34)+1)</f>
        <v>31</v>
      </c>
      <c r="K34" s="527">
        <f t="shared" si="3"/>
        <v>0</v>
      </c>
    </row>
    <row r="35" spans="1:11" x14ac:dyDescent="0.35">
      <c r="A35" s="152">
        <f>IF(
    AND(
        YEAR(B34)=YEAR(DATE(YEAR($E$1),MONTH($E$1)-1,1)),
        MONTH(B34)=MONTH(DATE(YEAR($E$1),MONTH($E$1)-1,1))
    ),
    $E$1,
    IF(
        AND(
            YEAR(B34)=YEAR(DATE(YEAR($K$1),MONTH($K$1)-1,1)),
            MONTH(B34)=MONTH(DATE(YEAR($K$1),MONTH($K$1)-1,1))
        ),
        $K$1,
        IF(
            $E$4="",
            DATE(YEAR(B34),MONTH(B34)+1,1),
            IF(
                AND(
                    YEAR(B34)=YEAR(DATE(YEAR($E$4),MONTH($E$4)-1,1)),
                    MONTH(B34)=MONTH(DATE(YEAR($E$4),MONTH($E$4)-1,1))
                ),
                $E$4,
                DATE(YEAR(B34),MONTH(B34)+1,1)
            )
        )
    )
)</f>
        <v>39845</v>
      </c>
      <c r="B35" s="152">
        <f>IF(
AND(
YEAR(B34)=YEAR(DATE(YEAR($E$2),MONTH($E$2)-1,1)),
MONTH(B34)=MONTH(DATE(YEAR($E$2),MONTH($E$2)-1,1))
),
$E$2,
IF(
$E$3="",
EOMONTH(B34,1),
IF(
AND(
YEAR(B34)=YEAR(DATE(YEAR($E$3),MONTH($E$3)-1,1)),
MONTH(B34)=MONTH(DATE(YEAR($E$3),MONTH($E$3)-1,1))
),
$E$3,
EOMONTH(B34,1)
)))</f>
        <v>39872</v>
      </c>
      <c r="C35" s="438"/>
      <c r="D35" s="149" t="s">
        <v>97</v>
      </c>
      <c r="E35" s="271">
        <f>'CAP POST'!G34</f>
        <v>0</v>
      </c>
      <c r="F35" s="271">
        <f t="shared" si="2"/>
        <v>0</v>
      </c>
      <c r="G35" s="215">
        <v>0.20469999999999999</v>
      </c>
      <c r="H35" s="288">
        <f t="shared" si="0"/>
        <v>0.30704999999999999</v>
      </c>
      <c r="I35" s="272">
        <f t="shared" si="1"/>
        <v>7.3389297449621971E-4</v>
      </c>
      <c r="J35" s="289">
        <f>IF(OR(A35=SABANA!$C$14, D35="adicional"),0,_xlfn.DAYS(B35,A35)+1)</f>
        <v>28</v>
      </c>
      <c r="K35" s="527">
        <f t="shared" si="3"/>
        <v>0</v>
      </c>
    </row>
    <row r="36" spans="1:11" x14ac:dyDescent="0.35">
      <c r="A36" s="152">
        <f>IF(
    AND(
        YEAR(B35)=YEAR(DATE(YEAR($E$1),MONTH($E$1)-1,1)),
        MONTH(B35)=MONTH(DATE(YEAR($E$1),MONTH($E$1)-1,1))
    ),
    $E$1,
    IF(
        AND(
            YEAR(B35)=YEAR(DATE(YEAR($K$1),MONTH($K$1)-1,1)),
            MONTH(B35)=MONTH(DATE(YEAR($K$1),MONTH($K$1)-1,1))
        ),
        $K$1,
        IF(
            $E$4="",
            DATE(YEAR(B35),MONTH(B35)+1,1),
            IF(
                AND(
                    YEAR(B35)=YEAR(DATE(YEAR($E$4),MONTH($E$4)-1,1)),
                    MONTH(B35)=MONTH(DATE(YEAR($E$4),MONTH($E$4)-1,1))
                ),
                $E$4,
                DATE(YEAR(B35),MONTH(B35)+1,1)
            )
        )
    )
)</f>
        <v>39873</v>
      </c>
      <c r="B36" s="152">
        <f>IF(
AND(
YEAR(B35)=YEAR(DATE(YEAR($E$2),MONTH($E$2)-1,1)),
MONTH(B35)=MONTH(DATE(YEAR($E$2),MONTH($E$2)-1,1))
),
$E$2,
IF(
$E$3="",
EOMONTH(B35,1),
IF(
AND(
YEAR(B35)=YEAR(DATE(YEAR($E$3),MONTH($E$3)-1,1)),
MONTH(B35)=MONTH(DATE(YEAR($E$3),MONTH($E$3)-1,1))
),
$E$3,
EOMONTH(B35,1)
)))</f>
        <v>39903</v>
      </c>
      <c r="C36" s="438"/>
      <c r="D36" s="149" t="s">
        <v>98</v>
      </c>
      <c r="E36" s="271">
        <f>'CAP POST'!G35</f>
        <v>0</v>
      </c>
      <c r="F36" s="271">
        <f t="shared" si="2"/>
        <v>0</v>
      </c>
      <c r="G36" s="215">
        <v>0.20469999999999999</v>
      </c>
      <c r="H36" s="288">
        <f t="shared" si="0"/>
        <v>0.30704999999999999</v>
      </c>
      <c r="I36" s="272">
        <f t="shared" si="1"/>
        <v>7.3389297449621971E-4</v>
      </c>
      <c r="J36" s="289">
        <f>IF(OR(A36=SABANA!$C$14, D36="adicional"),0,_xlfn.DAYS(B36,A36)+1)</f>
        <v>31</v>
      </c>
      <c r="K36" s="527">
        <f t="shared" si="3"/>
        <v>0</v>
      </c>
    </row>
    <row r="37" spans="1:11" x14ac:dyDescent="0.35">
      <c r="A37" s="152">
        <f>IF(
    AND(
        YEAR(B36)=YEAR(DATE(YEAR($E$1),MONTH($E$1)-1,1)),
        MONTH(B36)=MONTH(DATE(YEAR($E$1),MONTH($E$1)-1,1))
    ),
    $E$1,
    IF(
        AND(
            YEAR(B36)=YEAR(DATE(YEAR($K$1),MONTH($K$1)-1,1)),
            MONTH(B36)=MONTH(DATE(YEAR($K$1),MONTH($K$1)-1,1))
        ),
        $K$1,
        IF(
            $E$4="",
            DATE(YEAR(B36),MONTH(B36)+1,1),
            IF(
                AND(
                    YEAR(B36)=YEAR(DATE(YEAR($E$4),MONTH($E$4)-1,1)),
                    MONTH(B36)=MONTH(DATE(YEAR($E$4),MONTH($E$4)-1,1))
                ),
                $E$4,
                DATE(YEAR(B36),MONTH(B36)+1,1)
            )
        )
    )
)</f>
        <v>39904</v>
      </c>
      <c r="B37" s="152">
        <f>IF(
AND(
YEAR(B36)=YEAR(DATE(YEAR($E$2),MONTH($E$2)-1,1)),
MONTH(B36)=MONTH(DATE(YEAR($E$2),MONTH($E$2)-1,1))
),
$E$2,
IF(
$E$3="",
EOMONTH(B36,1),
IF(
AND(
YEAR(B36)=YEAR(DATE(YEAR($E$3),MONTH($E$3)-1,1)),
MONTH(B36)=MONTH(DATE(YEAR($E$3),MONTH($E$3)-1,1))
),
$E$3,
EOMONTH(B36,1)
)))</f>
        <v>39933</v>
      </c>
      <c r="C37" s="438"/>
      <c r="D37" s="149" t="s">
        <v>99</v>
      </c>
      <c r="E37" s="271">
        <f>'CAP POST'!G36</f>
        <v>0</v>
      </c>
      <c r="F37" s="271">
        <f t="shared" si="2"/>
        <v>0</v>
      </c>
      <c r="G37" s="215">
        <v>0.20280000000000001</v>
      </c>
      <c r="H37" s="288">
        <f t="shared" si="0"/>
        <v>0.30420000000000003</v>
      </c>
      <c r="I37" s="272">
        <f t="shared" si="1"/>
        <v>7.2790815549184096E-4</v>
      </c>
      <c r="J37" s="289">
        <f>IF(OR(A37=SABANA!$C$14, D37="adicional"),0,_xlfn.DAYS(B37,A37)+1)</f>
        <v>30</v>
      </c>
      <c r="K37" s="527">
        <f t="shared" si="3"/>
        <v>0</v>
      </c>
    </row>
    <row r="38" spans="1:11" x14ac:dyDescent="0.35">
      <c r="A38" s="152">
        <f>IF(
    AND(
        YEAR(B37)=YEAR(DATE(YEAR($E$1),MONTH($E$1)-1,1)),
        MONTH(B37)=MONTH(DATE(YEAR($E$1),MONTH($E$1)-1,1))
    ),
    $E$1,
    IF(
        AND(
            YEAR(B37)=YEAR(DATE(YEAR($K$1),MONTH($K$1)-1,1)),
            MONTH(B37)=MONTH(DATE(YEAR($K$1),MONTH($K$1)-1,1))
        ),
        $K$1,
        IF(
            $E$4="",
            DATE(YEAR(B37),MONTH(B37)+1,1),
            IF(
                AND(
                    YEAR(B37)=YEAR(DATE(YEAR($E$4),MONTH($E$4)-1,1)),
                    MONTH(B37)=MONTH(DATE(YEAR($E$4),MONTH($E$4)-1,1))
                ),
                $E$4,
                DATE(YEAR(B37),MONTH(B37)+1,1)
            )
        )
    )
)</f>
        <v>39934</v>
      </c>
      <c r="B38" s="152">
        <f>IF(
AND(
YEAR(B37)=YEAR(DATE(YEAR($E$2),MONTH($E$2)-1,1)),
MONTH(B37)=MONTH(DATE(YEAR($E$2),MONTH($E$2)-1,1))
),
$E$2,
IF(
$E$3="",
EOMONTH(B37,1),
IF(
AND(
YEAR(B37)=YEAR(DATE(YEAR($E$3),MONTH($E$3)-1,1)),
MONTH(B37)=MONTH(DATE(YEAR($E$3),MONTH($E$3)-1,1))
),
$E$3,
EOMONTH(B37,1)
)))</f>
        <v>39964</v>
      </c>
      <c r="C38" s="438"/>
      <c r="D38" s="149" t="s">
        <v>100</v>
      </c>
      <c r="E38" s="271">
        <f>'CAP POST'!G37</f>
        <v>0</v>
      </c>
      <c r="F38" s="271">
        <f t="shared" si="2"/>
        <v>0</v>
      </c>
      <c r="G38" s="215">
        <v>0.20280000000000001</v>
      </c>
      <c r="H38" s="288">
        <f t="shared" si="0"/>
        <v>0.30420000000000003</v>
      </c>
      <c r="I38" s="272">
        <f t="shared" si="1"/>
        <v>7.2790815549184096E-4</v>
      </c>
      <c r="J38" s="289">
        <f>IF(OR(A38=SABANA!$C$14, D38="adicional"),0,_xlfn.DAYS(B38,A38)+1)</f>
        <v>31</v>
      </c>
      <c r="K38" s="527">
        <f t="shared" si="3"/>
        <v>0</v>
      </c>
    </row>
    <row r="39" spans="1:11" x14ac:dyDescent="0.35">
      <c r="A39" s="156">
        <f t="shared" ref="A39" si="4">A40</f>
        <v>39965</v>
      </c>
      <c r="B39" s="156">
        <f t="shared" ref="B39" si="5">B40</f>
        <v>39994</v>
      </c>
      <c r="C39" s="438"/>
      <c r="D39" s="149" t="s">
        <v>102</v>
      </c>
      <c r="E39" s="271">
        <f>'CAP POST'!G39</f>
        <v>0</v>
      </c>
      <c r="F39" s="271">
        <f t="shared" si="2"/>
        <v>0</v>
      </c>
      <c r="G39" s="215">
        <v>0.20280000000000001</v>
      </c>
      <c r="H39" s="288">
        <f t="shared" si="0"/>
        <v>0.30420000000000003</v>
      </c>
      <c r="I39" s="272">
        <f t="shared" si="1"/>
        <v>7.2790815549184096E-4</v>
      </c>
      <c r="J39" s="289">
        <f>IF(OR(A39=SABANA!$C$14, D39="adicional"),0,_xlfn.DAYS(B39,A39)+1)</f>
        <v>30</v>
      </c>
      <c r="K39" s="527">
        <f t="shared" si="3"/>
        <v>0</v>
      </c>
    </row>
    <row r="40" spans="1:11" x14ac:dyDescent="0.35">
      <c r="A40" s="152">
        <f>IF(
    AND(
        YEAR(B38)=YEAR(DATE(YEAR($E$1),MONTH($E$1)-1,1)),
        MONTH(B38)=MONTH(DATE(YEAR($E$1),MONTH($E$1)-1,1))
    ),
    $E$1,
    IF(
        AND(
            YEAR(B38)=YEAR(DATE(YEAR($K$1),MONTH($K$1)-1,1)),
            MONTH(B38)=MONTH(DATE(YEAR($K$1),MONTH($K$1)-1,1))
        ),
        $K$1,
        IF(
            $E$4="",
            DATE(YEAR(B38),MONTH(B38)+1,1),
            IF(
                AND(
                    YEAR(B38)=YEAR(DATE(YEAR($E$4),MONTH($E$4)-1,1)),
                    MONTH(B38)=MONTH(DATE(YEAR($E$4),MONTH($E$4)-1,1))
                ),
                $E$4,
                DATE(YEAR(B38),MONTH(B38)+1,1)
            )
        )
    )
)</f>
        <v>39965</v>
      </c>
      <c r="B40" s="152">
        <f>IF(
AND(
YEAR(B38)=YEAR(DATE(YEAR($E$2),MONTH($E$2)-1,1)),
MONTH(B38)=MONTH(DATE(YEAR($E$2),MONTH($E$2)-1,1))
),
$E$2,
IF(
$E$3="",
EOMONTH(B38,1),
IF(
AND(
YEAR(B38)=YEAR(DATE(YEAR($E$3),MONTH($E$3)-1,1)),
MONTH(B38)=MONTH(DATE(YEAR($E$3),MONTH($E$3)-1,1))
),
$E$3,
EOMONTH(B38,1)
)))</f>
        <v>39994</v>
      </c>
      <c r="C40" s="438"/>
      <c r="D40" s="157" t="s">
        <v>101</v>
      </c>
      <c r="E40" s="274">
        <f>'CAP POST'!G38</f>
        <v>0</v>
      </c>
      <c r="F40" s="271">
        <f t="shared" si="2"/>
        <v>0</v>
      </c>
      <c r="G40" s="275"/>
      <c r="H40" s="292"/>
      <c r="I40" s="276">
        <f t="shared" si="1"/>
        <v>0</v>
      </c>
      <c r="J40" s="289">
        <f>IF(OR(A40=SABANA!$C$14, D40="adicional"),0,_xlfn.DAYS(B40,A40)+1)</f>
        <v>0</v>
      </c>
      <c r="K40" s="527">
        <f t="shared" ref="K40" si="6">IF(AND(OR(A40&gt;=$E$4,B40&lt;=$E$3), AND(A39&gt;=$E$1,B39&lt;$E$2)),(F38*I40*H40),0)</f>
        <v>0</v>
      </c>
    </row>
    <row r="41" spans="1:11" x14ac:dyDescent="0.35">
      <c r="A41" s="152">
        <f>IF(
    AND(
        YEAR(B40)=YEAR(DATE(YEAR($E$1),MONTH($E$1)-1,1)),
        MONTH(B40)=MONTH(DATE(YEAR($E$1),MONTH($E$1)-1,1))
    ),
    $E$1,
    IF(
        AND(
            YEAR(B40)=YEAR(DATE(YEAR($K$1),MONTH($K$1)-1,1)),
            MONTH(B40)=MONTH(DATE(YEAR($K$1),MONTH($K$1)-1,1))
        ),
        $K$1,
        IF(
            $E$4="",
            DATE(YEAR(B40),MONTH(B40)+1,1),
            IF(
                AND(
                    YEAR(B40)=YEAR(DATE(YEAR($E$4),MONTH($E$4)-1,1)),
                    MONTH(B40)=MONTH(DATE(YEAR($E$4),MONTH($E$4)-1,1))
                ),
                $E$4,
                DATE(YEAR(B40),MONTH(B40)+1,1)
            )
        )
    )
)</f>
        <v>39995</v>
      </c>
      <c r="B41" s="152">
        <f>IF(
AND(
YEAR(B40)=YEAR(DATE(YEAR($E$2),MONTH($E$2)-1,1)),
MONTH(B40)=MONTH(DATE(YEAR($E$2),MONTH($E$2)-1,1))
),
$E$2,
IF(
$E$3="",
EOMONTH(B40,1),
IF(
AND(
YEAR(B40)=YEAR(DATE(YEAR($E$3),MONTH($E$3)-1,1)),
MONTH(B40)=MONTH(DATE(YEAR($E$3),MONTH($E$3)-1,1))
),
$E$3,
EOMONTH(B40,1)
)))</f>
        <v>40025</v>
      </c>
      <c r="C41" s="438"/>
      <c r="D41" s="149" t="s">
        <v>103</v>
      </c>
      <c r="E41" s="271">
        <f>'CAP POST'!G40</f>
        <v>0</v>
      </c>
      <c r="F41" s="271">
        <f t="shared" si="2"/>
        <v>0</v>
      </c>
      <c r="G41" s="215">
        <v>0.1865</v>
      </c>
      <c r="H41" s="288">
        <f t="shared" si="0"/>
        <v>0.27975</v>
      </c>
      <c r="I41" s="272">
        <f t="shared" si="1"/>
        <v>6.760222257264914E-4</v>
      </c>
      <c r="J41" s="289">
        <f>IF(OR(A41=SABANA!$C$14, D41="adicional"),0,_xlfn.DAYS(B41,A41)+1)</f>
        <v>31</v>
      </c>
      <c r="K41" s="527">
        <f t="shared" si="3"/>
        <v>0</v>
      </c>
    </row>
    <row r="42" spans="1:11" x14ac:dyDescent="0.35">
      <c r="A42" s="152">
        <f>IF(
    AND(
        YEAR(B41)=YEAR(DATE(YEAR($E$1),MONTH($E$1)-1,1)),
        MONTH(B41)=MONTH(DATE(YEAR($E$1),MONTH($E$1)-1,1))
    ),
    $E$1,
    IF(
        AND(
            YEAR(B41)=YEAR(DATE(YEAR($K$1),MONTH($K$1)-1,1)),
            MONTH(B41)=MONTH(DATE(YEAR($K$1),MONTH($K$1)-1,1))
        ),
        $K$1,
        IF(
            $E$4="",
            DATE(YEAR(B41),MONTH(B41)+1,1),
            IF(
                AND(
                    YEAR(B41)=YEAR(DATE(YEAR($E$4),MONTH($E$4)-1,1)),
                    MONTH(B41)=MONTH(DATE(YEAR($E$4),MONTH($E$4)-1,1))
                ),
                $E$4,
                DATE(YEAR(B41),MONTH(B41)+1,1)
            )
        )
    )
)</f>
        <v>40026</v>
      </c>
      <c r="B42" s="152">
        <f>IF(
AND(
YEAR(B41)=YEAR(DATE(YEAR($E$2),MONTH($E$2)-1,1)),
MONTH(B41)=MONTH(DATE(YEAR($E$2),MONTH($E$2)-1,1))
),
$E$2,
IF(
$E$3="",
EOMONTH(B41,1),
IF(
AND(
YEAR(B41)=YEAR(DATE(YEAR($E$3),MONTH($E$3)-1,1)),
MONTH(B41)=MONTH(DATE(YEAR($E$3),MONTH($E$3)-1,1))
),
$E$3,
EOMONTH(B41,1)
)))</f>
        <v>40056</v>
      </c>
      <c r="C42" s="438"/>
      <c r="D42" s="149" t="s">
        <v>104</v>
      </c>
      <c r="E42" s="271">
        <f>'CAP POST'!G41</f>
        <v>0</v>
      </c>
      <c r="F42" s="271">
        <f t="shared" si="2"/>
        <v>0</v>
      </c>
      <c r="G42" s="215">
        <v>0.1865</v>
      </c>
      <c r="H42" s="288">
        <f t="shared" si="0"/>
        <v>0.27975</v>
      </c>
      <c r="I42" s="272">
        <f t="shared" si="1"/>
        <v>6.760222257264914E-4</v>
      </c>
      <c r="J42" s="289">
        <f>IF(OR(A42=SABANA!$C$14, D42="adicional"),0,_xlfn.DAYS(B42,A42)+1)</f>
        <v>31</v>
      </c>
      <c r="K42" s="527">
        <f t="shared" si="3"/>
        <v>0</v>
      </c>
    </row>
    <row r="43" spans="1:11" x14ac:dyDescent="0.35">
      <c r="A43" s="152">
        <f>IF(
    AND(
        YEAR(B42)=YEAR(DATE(YEAR($E$1),MONTH($E$1)-1,1)),
        MONTH(B42)=MONTH(DATE(YEAR($E$1),MONTH($E$1)-1,1))
    ),
    $E$1,
    IF(
        AND(
            YEAR(B42)=YEAR(DATE(YEAR($K$1),MONTH($K$1)-1,1)),
            MONTH(B42)=MONTH(DATE(YEAR($K$1),MONTH($K$1)-1,1))
        ),
        $K$1,
        IF(
            $E$4="",
            DATE(YEAR(B42),MONTH(B42)+1,1),
            IF(
                AND(
                    YEAR(B42)=YEAR(DATE(YEAR($E$4),MONTH($E$4)-1,1)),
                    MONTH(B42)=MONTH(DATE(YEAR($E$4),MONTH($E$4)-1,1))
                ),
                $E$4,
                DATE(YEAR(B42),MONTH(B42)+1,1)
            )
        )
    )
)</f>
        <v>40057</v>
      </c>
      <c r="B43" s="152">
        <f>IF(
AND(
YEAR(B42)=YEAR(DATE(YEAR($E$2),MONTH($E$2)-1,1)),
MONTH(B42)=MONTH(DATE(YEAR($E$2),MONTH($E$2)-1,1))
),
$E$2,
IF(
$E$3="",
EOMONTH(B42,1),
IF(
AND(
YEAR(B42)=YEAR(DATE(YEAR($E$3),MONTH($E$3)-1,1)),
MONTH(B42)=MONTH(DATE(YEAR($E$3),MONTH($E$3)-1,1))
),
$E$3,
EOMONTH(B42,1)
)))</f>
        <v>40086</v>
      </c>
      <c r="C43" s="438"/>
      <c r="D43" s="149" t="s">
        <v>105</v>
      </c>
      <c r="E43" s="271">
        <f>'CAP POST'!G42</f>
        <v>0</v>
      </c>
      <c r="F43" s="271">
        <f t="shared" si="2"/>
        <v>0</v>
      </c>
      <c r="G43" s="215">
        <v>0.1865</v>
      </c>
      <c r="H43" s="288">
        <f t="shared" si="0"/>
        <v>0.27975</v>
      </c>
      <c r="I43" s="272">
        <f t="shared" si="1"/>
        <v>6.760222257264914E-4</v>
      </c>
      <c r="J43" s="289">
        <f>IF(OR(A43=SABANA!$C$14, D43="adicional"),0,_xlfn.DAYS(B43,A43)+1)</f>
        <v>30</v>
      </c>
      <c r="K43" s="527">
        <f t="shared" si="3"/>
        <v>0</v>
      </c>
    </row>
    <row r="44" spans="1:11" x14ac:dyDescent="0.35">
      <c r="A44" s="152">
        <f>IF(
    AND(
        YEAR(B43)=YEAR(DATE(YEAR($E$1),MONTH($E$1)-1,1)),
        MONTH(B43)=MONTH(DATE(YEAR($E$1),MONTH($E$1)-1,1))
    ),
    $E$1,
    IF(
        AND(
            YEAR(B43)=YEAR(DATE(YEAR($K$1),MONTH($K$1)-1,1)),
            MONTH(B43)=MONTH(DATE(YEAR($K$1),MONTH($K$1)-1,1))
        ),
        $K$1,
        IF(
            $E$4="",
            DATE(YEAR(B43),MONTH(B43)+1,1),
            IF(
                AND(
                    YEAR(B43)=YEAR(DATE(YEAR($E$4),MONTH($E$4)-1,1)),
                    MONTH(B43)=MONTH(DATE(YEAR($E$4),MONTH($E$4)-1,1))
                ),
                $E$4,
                DATE(YEAR(B43),MONTH(B43)+1,1)
            )
        )
    )
)</f>
        <v>40087</v>
      </c>
      <c r="B44" s="152">
        <f>IF(
AND(
YEAR(B43)=YEAR(DATE(YEAR($E$2),MONTH($E$2)-1,1)),
MONTH(B43)=MONTH(DATE(YEAR($E$2),MONTH($E$2)-1,1))
),
$E$2,
IF(
$E$3="",
EOMONTH(B43,1),
IF(
AND(
YEAR(B43)=YEAR(DATE(YEAR($E$3),MONTH($E$3)-1,1)),
MONTH(B43)=MONTH(DATE(YEAR($E$3),MONTH($E$3)-1,1))
),
$E$3,
EOMONTH(B43,1)
)))</f>
        <v>40117</v>
      </c>
      <c r="C44" s="438"/>
      <c r="D44" s="149" t="s">
        <v>106</v>
      </c>
      <c r="E44" s="271">
        <f>'CAP POST'!G43</f>
        <v>0</v>
      </c>
      <c r="F44" s="271">
        <f t="shared" si="2"/>
        <v>0</v>
      </c>
      <c r="G44" s="215">
        <v>0.17280000000000001</v>
      </c>
      <c r="H44" s="288">
        <f t="shared" si="0"/>
        <v>0.25919999999999999</v>
      </c>
      <c r="I44" s="272">
        <f t="shared" si="1"/>
        <v>6.3164213804500768E-4</v>
      </c>
      <c r="J44" s="289">
        <f>IF(OR(A44=SABANA!$C$14, D44="adicional"),0,_xlfn.DAYS(B44,A44)+1)</f>
        <v>31</v>
      </c>
      <c r="K44" s="527">
        <f t="shared" si="3"/>
        <v>0</v>
      </c>
    </row>
    <row r="45" spans="1:11" x14ac:dyDescent="0.35">
      <c r="A45" s="152">
        <f>IF(
    AND(
        YEAR(B44)=YEAR(DATE(YEAR($E$1),MONTH($E$1)-1,1)),
        MONTH(B44)=MONTH(DATE(YEAR($E$1),MONTH($E$1)-1,1))
    ),
    $E$1,
    IF(
        AND(
            YEAR(B44)=YEAR(DATE(YEAR($K$1),MONTH($K$1)-1,1)),
            MONTH(B44)=MONTH(DATE(YEAR($K$1),MONTH($K$1)-1,1))
        ),
        $K$1,
        IF(
            $E$4="",
            DATE(YEAR(B44),MONTH(B44)+1,1),
            IF(
                AND(
                    YEAR(B44)=YEAR(DATE(YEAR($E$4),MONTH($E$4)-1,1)),
                    MONTH(B44)=MONTH(DATE(YEAR($E$4),MONTH($E$4)-1,1))
                ),
                $E$4,
                DATE(YEAR(B44),MONTH(B44)+1,1)
            )
        )
    )
)</f>
        <v>40118</v>
      </c>
      <c r="B45" s="152">
        <f>IF(
AND(
YEAR(B44)=YEAR(DATE(YEAR($E$2),MONTH($E$2)-1,1)),
MONTH(B44)=MONTH(DATE(YEAR($E$2),MONTH($E$2)-1,1))
),
$E$2,
IF(
$E$3="",
EOMONTH(B44,1),
IF(
AND(
YEAR(B44)=YEAR(DATE(YEAR($E$3),MONTH($E$3)-1,1)),
MONTH(B44)=MONTH(DATE(YEAR($E$3),MONTH($E$3)-1,1))
),
$E$3,
EOMONTH(B44,1)
)))</f>
        <v>40147</v>
      </c>
      <c r="C45" s="438"/>
      <c r="D45" s="149" t="s">
        <v>107</v>
      </c>
      <c r="E45" s="271">
        <f>'CAP POST'!G44</f>
        <v>0</v>
      </c>
      <c r="F45" s="271">
        <f t="shared" si="2"/>
        <v>0</v>
      </c>
      <c r="G45" s="215">
        <v>0.17280000000000001</v>
      </c>
      <c r="H45" s="288">
        <f t="shared" si="0"/>
        <v>0.25919999999999999</v>
      </c>
      <c r="I45" s="272">
        <f t="shared" si="1"/>
        <v>6.3164213804500768E-4</v>
      </c>
      <c r="J45" s="289">
        <f>IF(OR(A45=SABANA!$C$14, D45="adicional"),0,_xlfn.DAYS(B45,A45)+1)</f>
        <v>30</v>
      </c>
      <c r="K45" s="527">
        <f t="shared" si="3"/>
        <v>0</v>
      </c>
    </row>
    <row r="46" spans="1:11" x14ac:dyDescent="0.35">
      <c r="A46" s="156">
        <f t="shared" ref="A46" si="7">A45</f>
        <v>40118</v>
      </c>
      <c r="B46" s="156">
        <f t="shared" ref="B46" si="8">B45</f>
        <v>40147</v>
      </c>
      <c r="C46" s="438"/>
      <c r="D46" s="157" t="s">
        <v>101</v>
      </c>
      <c r="E46" s="274">
        <f>'CAP POST'!G45</f>
        <v>0</v>
      </c>
      <c r="F46" s="271">
        <f t="shared" si="2"/>
        <v>0</v>
      </c>
      <c r="G46" s="275"/>
      <c r="H46" s="292"/>
      <c r="I46" s="276">
        <f t="shared" si="1"/>
        <v>0</v>
      </c>
      <c r="J46" s="289">
        <f>IF(OR(A46=SABANA!$C$14, D46="adicional"),0,_xlfn.DAYS(B46,A46)+1)</f>
        <v>0</v>
      </c>
      <c r="K46" s="527">
        <f t="shared" si="3"/>
        <v>0</v>
      </c>
    </row>
    <row r="47" spans="1:11" x14ac:dyDescent="0.35">
      <c r="A47" s="152">
        <f>IF(
    AND(
        YEAR(B45)=YEAR(DATE(YEAR($E$1),MONTH($E$1)-1,1)),
        MONTH(B45)=MONTH(DATE(YEAR($E$1),MONTH($E$1)-1,1))
    ),
    $E$1,
    IF(
        AND(
            YEAR(B45)=YEAR(DATE(YEAR($K$1),MONTH($K$1)-1,1)),
            MONTH(B45)=MONTH(DATE(YEAR($K$1),MONTH($K$1)-1,1))
        ),
        $K$1,
        IF(
            $E$4="",
            DATE(YEAR(B45),MONTH(B45)+1,1),
            IF(
                AND(
                    YEAR(B45)=YEAR(DATE(YEAR($E$4),MONTH($E$4)-1,1)),
                    MONTH(B45)=MONTH(DATE(YEAR($E$4),MONTH($E$4)-1,1))
                ),
                $E$4,
                DATE(YEAR(B45),MONTH(B45)+1,1)
            )
        )
    )
)</f>
        <v>40148</v>
      </c>
      <c r="B47" s="152">
        <f>IF(
AND(
YEAR(B45)=YEAR(DATE(YEAR($E$2),MONTH($E$2)-1,1)),
MONTH(B45)=MONTH(DATE(YEAR($E$2),MONTH($E$2)-1,1))
),
$E$2,
IF(
$E$3="",
EOMONTH(B45,1),
IF(
AND(
YEAR(B45)=YEAR(DATE(YEAR($E$3),MONTH($E$3)-1,1)),
MONTH(B45)=MONTH(DATE(YEAR($E$3),MONTH($E$3)-1,1))
),
$E$3,
EOMONTH(B45,1)
)))</f>
        <v>40178</v>
      </c>
      <c r="C47" s="439"/>
      <c r="D47" s="149" t="s">
        <v>108</v>
      </c>
      <c r="E47" s="271">
        <f>'CAP POST'!G46</f>
        <v>0</v>
      </c>
      <c r="F47" s="271">
        <f t="shared" si="2"/>
        <v>0</v>
      </c>
      <c r="G47" s="215">
        <v>0.17280000000000001</v>
      </c>
      <c r="H47" s="288">
        <f t="shared" si="0"/>
        <v>0.25919999999999999</v>
      </c>
      <c r="I47" s="272">
        <f t="shared" si="1"/>
        <v>6.3164213804500768E-4</v>
      </c>
      <c r="J47" s="289">
        <f>IF(OR(A47=SABANA!$C$14, D47="adicional"),0,_xlfn.DAYS(B47,A47)+1)</f>
        <v>31</v>
      </c>
      <c r="K47" s="527">
        <f t="shared" ref="K47" si="9">IF(AND(OR(A47&gt;=$E$4,B47&lt;=$E$3), AND(A46&gt;=$E$1,B46&lt;$E$2)),(F45*I47*H47),0)</f>
        <v>0</v>
      </c>
    </row>
    <row r="48" spans="1:11" x14ac:dyDescent="0.35">
      <c r="A48" s="152">
        <f>IF(
    AND(
        YEAR(B47)=YEAR(DATE(YEAR($E$1),MONTH($E$1)-1,1)),
        MONTH(B47)=MONTH(DATE(YEAR($E$1),MONTH($E$1)-1,1))
    ),
    $E$1,
    IF(
        AND(
            YEAR(B47)=YEAR(DATE(YEAR($K$1),MONTH($K$1)-1,1)),
            MONTH(B47)=MONTH(DATE(YEAR($K$1),MONTH($K$1)-1,1))
        ),
        $K$1,
        IF(
            $E$4="",
            DATE(YEAR(B47),MONTH(B47)+1,1),
            IF(
                AND(
                    YEAR(B47)=YEAR(DATE(YEAR($E$4),MONTH($E$4)-1,1)),
                    MONTH(B47)=MONTH(DATE(YEAR($E$4),MONTH($E$4)-1,1))
                ),
                $E$4,
                DATE(YEAR(B47),MONTH(B47)+1,1)
            )
        )
    )
)</f>
        <v>40179</v>
      </c>
      <c r="B48" s="152">
        <f>IF(
AND(
YEAR(B47)=YEAR(DATE(YEAR($E$2),MONTH($E$2)-1,1)),
MONTH(B47)=MONTH(DATE(YEAR($E$2),MONTH($E$2)-1,1))
),
$E$2,
IF(
$E$3="",
EOMONTH(B47,1),
IF(
AND(
YEAR(B47)=YEAR(DATE(YEAR($E$3),MONTH($E$3)-1,1)),
MONTH(B47)=MONTH(DATE(YEAR($E$3),MONTH($E$3)-1,1))
),
$E$3,
EOMONTH(B47,1)
)))</f>
        <v>40209</v>
      </c>
      <c r="C48" s="468">
        <v>2010</v>
      </c>
      <c r="D48" s="149" t="s">
        <v>96</v>
      </c>
      <c r="E48" s="271">
        <f>'CAP POST'!G47</f>
        <v>0</v>
      </c>
      <c r="F48" s="271">
        <f t="shared" si="2"/>
        <v>0</v>
      </c>
      <c r="G48" s="215">
        <v>0.16139999999999999</v>
      </c>
      <c r="H48" s="288">
        <f t="shared" si="0"/>
        <v>0.24209999999999998</v>
      </c>
      <c r="I48" s="272">
        <f t="shared" si="1"/>
        <v>5.9415862198597402E-4</v>
      </c>
      <c r="J48" s="289">
        <f>IF(OR(A48=SABANA!$C$14, D48="adicional"),0,_xlfn.DAYS(B48,A48)+1)</f>
        <v>31</v>
      </c>
      <c r="K48" s="527">
        <f t="shared" si="3"/>
        <v>0</v>
      </c>
    </row>
    <row r="49" spans="1:11" x14ac:dyDescent="0.35">
      <c r="A49" s="152">
        <f>IF(
    AND(
        YEAR(B48)=YEAR(DATE(YEAR($E$1),MONTH($E$1)-1,1)),
        MONTH(B48)=MONTH(DATE(YEAR($E$1),MONTH($E$1)-1,1))
    ),
    $E$1,
    IF(
        AND(
            YEAR(B48)=YEAR(DATE(YEAR($K$1),MONTH($K$1)-1,1)),
            MONTH(B48)=MONTH(DATE(YEAR($K$1),MONTH($K$1)-1,1))
        ),
        $K$1,
        IF(
            $E$4="",
            DATE(YEAR(B48),MONTH(B48)+1,1),
            IF(
                AND(
                    YEAR(B48)=YEAR(DATE(YEAR($E$4),MONTH($E$4)-1,1)),
                    MONTH(B48)=MONTH(DATE(YEAR($E$4),MONTH($E$4)-1,1))
                ),
                $E$4,
                DATE(YEAR(B48),MONTH(B48)+1,1)
            )
        )
    )
)</f>
        <v>40210</v>
      </c>
      <c r="B49" s="152">
        <f>IF(
AND(
YEAR(B48)=YEAR(DATE(YEAR($E$2),MONTH($E$2)-1,1)),
MONTH(B48)=MONTH(DATE(YEAR($E$2),MONTH($E$2)-1,1))
),
$E$2,
IF(
$E$3="",
EOMONTH(B48,1),
IF(
AND(
YEAR(B48)=YEAR(DATE(YEAR($E$3),MONTH($E$3)-1,1)),
MONTH(B48)=MONTH(DATE(YEAR($E$3),MONTH($E$3)-1,1))
),
$E$3,
EOMONTH(B48,1)
)))</f>
        <v>40237</v>
      </c>
      <c r="C49" s="471"/>
      <c r="D49" s="149" t="s">
        <v>97</v>
      </c>
      <c r="E49" s="271">
        <f>'CAP POST'!G48</f>
        <v>0</v>
      </c>
      <c r="F49" s="271">
        <f t="shared" si="2"/>
        <v>0</v>
      </c>
      <c r="G49" s="215">
        <v>0.16139999999999999</v>
      </c>
      <c r="H49" s="288">
        <f t="shared" si="0"/>
        <v>0.24209999999999998</v>
      </c>
      <c r="I49" s="272">
        <f t="shared" si="1"/>
        <v>5.9415862198597402E-4</v>
      </c>
      <c r="J49" s="289">
        <f>IF(OR(A49=SABANA!$C$14, D49="adicional"),0,_xlfn.DAYS(B49,A49)+1)</f>
        <v>28</v>
      </c>
      <c r="K49" s="527">
        <f t="shared" si="3"/>
        <v>0</v>
      </c>
    </row>
    <row r="50" spans="1:11" x14ac:dyDescent="0.35">
      <c r="A50" s="152">
        <f>IF(
    AND(
        YEAR(B49)=YEAR(DATE(YEAR($E$1),MONTH($E$1)-1,1)),
        MONTH(B49)=MONTH(DATE(YEAR($E$1),MONTH($E$1)-1,1))
    ),
    $E$1,
    IF(
        AND(
            YEAR(B49)=YEAR(DATE(YEAR($K$1),MONTH($K$1)-1,1)),
            MONTH(B49)=MONTH(DATE(YEAR($K$1),MONTH($K$1)-1,1))
        ),
        $K$1,
        IF(
            $E$4="",
            DATE(YEAR(B49),MONTH(B49)+1,1),
            IF(
                AND(
                    YEAR(B49)=YEAR(DATE(YEAR($E$4),MONTH($E$4)-1,1)),
                    MONTH(B49)=MONTH(DATE(YEAR($E$4),MONTH($E$4)-1,1))
                ),
                $E$4,
                DATE(YEAR(B49),MONTH(B49)+1,1)
            )
        )
    )
)</f>
        <v>40238</v>
      </c>
      <c r="B50" s="152">
        <f>IF(
AND(
YEAR(B49)=YEAR(DATE(YEAR($E$2),MONTH($E$2)-1,1)),
MONTH(B49)=MONTH(DATE(YEAR($E$2),MONTH($E$2)-1,1))
),
$E$2,
IF(
$E$3="",
EOMONTH(B49,1),
IF(
AND(
YEAR(B49)=YEAR(DATE(YEAR($E$3),MONTH($E$3)-1,1)),
MONTH(B49)=MONTH(DATE(YEAR($E$3),MONTH($E$3)-1,1))
),
$E$3,
EOMONTH(B49,1)
)))</f>
        <v>40268</v>
      </c>
      <c r="C50" s="471"/>
      <c r="D50" s="149" t="s">
        <v>98</v>
      </c>
      <c r="E50" s="271">
        <f>'CAP POST'!G49</f>
        <v>0</v>
      </c>
      <c r="F50" s="271">
        <f t="shared" si="2"/>
        <v>0</v>
      </c>
      <c r="G50" s="215">
        <v>0.16139999999999999</v>
      </c>
      <c r="H50" s="288">
        <f t="shared" si="0"/>
        <v>0.24209999999999998</v>
      </c>
      <c r="I50" s="272">
        <f t="shared" si="1"/>
        <v>5.9415862198597402E-4</v>
      </c>
      <c r="J50" s="289">
        <f>IF(OR(A50=SABANA!$C$14, D50="adicional"),0,_xlfn.DAYS(B50,A50)+1)</f>
        <v>31</v>
      </c>
      <c r="K50" s="527">
        <f t="shared" si="3"/>
        <v>0</v>
      </c>
    </row>
    <row r="51" spans="1:11" x14ac:dyDescent="0.35">
      <c r="A51" s="152">
        <f>IF(
    AND(
        YEAR(B50)=YEAR(DATE(YEAR($E$1),MONTH($E$1)-1,1)),
        MONTH(B50)=MONTH(DATE(YEAR($E$1),MONTH($E$1)-1,1))
    ),
    $E$1,
    IF(
        AND(
            YEAR(B50)=YEAR(DATE(YEAR($K$1),MONTH($K$1)-1,1)),
            MONTH(B50)=MONTH(DATE(YEAR($K$1),MONTH($K$1)-1,1))
        ),
        $K$1,
        IF(
            $E$4="",
            DATE(YEAR(B50),MONTH(B50)+1,1),
            IF(
                AND(
                    YEAR(B50)=YEAR(DATE(YEAR($E$4),MONTH($E$4)-1,1)),
                    MONTH(B50)=MONTH(DATE(YEAR($E$4),MONTH($E$4)-1,1))
                ),
                $E$4,
                DATE(YEAR(B50),MONTH(B50)+1,1)
            )
        )
    )
)</f>
        <v>40269</v>
      </c>
      <c r="B51" s="152">
        <f>IF(
AND(
YEAR(B50)=YEAR(DATE(YEAR($E$2),MONTH($E$2)-1,1)),
MONTH(B50)=MONTH(DATE(YEAR($E$2),MONTH($E$2)-1,1))
),
$E$2,
IF(
$E$3="",
EOMONTH(B50,1),
IF(
AND(
YEAR(B50)=YEAR(DATE(YEAR($E$3),MONTH($E$3)-1,1)),
MONTH(B50)=MONTH(DATE(YEAR($E$3),MONTH($E$3)-1,1))
),
$E$3,
EOMONTH(B50,1)
)))</f>
        <v>40298</v>
      </c>
      <c r="C51" s="471"/>
      <c r="D51" s="149" t="s">
        <v>99</v>
      </c>
      <c r="E51" s="271">
        <f>'CAP POST'!G50</f>
        <v>0</v>
      </c>
      <c r="F51" s="271">
        <f t="shared" si="2"/>
        <v>0</v>
      </c>
      <c r="G51" s="215">
        <v>0.15310000000000001</v>
      </c>
      <c r="H51" s="288">
        <f t="shared" si="0"/>
        <v>0.22965000000000002</v>
      </c>
      <c r="I51" s="272">
        <f t="shared" si="1"/>
        <v>5.6654282492329955E-4</v>
      </c>
      <c r="J51" s="289">
        <f>IF(OR(A51=SABANA!$C$14, D51="adicional"),0,_xlfn.DAYS(B51,A51)+1)</f>
        <v>30</v>
      </c>
      <c r="K51" s="527">
        <f t="shared" si="3"/>
        <v>0</v>
      </c>
    </row>
    <row r="52" spans="1:11" x14ac:dyDescent="0.35">
      <c r="A52" s="152">
        <f>IF(
    AND(
        YEAR(B51)=YEAR(DATE(YEAR($E$1),MONTH($E$1)-1,1)),
        MONTH(B51)=MONTH(DATE(YEAR($E$1),MONTH($E$1)-1,1))
    ),
    $E$1,
    IF(
        AND(
            YEAR(B51)=YEAR(DATE(YEAR($K$1),MONTH($K$1)-1,1)),
            MONTH(B51)=MONTH(DATE(YEAR($K$1),MONTH($K$1)-1,1))
        ),
        $K$1,
        IF(
            $E$4="",
            DATE(YEAR(B51),MONTH(B51)+1,1),
            IF(
                AND(
                    YEAR(B51)=YEAR(DATE(YEAR($E$4),MONTH($E$4)-1,1)),
                    MONTH(B51)=MONTH(DATE(YEAR($E$4),MONTH($E$4)-1,1))
                ),
                $E$4,
                DATE(YEAR(B51),MONTH(B51)+1,1)
            )
        )
    )
)</f>
        <v>40299</v>
      </c>
      <c r="B52" s="152">
        <f>IF(
AND(
YEAR(B51)=YEAR(DATE(YEAR($E$2),MONTH($E$2)-1,1)),
MONTH(B51)=MONTH(DATE(YEAR($E$2),MONTH($E$2)-1,1))
),
$E$2,
IF(
$E$3="",
EOMONTH(B51,1),
IF(
AND(
YEAR(B51)=YEAR(DATE(YEAR($E$3),MONTH($E$3)-1,1)),
MONTH(B51)=MONTH(DATE(YEAR($E$3),MONTH($E$3)-1,1))
),
$E$3,
EOMONTH(B51,1)
)))</f>
        <v>40329</v>
      </c>
      <c r="C52" s="471"/>
      <c r="D52" s="149" t="s">
        <v>100</v>
      </c>
      <c r="E52" s="271">
        <f>'CAP POST'!G51</f>
        <v>0</v>
      </c>
      <c r="F52" s="271">
        <f t="shared" si="2"/>
        <v>0</v>
      </c>
      <c r="G52" s="215">
        <v>0.15310000000000001</v>
      </c>
      <c r="H52" s="288">
        <f t="shared" si="0"/>
        <v>0.22965000000000002</v>
      </c>
      <c r="I52" s="272">
        <f t="shared" si="1"/>
        <v>5.6654282492329955E-4</v>
      </c>
      <c r="J52" s="289">
        <f>IF(OR(A52=SABANA!$C$14, D52="adicional"),0,_xlfn.DAYS(B52,A52)+1)</f>
        <v>31</v>
      </c>
      <c r="K52" s="527">
        <f t="shared" si="3"/>
        <v>0</v>
      </c>
    </row>
    <row r="53" spans="1:11" x14ac:dyDescent="0.35">
      <c r="A53" s="156">
        <f t="shared" ref="A53" si="10">A54</f>
        <v>40330</v>
      </c>
      <c r="B53" s="156">
        <f t="shared" ref="B53" si="11">B54</f>
        <v>40359</v>
      </c>
      <c r="C53" s="471"/>
      <c r="D53" s="157" t="s">
        <v>101</v>
      </c>
      <c r="E53" s="274">
        <f>'CAP POST'!G52</f>
        <v>0</v>
      </c>
      <c r="F53" s="271">
        <f t="shared" si="2"/>
        <v>0</v>
      </c>
      <c r="G53" s="290"/>
      <c r="H53" s="291"/>
      <c r="I53" s="276">
        <f t="shared" si="1"/>
        <v>0</v>
      </c>
      <c r="J53" s="289">
        <f>IF(OR(A53=SABANA!$C$14, D53="adicional"),0,_xlfn.DAYS(B53,A53)+1)</f>
        <v>0</v>
      </c>
      <c r="K53" s="527">
        <f t="shared" si="3"/>
        <v>0</v>
      </c>
    </row>
    <row r="54" spans="1:11" x14ac:dyDescent="0.35">
      <c r="A54" s="152">
        <f>IF(
    AND(
        YEAR(B52)=YEAR(DATE(YEAR($E$1),MONTH($E$1)-1,1)),
        MONTH(B52)=MONTH(DATE(YEAR($E$1),MONTH($E$1)-1,1))
    ),
    $E$1,
    IF(
        AND(
            YEAR(B52)=YEAR(DATE(YEAR($K$1),MONTH($K$1)-1,1)),
            MONTH(B52)=MONTH(DATE(YEAR($K$1),MONTH($K$1)-1,1))
        ),
        $K$1,
        IF(
            $E$4="",
            DATE(YEAR(B52),MONTH(B52)+1,1),
            IF(
                AND(
                    YEAR(B52)=YEAR(DATE(YEAR($E$4),MONTH($E$4)-1,1)),
                    MONTH(B52)=MONTH(DATE(YEAR($E$4),MONTH($E$4)-1,1))
                ),
                $E$4,
                DATE(YEAR(B52),MONTH(B52)+1,1)
            )
        )
    )
)</f>
        <v>40330</v>
      </c>
      <c r="B54" s="152">
        <f>IF(
AND(
YEAR(B52)=YEAR(DATE(YEAR($E$2),MONTH($E$2)-1,1)),
MONTH(B52)=MONTH(DATE(YEAR($E$2),MONTH($E$2)-1,1))
),
$E$2,
IF(
$E$3="",
EOMONTH(B52,1),
IF(
AND(
YEAR(B52)=YEAR(DATE(YEAR($E$3),MONTH($E$3)-1,1)),
MONTH(B52)=MONTH(DATE(YEAR($E$3),MONTH($E$3)-1,1))
),
$E$3,
EOMONTH(B52,1)
)))</f>
        <v>40359</v>
      </c>
      <c r="C54" s="471"/>
      <c r="D54" s="149" t="s">
        <v>102</v>
      </c>
      <c r="E54" s="271">
        <f>'CAP POST'!G53</f>
        <v>0</v>
      </c>
      <c r="F54" s="271">
        <f t="shared" si="2"/>
        <v>0</v>
      </c>
      <c r="G54" s="215">
        <v>0.15310000000000001</v>
      </c>
      <c r="H54" s="288">
        <f>G54*1.5</f>
        <v>0.22965000000000002</v>
      </c>
      <c r="I54" s="272">
        <f t="shared" si="1"/>
        <v>5.6654282492329955E-4</v>
      </c>
      <c r="J54" s="289">
        <f>IF(OR(A54=SABANA!$C$14, D54="adicional"),0,_xlfn.DAYS(B54,A54)+1)</f>
        <v>30</v>
      </c>
      <c r="K54" s="527">
        <f t="shared" ref="K54" si="12">IF(AND(OR(A54&gt;=$E$4,B54&lt;=$E$3), AND(A53&gt;=$E$1,B53&lt;$E$2)),(F52*I54*H54),0)</f>
        <v>0</v>
      </c>
    </row>
    <row r="55" spans="1:11" x14ac:dyDescent="0.35">
      <c r="A55" s="152">
        <f>IF(
    AND(
        YEAR(B54)=YEAR(DATE(YEAR($E$1),MONTH($E$1)-1,1)),
        MONTH(B54)=MONTH(DATE(YEAR($E$1),MONTH($E$1)-1,1))
    ),
    $E$1,
    IF(
        AND(
            YEAR(B54)=YEAR(DATE(YEAR($K$1),MONTH($K$1)-1,1)),
            MONTH(B54)=MONTH(DATE(YEAR($K$1),MONTH($K$1)-1,1))
        ),
        $K$1,
        IF(
            $E$4="",
            DATE(YEAR(B54),MONTH(B54)+1,1),
            IF(
                AND(
                    YEAR(B54)=YEAR(DATE(YEAR($E$4),MONTH($E$4)-1,1)),
                    MONTH(B54)=MONTH(DATE(YEAR($E$4),MONTH($E$4)-1,1))
                ),
                $E$4,
                DATE(YEAR(B54),MONTH(B54)+1,1)
            )
        )
    )
)</f>
        <v>40360</v>
      </c>
      <c r="B55" s="152">
        <f>IF(
AND(
YEAR(B54)=YEAR(DATE(YEAR($E$2),MONTH($E$2)-1,1)),
MONTH(B54)=MONTH(DATE(YEAR($E$2),MONTH($E$2)-1,1))
),
$E$2,
IF(
$E$3="",
EOMONTH(B54,1),
IF(
AND(
YEAR(B54)=YEAR(DATE(YEAR($E$3),MONTH($E$3)-1,1)),
MONTH(B54)=MONTH(DATE(YEAR($E$3),MONTH($E$3)-1,1))
),
$E$3,
EOMONTH(B54,1)
)))</f>
        <v>40390</v>
      </c>
      <c r="C55" s="471"/>
      <c r="D55" s="149" t="s">
        <v>103</v>
      </c>
      <c r="E55" s="271">
        <f>'CAP POST'!G54</f>
        <v>0</v>
      </c>
      <c r="F55" s="271">
        <f t="shared" si="2"/>
        <v>0</v>
      </c>
      <c r="G55" s="215">
        <v>0.14940000000000001</v>
      </c>
      <c r="H55" s="288">
        <f t="shared" si="0"/>
        <v>0.22410000000000002</v>
      </c>
      <c r="I55" s="272">
        <f t="shared" si="1"/>
        <v>5.5414219268845599E-4</v>
      </c>
      <c r="J55" s="289">
        <f>IF(OR(A55=SABANA!$C$14, D55="adicional"),0,_xlfn.DAYS(B55,A55)+1)</f>
        <v>31</v>
      </c>
      <c r="K55" s="527">
        <f t="shared" si="3"/>
        <v>0</v>
      </c>
    </row>
    <row r="56" spans="1:11" x14ac:dyDescent="0.35">
      <c r="A56" s="152">
        <f>IF(
    AND(
        YEAR(B55)=YEAR(DATE(YEAR($E$1),MONTH($E$1)-1,1)),
        MONTH(B55)=MONTH(DATE(YEAR($E$1),MONTH($E$1)-1,1))
    ),
    $E$1,
    IF(
        AND(
            YEAR(B55)=YEAR(DATE(YEAR($K$1),MONTH($K$1)-1,1)),
            MONTH(B55)=MONTH(DATE(YEAR($K$1),MONTH($K$1)-1,1))
        ),
        $K$1,
        IF(
            $E$4="",
            DATE(YEAR(B55),MONTH(B55)+1,1),
            IF(
                AND(
                    YEAR(B55)=YEAR(DATE(YEAR($E$4),MONTH($E$4)-1,1)),
                    MONTH(B55)=MONTH(DATE(YEAR($E$4),MONTH($E$4)-1,1))
                ),
                $E$4,
                DATE(YEAR(B55),MONTH(B55)+1,1)
            )
        )
    )
)</f>
        <v>40391</v>
      </c>
      <c r="B56" s="152">
        <f>IF(
AND(
YEAR(B55)=YEAR(DATE(YEAR($E$2),MONTH($E$2)-1,1)),
MONTH(B55)=MONTH(DATE(YEAR($E$2),MONTH($E$2)-1,1))
),
$E$2,
IF(
$E$3="",
EOMONTH(B55,1),
IF(
AND(
YEAR(B55)=YEAR(DATE(YEAR($E$3),MONTH($E$3)-1,1)),
MONTH(B55)=MONTH(DATE(YEAR($E$3),MONTH($E$3)-1,1))
),
$E$3,
EOMONTH(B55,1)
)))</f>
        <v>40421</v>
      </c>
      <c r="C56" s="471"/>
      <c r="D56" s="149" t="s">
        <v>104</v>
      </c>
      <c r="E56" s="271">
        <f>'CAP POST'!G55</f>
        <v>0</v>
      </c>
      <c r="F56" s="271">
        <f t="shared" si="2"/>
        <v>0</v>
      </c>
      <c r="G56" s="215">
        <v>0.14940000000000001</v>
      </c>
      <c r="H56" s="288">
        <f t="shared" si="0"/>
        <v>0.22410000000000002</v>
      </c>
      <c r="I56" s="272">
        <f t="shared" si="1"/>
        <v>5.5414219268845599E-4</v>
      </c>
      <c r="J56" s="289">
        <f>IF(OR(A56=SABANA!$C$14, D56="adicional"),0,_xlfn.DAYS(B56,A56)+1)</f>
        <v>31</v>
      </c>
      <c r="K56" s="527">
        <f t="shared" si="3"/>
        <v>0</v>
      </c>
    </row>
    <row r="57" spans="1:11" x14ac:dyDescent="0.35">
      <c r="A57" s="152">
        <f>IF(
    AND(
        YEAR(B56)=YEAR(DATE(YEAR($E$1),MONTH($E$1)-1,1)),
        MONTH(B56)=MONTH(DATE(YEAR($E$1),MONTH($E$1)-1,1))
    ),
    $E$1,
    IF(
        AND(
            YEAR(B56)=YEAR(DATE(YEAR($K$1),MONTH($K$1)-1,1)),
            MONTH(B56)=MONTH(DATE(YEAR($K$1),MONTH($K$1)-1,1))
        ),
        $K$1,
        IF(
            $E$4="",
            DATE(YEAR(B56),MONTH(B56)+1,1),
            IF(
                AND(
                    YEAR(B56)=YEAR(DATE(YEAR($E$4),MONTH($E$4)-1,1)),
                    MONTH(B56)=MONTH(DATE(YEAR($E$4),MONTH($E$4)-1,1))
                ),
                $E$4,
                DATE(YEAR(B56),MONTH(B56)+1,1)
            )
        )
    )
)</f>
        <v>40422</v>
      </c>
      <c r="B57" s="152">
        <f>IF(
AND(
YEAR(B56)=YEAR(DATE(YEAR($E$2),MONTH($E$2)-1,1)),
MONTH(B56)=MONTH(DATE(YEAR($E$2),MONTH($E$2)-1,1))
),
$E$2,
IF(
$E$3="",
EOMONTH(B56,1),
IF(
AND(
YEAR(B56)=YEAR(DATE(YEAR($E$3),MONTH($E$3)-1,1)),
MONTH(B56)=MONTH(DATE(YEAR($E$3),MONTH($E$3)-1,1))
),
$E$3,
EOMONTH(B56,1)
)))</f>
        <v>40451</v>
      </c>
      <c r="C57" s="471"/>
      <c r="D57" s="149" t="s">
        <v>105</v>
      </c>
      <c r="E57" s="271">
        <f>'CAP POST'!G56</f>
        <v>0</v>
      </c>
      <c r="F57" s="271">
        <f t="shared" si="2"/>
        <v>0</v>
      </c>
      <c r="G57" s="215">
        <v>0.14940000000000001</v>
      </c>
      <c r="H57" s="288">
        <f t="shared" si="0"/>
        <v>0.22410000000000002</v>
      </c>
      <c r="I57" s="272">
        <f t="shared" si="1"/>
        <v>5.5414219268845599E-4</v>
      </c>
      <c r="J57" s="289">
        <f>IF(OR(A57=SABANA!$C$14, D57="adicional"),0,_xlfn.DAYS(B57,A57)+1)</f>
        <v>30</v>
      </c>
      <c r="K57" s="527">
        <f t="shared" si="3"/>
        <v>0</v>
      </c>
    </row>
    <row r="58" spans="1:11" x14ac:dyDescent="0.35">
      <c r="A58" s="152">
        <f>IF(
    AND(
        YEAR(B57)=YEAR(DATE(YEAR($E$1),MONTH($E$1)-1,1)),
        MONTH(B57)=MONTH(DATE(YEAR($E$1),MONTH($E$1)-1,1))
    ),
    $E$1,
    IF(
        AND(
            YEAR(B57)=YEAR(DATE(YEAR($K$1),MONTH($K$1)-1,1)),
            MONTH(B57)=MONTH(DATE(YEAR($K$1),MONTH($K$1)-1,1))
        ),
        $K$1,
        IF(
            $E$4="",
            DATE(YEAR(B57),MONTH(B57)+1,1),
            IF(
                AND(
                    YEAR(B57)=YEAR(DATE(YEAR($E$4),MONTH($E$4)-1,1)),
                    MONTH(B57)=MONTH(DATE(YEAR($E$4),MONTH($E$4)-1,1))
                ),
                $E$4,
                DATE(YEAR(B57),MONTH(B57)+1,1)
            )
        )
    )
)</f>
        <v>40452</v>
      </c>
      <c r="B58" s="152">
        <f>IF(
AND(
YEAR(B57)=YEAR(DATE(YEAR($E$2),MONTH($E$2)-1,1)),
MONTH(B57)=MONTH(DATE(YEAR($E$2),MONTH($E$2)-1,1))
),
$E$2,
IF(
$E$3="",
EOMONTH(B57,1),
IF(
AND(
YEAR(B57)=YEAR(DATE(YEAR($E$3),MONTH($E$3)-1,1)),
MONTH(B57)=MONTH(DATE(YEAR($E$3),MONTH($E$3)-1,1))
),
$E$3,
EOMONTH(B57,1)
)))</f>
        <v>40482</v>
      </c>
      <c r="C58" s="471"/>
      <c r="D58" s="149" t="s">
        <v>106</v>
      </c>
      <c r="E58" s="271">
        <f>'CAP POST'!G57</f>
        <v>0</v>
      </c>
      <c r="F58" s="271">
        <f t="shared" si="2"/>
        <v>0</v>
      </c>
      <c r="G58" s="215">
        <v>0.1421</v>
      </c>
      <c r="H58" s="288">
        <f t="shared" si="0"/>
        <v>0.21315000000000001</v>
      </c>
      <c r="I58" s="272">
        <f t="shared" si="1"/>
        <v>5.2951077879614949E-4</v>
      </c>
      <c r="J58" s="289">
        <f>IF(OR(A58=SABANA!$C$14, D58="adicional"),0,_xlfn.DAYS(B58,A58)+1)</f>
        <v>31</v>
      </c>
      <c r="K58" s="527">
        <f t="shared" si="3"/>
        <v>0</v>
      </c>
    </row>
    <row r="59" spans="1:11" x14ac:dyDescent="0.35">
      <c r="A59" s="152">
        <f>IF(
    AND(
        YEAR(B58)=YEAR(DATE(YEAR($E$1),MONTH($E$1)-1,1)),
        MONTH(B58)=MONTH(DATE(YEAR($E$1),MONTH($E$1)-1,1))
    ),
    $E$1,
    IF(
        AND(
            YEAR(B58)=YEAR(DATE(YEAR($K$1),MONTH($K$1)-1,1)),
            MONTH(B58)=MONTH(DATE(YEAR($K$1),MONTH($K$1)-1,1))
        ),
        $K$1,
        IF(
            $E$4="",
            DATE(YEAR(B58),MONTH(B58)+1,1),
            IF(
                AND(
                    YEAR(B58)=YEAR(DATE(YEAR($E$4),MONTH($E$4)-1,1)),
                    MONTH(B58)=MONTH(DATE(YEAR($E$4),MONTH($E$4)-1,1))
                ),
                $E$4,
                DATE(YEAR(B58),MONTH(B58)+1,1)
            )
        )
    )
)</f>
        <v>40483</v>
      </c>
      <c r="B59" s="152">
        <f>IF(
AND(
YEAR(B58)=YEAR(DATE(YEAR($E$2),MONTH($E$2)-1,1)),
MONTH(B58)=MONTH(DATE(YEAR($E$2),MONTH($E$2)-1,1))
),
$E$2,
IF(
$E$3="",
EOMONTH(B58,1),
IF(
AND(
YEAR(B58)=YEAR(DATE(YEAR($E$3),MONTH($E$3)-1,1)),
MONTH(B58)=MONTH(DATE(YEAR($E$3),MONTH($E$3)-1,1))
),
$E$3,
EOMONTH(B58,1)
)))</f>
        <v>40512</v>
      </c>
      <c r="C59" s="471"/>
      <c r="D59" s="149" t="s">
        <v>107</v>
      </c>
      <c r="E59" s="271">
        <f>'CAP POST'!G58</f>
        <v>0</v>
      </c>
      <c r="F59" s="271">
        <f t="shared" si="2"/>
        <v>0</v>
      </c>
      <c r="G59" s="215">
        <v>0.1421</v>
      </c>
      <c r="H59" s="288">
        <f t="shared" si="0"/>
        <v>0.21315000000000001</v>
      </c>
      <c r="I59" s="272">
        <f t="shared" si="1"/>
        <v>5.2951077879614949E-4</v>
      </c>
      <c r="J59" s="289">
        <f>IF(OR(A59=SABANA!$C$14, D59="adicional"),0,_xlfn.DAYS(B59,A59)+1)</f>
        <v>30</v>
      </c>
      <c r="K59" s="527">
        <f t="shared" si="3"/>
        <v>0</v>
      </c>
    </row>
    <row r="60" spans="1:11" x14ac:dyDescent="0.35">
      <c r="A60" s="156">
        <f t="shared" ref="A60" si="13">A59</f>
        <v>40483</v>
      </c>
      <c r="B60" s="156">
        <f t="shared" ref="B60" si="14">B59</f>
        <v>40512</v>
      </c>
      <c r="C60" s="471"/>
      <c r="D60" s="157" t="s">
        <v>101</v>
      </c>
      <c r="E60" s="274">
        <f>'CAP POST'!G59</f>
        <v>0</v>
      </c>
      <c r="F60" s="271">
        <f t="shared" si="2"/>
        <v>0</v>
      </c>
      <c r="G60" s="275"/>
      <c r="H60" s="292"/>
      <c r="I60" s="276">
        <f t="shared" si="1"/>
        <v>0</v>
      </c>
      <c r="J60" s="289">
        <f>IF(OR(A60=SABANA!$C$14, D60="adicional"),0,_xlfn.DAYS(B60,A60)+1)</f>
        <v>0</v>
      </c>
      <c r="K60" s="527">
        <f t="shared" si="3"/>
        <v>0</v>
      </c>
    </row>
    <row r="61" spans="1:11" x14ac:dyDescent="0.35">
      <c r="A61" s="152">
        <f>IF(
    AND(
        YEAR(B59)=YEAR(DATE(YEAR($E$1),MONTH($E$1)-1,1)),
        MONTH(B59)=MONTH(DATE(YEAR($E$1),MONTH($E$1)-1,1))
    ),
    $E$1,
    IF(
        AND(
            YEAR(B59)=YEAR(DATE(YEAR($K$1),MONTH($K$1)-1,1)),
            MONTH(B59)=MONTH(DATE(YEAR($K$1),MONTH($K$1)-1,1))
        ),
        $K$1,
        IF(
            $E$4="",
            DATE(YEAR(B59),MONTH(B59)+1,1),
            IF(
                AND(
                    YEAR(B59)=YEAR(DATE(YEAR($E$4),MONTH($E$4)-1,1)),
                    MONTH(B59)=MONTH(DATE(YEAR($E$4),MONTH($E$4)-1,1))
                ),
                $E$4,
                DATE(YEAR(B59),MONTH(B59)+1,1)
            )
        )
    )
)</f>
        <v>40513</v>
      </c>
      <c r="B61" s="152">
        <f>IF(
AND(
YEAR(B59)=YEAR(DATE(YEAR($E$2),MONTH($E$2)-1,1)),
MONTH(B59)=MONTH(DATE(YEAR($E$2),MONTH($E$2)-1,1))
),
$E$2,
IF(
$E$3="",
EOMONTH(B59,1),
IF(
AND(
YEAR(B59)=YEAR(DATE(YEAR($E$3),MONTH($E$3)-1,1)),
MONTH(B59)=MONTH(DATE(YEAR($E$3),MONTH($E$3)-1,1))
),
$E$3,
EOMONTH(B59,1)
)))</f>
        <v>40543</v>
      </c>
      <c r="C61" s="472"/>
      <c r="D61" s="149" t="s">
        <v>108</v>
      </c>
      <c r="E61" s="271">
        <f>'CAP POST'!G60</f>
        <v>0</v>
      </c>
      <c r="F61" s="271">
        <f t="shared" si="2"/>
        <v>0</v>
      </c>
      <c r="G61" s="215">
        <v>0.1421</v>
      </c>
      <c r="H61" s="288">
        <f t="shared" si="0"/>
        <v>0.21315000000000001</v>
      </c>
      <c r="I61" s="272">
        <f t="shared" si="1"/>
        <v>5.2951077879614949E-4</v>
      </c>
      <c r="J61" s="289">
        <f>IF(OR(A61=SABANA!$C$14, D61="adicional"),0,_xlfn.DAYS(B61,A61)+1)</f>
        <v>31</v>
      </c>
      <c r="K61" s="527">
        <f t="shared" ref="K61" si="15">IF(AND(OR(A61&gt;=$E$4,B61&lt;=$E$3), AND(A60&gt;=$E$1,B60&lt;$E$2)),(F59*I61*H61),0)</f>
        <v>0</v>
      </c>
    </row>
    <row r="62" spans="1:11" x14ac:dyDescent="0.35">
      <c r="A62" s="152">
        <f>IF(
    AND(
        YEAR(B61)=YEAR(DATE(YEAR($E$1),MONTH($E$1)-1,1)),
        MONTH(B61)=MONTH(DATE(YEAR($E$1),MONTH($E$1)-1,1))
    ),
    $E$1,
    IF(
        AND(
            YEAR(B61)=YEAR(DATE(YEAR($K$1),MONTH($K$1)-1,1)),
            MONTH(B61)=MONTH(DATE(YEAR($K$1),MONTH($K$1)-1,1))
        ),
        $K$1,
        IF(
            $E$4="",
            DATE(YEAR(B61),MONTH(B61)+1,1),
            IF(
                AND(
                    YEAR(B61)=YEAR(DATE(YEAR($E$4),MONTH($E$4)-1,1)),
                    MONTH(B61)=MONTH(DATE(YEAR($E$4),MONTH($E$4)-1,1))
                ),
                $E$4,
                DATE(YEAR(B61),MONTH(B61)+1,1)
            )
        )
    )
)</f>
        <v>40544</v>
      </c>
      <c r="B62" s="152">
        <f>IF(
AND(
YEAR(B61)=YEAR(DATE(YEAR($E$2),MONTH($E$2)-1,1)),
MONTH(B61)=MONTH(DATE(YEAR($E$2),MONTH($E$2)-1,1))
),
$E$2,
IF(
$E$3="",
EOMONTH(B61,1),
IF(
AND(
YEAR(B61)=YEAR(DATE(YEAR($E$3),MONTH($E$3)-1,1)),
MONTH(B61)=MONTH(DATE(YEAR($E$3),MONTH($E$3)-1,1))
),
$E$3,
EOMONTH(B61,1)
)))</f>
        <v>40574</v>
      </c>
      <c r="C62" s="468">
        <v>2011</v>
      </c>
      <c r="D62" s="149" t="s">
        <v>96</v>
      </c>
      <c r="E62" s="271">
        <f>'CAP POST'!G61</f>
        <v>0</v>
      </c>
      <c r="F62" s="271">
        <f t="shared" si="2"/>
        <v>0</v>
      </c>
      <c r="G62" s="215">
        <v>0.15609999999999999</v>
      </c>
      <c r="H62" s="288">
        <f t="shared" si="0"/>
        <v>0.23414999999999997</v>
      </c>
      <c r="I62" s="272">
        <f t="shared" si="1"/>
        <v>5.7655648458965203E-4</v>
      </c>
      <c r="J62" s="289">
        <f>IF(OR(A62=SABANA!$C$14, D62="adicional"),0,_xlfn.DAYS(B62,A62)+1)</f>
        <v>31</v>
      </c>
      <c r="K62" s="527">
        <f t="shared" si="3"/>
        <v>0</v>
      </c>
    </row>
    <row r="63" spans="1:11" x14ac:dyDescent="0.35">
      <c r="A63" s="152">
        <f>IF(
    AND(
        YEAR(B62)=YEAR(DATE(YEAR($E$1),MONTH($E$1)-1,1)),
        MONTH(B62)=MONTH(DATE(YEAR($E$1),MONTH($E$1)-1,1))
    ),
    $E$1,
    IF(
        AND(
            YEAR(B62)=YEAR(DATE(YEAR($K$1),MONTH($K$1)-1,1)),
            MONTH(B62)=MONTH(DATE(YEAR($K$1),MONTH($K$1)-1,1))
        ),
        $K$1,
        IF(
            $E$4="",
            DATE(YEAR(B62),MONTH(B62)+1,1),
            IF(
                AND(
                    YEAR(B62)=YEAR(DATE(YEAR($E$4),MONTH($E$4)-1,1)),
                    MONTH(B62)=MONTH(DATE(YEAR($E$4),MONTH($E$4)-1,1))
                ),
                $E$4,
                DATE(YEAR(B62),MONTH(B62)+1,1)
            )
        )
    )
)</f>
        <v>40575</v>
      </c>
      <c r="B63" s="152">
        <f>IF(
AND(
YEAR(B62)=YEAR(DATE(YEAR($E$2),MONTH($E$2)-1,1)),
MONTH(B62)=MONTH(DATE(YEAR($E$2),MONTH($E$2)-1,1))
),
$E$2,
IF(
$E$3="",
EOMONTH(B62,1),
IF(
AND(
YEAR(B62)=YEAR(DATE(YEAR($E$3),MONTH($E$3)-1,1)),
MONTH(B62)=MONTH(DATE(YEAR($E$3),MONTH($E$3)-1,1))
),
$E$3,
EOMONTH(B62,1)
)))</f>
        <v>40602</v>
      </c>
      <c r="C63" s="471"/>
      <c r="D63" s="149" t="s">
        <v>97</v>
      </c>
      <c r="E63" s="271">
        <f>'CAP POST'!G62</f>
        <v>0</v>
      </c>
      <c r="F63" s="271">
        <f t="shared" si="2"/>
        <v>0</v>
      </c>
      <c r="G63" s="215">
        <v>0.15609999999999999</v>
      </c>
      <c r="H63" s="288">
        <f t="shared" si="0"/>
        <v>0.23414999999999997</v>
      </c>
      <c r="I63" s="272">
        <f t="shared" si="1"/>
        <v>5.7655648458965203E-4</v>
      </c>
      <c r="J63" s="289">
        <f>IF(OR(A63=SABANA!$C$14, D63="adicional"),0,_xlfn.DAYS(B63,A63)+1)</f>
        <v>28</v>
      </c>
      <c r="K63" s="527">
        <f t="shared" si="3"/>
        <v>0</v>
      </c>
    </row>
    <row r="64" spans="1:11" x14ac:dyDescent="0.35">
      <c r="A64" s="152">
        <f>IF(
    AND(
        YEAR(B63)=YEAR(DATE(YEAR($E$1),MONTH($E$1)-1,1)),
        MONTH(B63)=MONTH(DATE(YEAR($E$1),MONTH($E$1)-1,1))
    ),
    $E$1,
    IF(
        AND(
            YEAR(B63)=YEAR(DATE(YEAR($K$1),MONTH($K$1)-1,1)),
            MONTH(B63)=MONTH(DATE(YEAR($K$1),MONTH($K$1)-1,1))
        ),
        $K$1,
        IF(
            $E$4="",
            DATE(YEAR(B63),MONTH(B63)+1,1),
            IF(
                AND(
                    YEAR(B63)=YEAR(DATE(YEAR($E$4),MONTH($E$4)-1,1)),
                    MONTH(B63)=MONTH(DATE(YEAR($E$4),MONTH($E$4)-1,1))
                ),
                $E$4,
                DATE(YEAR(B63),MONTH(B63)+1,1)
            )
        )
    )
)</f>
        <v>40603</v>
      </c>
      <c r="B64" s="152">
        <f>IF(
AND(
YEAR(B63)=YEAR(DATE(YEAR($E$2),MONTH($E$2)-1,1)),
MONTH(B63)=MONTH(DATE(YEAR($E$2),MONTH($E$2)-1,1))
),
$E$2,
IF(
$E$3="",
EOMONTH(B63,1),
IF(
AND(
YEAR(B63)=YEAR(DATE(YEAR($E$3),MONTH($E$3)-1,1)),
MONTH(B63)=MONTH(DATE(YEAR($E$3),MONTH($E$3)-1,1))
),
$E$3,
EOMONTH(B63,1)
)))</f>
        <v>40633</v>
      </c>
      <c r="C64" s="471"/>
      <c r="D64" s="149" t="s">
        <v>98</v>
      </c>
      <c r="E64" s="271">
        <f>'CAP POST'!G63</f>
        <v>0</v>
      </c>
      <c r="F64" s="271">
        <f t="shared" si="2"/>
        <v>0</v>
      </c>
      <c r="G64" s="215">
        <v>0.15609999999999999</v>
      </c>
      <c r="H64" s="288">
        <f t="shared" si="0"/>
        <v>0.23414999999999997</v>
      </c>
      <c r="I64" s="272">
        <f t="shared" si="1"/>
        <v>5.7655648458965203E-4</v>
      </c>
      <c r="J64" s="289">
        <f>IF(OR(A64=SABANA!$C$14, D64="adicional"),0,_xlfn.DAYS(B64,A64)+1)</f>
        <v>31</v>
      </c>
      <c r="K64" s="527">
        <f t="shared" si="3"/>
        <v>0</v>
      </c>
    </row>
    <row r="65" spans="1:11" x14ac:dyDescent="0.35">
      <c r="A65" s="152">
        <f>IF(
    AND(
        YEAR(B64)=YEAR(DATE(YEAR($E$1),MONTH($E$1)-1,1)),
        MONTH(B64)=MONTH(DATE(YEAR($E$1),MONTH($E$1)-1,1))
    ),
    $E$1,
    IF(
        AND(
            YEAR(B64)=YEAR(DATE(YEAR($K$1),MONTH($K$1)-1,1)),
            MONTH(B64)=MONTH(DATE(YEAR($K$1),MONTH($K$1)-1,1))
        ),
        $K$1,
        IF(
            $E$4="",
            DATE(YEAR(B64),MONTH(B64)+1,1),
            IF(
                AND(
                    YEAR(B64)=YEAR(DATE(YEAR($E$4),MONTH($E$4)-1,1)),
                    MONTH(B64)=MONTH(DATE(YEAR($E$4),MONTH($E$4)-1,1))
                ),
                $E$4,
                DATE(YEAR(B64),MONTH(B64)+1,1)
            )
        )
    )
)</f>
        <v>40634</v>
      </c>
      <c r="B65" s="152">
        <f>IF(
AND(
YEAR(B64)=YEAR(DATE(YEAR($E$2),MONTH($E$2)-1,1)),
MONTH(B64)=MONTH(DATE(YEAR($E$2),MONTH($E$2)-1,1))
),
$E$2,
IF(
$E$3="",
EOMONTH(B64,1),
IF(
AND(
YEAR(B64)=YEAR(DATE(YEAR($E$3),MONTH($E$3)-1,1)),
MONTH(B64)=MONTH(DATE(YEAR($E$3),MONTH($E$3)-1,1))
),
$E$3,
EOMONTH(B64,1)
)))</f>
        <v>40663</v>
      </c>
      <c r="C65" s="471"/>
      <c r="D65" s="149" t="s">
        <v>99</v>
      </c>
      <c r="E65" s="271">
        <f>'CAP POST'!G64</f>
        <v>0</v>
      </c>
      <c r="F65" s="271">
        <f t="shared" si="2"/>
        <v>0</v>
      </c>
      <c r="G65" s="215">
        <v>0.1769</v>
      </c>
      <c r="H65" s="288">
        <f t="shared" si="0"/>
        <v>0.26534999999999997</v>
      </c>
      <c r="I65" s="272">
        <f t="shared" si="1"/>
        <v>6.4499905605819308E-4</v>
      </c>
      <c r="J65" s="289">
        <f>IF(OR(A65=SABANA!$C$14, D65="adicional"),0,_xlfn.DAYS(B65,A65)+1)</f>
        <v>30</v>
      </c>
      <c r="K65" s="527">
        <f t="shared" si="3"/>
        <v>0</v>
      </c>
    </row>
    <row r="66" spans="1:11" x14ac:dyDescent="0.35">
      <c r="A66" s="152">
        <f>IF(
    AND(
        YEAR(B65)=YEAR(DATE(YEAR($E$1),MONTH($E$1)-1,1)),
        MONTH(B65)=MONTH(DATE(YEAR($E$1),MONTH($E$1)-1,1))
    ),
    $E$1,
    IF(
        AND(
            YEAR(B65)=YEAR(DATE(YEAR($K$1),MONTH($K$1)-1,1)),
            MONTH(B65)=MONTH(DATE(YEAR($K$1),MONTH($K$1)-1,1))
        ),
        $K$1,
        IF(
            $E$4="",
            DATE(YEAR(B65),MONTH(B65)+1,1),
            IF(
                AND(
                    YEAR(B65)=YEAR(DATE(YEAR($E$4),MONTH($E$4)-1,1)),
                    MONTH(B65)=MONTH(DATE(YEAR($E$4),MONTH($E$4)-1,1))
                ),
                $E$4,
                DATE(YEAR(B65),MONTH(B65)+1,1)
            )
        )
    )
)</f>
        <v>40664</v>
      </c>
      <c r="B66" s="152">
        <f>IF(
AND(
YEAR(B65)=YEAR(DATE(YEAR($E$2),MONTH($E$2)-1,1)),
MONTH(B65)=MONTH(DATE(YEAR($E$2),MONTH($E$2)-1,1))
),
$E$2,
IF(
$E$3="",
EOMONTH(B65,1),
IF(
AND(
YEAR(B65)=YEAR(DATE(YEAR($E$3),MONTH($E$3)-1,1)),
MONTH(B65)=MONTH(DATE(YEAR($E$3),MONTH($E$3)-1,1))
),
$E$3,
EOMONTH(B65,1)
)))</f>
        <v>40694</v>
      </c>
      <c r="C66" s="471"/>
      <c r="D66" s="149" t="s">
        <v>100</v>
      </c>
      <c r="E66" s="271">
        <f>'CAP POST'!G65</f>
        <v>0</v>
      </c>
      <c r="F66" s="271">
        <f t="shared" si="2"/>
        <v>0</v>
      </c>
      <c r="G66" s="215">
        <v>0.1769</v>
      </c>
      <c r="H66" s="288">
        <f t="shared" si="0"/>
        <v>0.26534999999999997</v>
      </c>
      <c r="I66" s="272">
        <f t="shared" si="1"/>
        <v>6.4499905605819308E-4</v>
      </c>
      <c r="J66" s="289">
        <f>IF(OR(A66=SABANA!$C$14, D66="adicional"),0,_xlfn.DAYS(B66,A66)+1)</f>
        <v>31</v>
      </c>
      <c r="K66" s="527">
        <f t="shared" si="3"/>
        <v>0</v>
      </c>
    </row>
    <row r="67" spans="1:11" x14ac:dyDescent="0.35">
      <c r="A67" s="156">
        <f t="shared" ref="A67" si="16">A68</f>
        <v>40695</v>
      </c>
      <c r="B67" s="156">
        <f t="shared" ref="B67" si="17">B68</f>
        <v>40724</v>
      </c>
      <c r="C67" s="471"/>
      <c r="D67" s="157" t="s">
        <v>101</v>
      </c>
      <c r="E67" s="274">
        <f>'CAP POST'!G66</f>
        <v>0</v>
      </c>
      <c r="F67" s="271">
        <f t="shared" si="2"/>
        <v>0</v>
      </c>
      <c r="G67" s="293"/>
      <c r="H67" s="294"/>
      <c r="I67" s="276">
        <f t="shared" si="1"/>
        <v>0</v>
      </c>
      <c r="J67" s="289">
        <f>IF(OR(A67=SABANA!$C$14, D67="adicional"),0,_xlfn.DAYS(B67,A67)+1)</f>
        <v>0</v>
      </c>
      <c r="K67" s="527">
        <f t="shared" si="3"/>
        <v>0</v>
      </c>
    </row>
    <row r="68" spans="1:11" x14ac:dyDescent="0.35">
      <c r="A68" s="152">
        <f>IF(
    AND(
        YEAR(B66)=YEAR(DATE(YEAR($E$1),MONTH($E$1)-1,1)),
        MONTH(B66)=MONTH(DATE(YEAR($E$1),MONTH($E$1)-1,1))
    ),
    $E$1,
    IF(
        AND(
            YEAR(B66)=YEAR(DATE(YEAR($K$1),MONTH($K$1)-1,1)),
            MONTH(B66)=MONTH(DATE(YEAR($K$1),MONTH($K$1)-1,1))
        ),
        $K$1,
        IF(
            $E$4="",
            DATE(YEAR(B66),MONTH(B66)+1,1),
            IF(
                AND(
                    YEAR(B66)=YEAR(DATE(YEAR($E$4),MONTH($E$4)-1,1)),
                    MONTH(B66)=MONTH(DATE(YEAR($E$4),MONTH($E$4)-1,1))
                ),
                $E$4,
                DATE(YEAR(B66),MONTH(B66)+1,1)
            )
        )
    )
)</f>
        <v>40695</v>
      </c>
      <c r="B68" s="152">
        <f>IF(
AND(
YEAR(B66)=YEAR(DATE(YEAR($E$2),MONTH($E$2)-1,1)),
MONTH(B66)=MONTH(DATE(YEAR($E$2),MONTH($E$2)-1,1))
),
$E$2,
IF(
$E$3="",
EOMONTH(B66,1),
IF(
AND(
YEAR(B66)=YEAR(DATE(YEAR($E$3),MONTH($E$3)-1,1)),
MONTH(B66)=MONTH(DATE(YEAR($E$3),MONTH($E$3)-1,1))
),
$E$3,
EOMONTH(B66,1)
)))</f>
        <v>40724</v>
      </c>
      <c r="C68" s="471"/>
      <c r="D68" s="149" t="s">
        <v>102</v>
      </c>
      <c r="E68" s="271">
        <f>'CAP POST'!G67</f>
        <v>0</v>
      </c>
      <c r="F68" s="271">
        <f t="shared" si="2"/>
        <v>0</v>
      </c>
      <c r="G68" s="215">
        <v>0.1769</v>
      </c>
      <c r="H68" s="288">
        <f>G68*1.5</f>
        <v>0.26534999999999997</v>
      </c>
      <c r="I68" s="272">
        <f t="shared" si="1"/>
        <v>6.4499905605819308E-4</v>
      </c>
      <c r="J68" s="289">
        <f>IF(OR(A68=SABANA!$C$14, D68="adicional"),0,_xlfn.DAYS(B68,A68)+1)</f>
        <v>30</v>
      </c>
      <c r="K68" s="527">
        <f t="shared" ref="K68" si="18">IF(AND(OR(A68&gt;=$E$4,B68&lt;=$E$3), AND(A67&gt;=$E$1,B67&lt;$E$2)),(F66*I68*H68),0)</f>
        <v>0</v>
      </c>
    </row>
    <row r="69" spans="1:11" x14ac:dyDescent="0.35">
      <c r="A69" s="152">
        <f>IF(
    AND(
        YEAR(B68)=YEAR(DATE(YEAR($E$1),MONTH($E$1)-1,1)),
        MONTH(B68)=MONTH(DATE(YEAR($E$1),MONTH($E$1)-1,1))
    ),
    $E$1,
    IF(
        AND(
            YEAR(B68)=YEAR(DATE(YEAR($K$1),MONTH($K$1)-1,1)),
            MONTH(B68)=MONTH(DATE(YEAR($K$1),MONTH($K$1)-1,1))
        ),
        $K$1,
        IF(
            $E$4="",
            DATE(YEAR(B68),MONTH(B68)+1,1),
            IF(
                AND(
                    YEAR(B68)=YEAR(DATE(YEAR($E$4),MONTH($E$4)-1,1)),
                    MONTH(B68)=MONTH(DATE(YEAR($E$4),MONTH($E$4)-1,1))
                ),
                $E$4,
                DATE(YEAR(B68),MONTH(B68)+1,1)
            )
        )
    )
)</f>
        <v>40725</v>
      </c>
      <c r="B69" s="152">
        <f>IF(
AND(
YEAR(B68)=YEAR(DATE(YEAR($E$2),MONTH($E$2)-1,1)),
MONTH(B68)=MONTH(DATE(YEAR($E$2),MONTH($E$2)-1,1))
),
$E$2,
IF(
$E$3="",
EOMONTH(B68,1),
IF(
AND(
YEAR(B68)=YEAR(DATE(YEAR($E$3),MONTH($E$3)-1,1)),
MONTH(B68)=MONTH(DATE(YEAR($E$3),MONTH($E$3)-1,1))
),
$E$3,
EOMONTH(B68,1)
)))</f>
        <v>40755</v>
      </c>
      <c r="C69" s="471"/>
      <c r="D69" s="149" t="s">
        <v>103</v>
      </c>
      <c r="E69" s="271">
        <f>'CAP POST'!G68</f>
        <v>0</v>
      </c>
      <c r="F69" s="271">
        <f t="shared" si="2"/>
        <v>0</v>
      </c>
      <c r="G69" s="215">
        <v>0.18629999999999999</v>
      </c>
      <c r="H69" s="288">
        <f t="shared" si="0"/>
        <v>0.27944999999999998</v>
      </c>
      <c r="I69" s="272">
        <f t="shared" si="1"/>
        <v>6.7537946769080648E-4</v>
      </c>
      <c r="J69" s="289">
        <f>IF(OR(A69=SABANA!$C$14, D69="adicional"),0,_xlfn.DAYS(B69,A69)+1)</f>
        <v>31</v>
      </c>
      <c r="K69" s="527">
        <f t="shared" si="3"/>
        <v>0</v>
      </c>
    </row>
    <row r="70" spans="1:11" x14ac:dyDescent="0.35">
      <c r="A70" s="152">
        <f>IF(
    AND(
        YEAR(B69)=YEAR(DATE(YEAR($E$1),MONTH($E$1)-1,1)),
        MONTH(B69)=MONTH(DATE(YEAR($E$1),MONTH($E$1)-1,1))
    ),
    $E$1,
    IF(
        AND(
            YEAR(B69)=YEAR(DATE(YEAR($K$1),MONTH($K$1)-1,1)),
            MONTH(B69)=MONTH(DATE(YEAR($K$1),MONTH($K$1)-1,1))
        ),
        $K$1,
        IF(
            $E$4="",
            DATE(YEAR(B69),MONTH(B69)+1,1),
            IF(
                AND(
                    YEAR(B69)=YEAR(DATE(YEAR($E$4),MONTH($E$4)-1,1)),
                    MONTH(B69)=MONTH(DATE(YEAR($E$4),MONTH($E$4)-1,1))
                ),
                $E$4,
                DATE(YEAR(B69),MONTH(B69)+1,1)
            )
        )
    )
)</f>
        <v>40756</v>
      </c>
      <c r="B70" s="152">
        <f>IF(
AND(
YEAR(B69)=YEAR(DATE(YEAR($E$2),MONTH($E$2)-1,1)),
MONTH(B69)=MONTH(DATE(YEAR($E$2),MONTH($E$2)-1,1))
),
$E$2,
IF(
$E$3="",
EOMONTH(B69,1),
IF(
AND(
YEAR(B69)=YEAR(DATE(YEAR($E$3),MONTH($E$3)-1,1)),
MONTH(B69)=MONTH(DATE(YEAR($E$3),MONTH($E$3)-1,1))
),
$E$3,
EOMONTH(B69,1)
)))</f>
        <v>40786</v>
      </c>
      <c r="C70" s="471"/>
      <c r="D70" s="149" t="s">
        <v>104</v>
      </c>
      <c r="E70" s="271">
        <f>'CAP POST'!G69</f>
        <v>0</v>
      </c>
      <c r="F70" s="271">
        <f t="shared" si="2"/>
        <v>0</v>
      </c>
      <c r="G70" s="215">
        <v>0.18629999999999999</v>
      </c>
      <c r="H70" s="288">
        <f t="shared" si="0"/>
        <v>0.27944999999999998</v>
      </c>
      <c r="I70" s="272">
        <f t="shared" si="1"/>
        <v>6.7537946769080648E-4</v>
      </c>
      <c r="J70" s="289">
        <f>IF(OR(A70=SABANA!$C$14, D70="adicional"),0,_xlfn.DAYS(B70,A70)+1)</f>
        <v>31</v>
      </c>
      <c r="K70" s="527">
        <f t="shared" si="3"/>
        <v>0</v>
      </c>
    </row>
    <row r="71" spans="1:11" x14ac:dyDescent="0.35">
      <c r="A71" s="152">
        <f>IF(
    AND(
        YEAR(B70)=YEAR(DATE(YEAR($E$1),MONTH($E$1)-1,1)),
        MONTH(B70)=MONTH(DATE(YEAR($E$1),MONTH($E$1)-1,1))
    ),
    $E$1,
    IF(
        AND(
            YEAR(B70)=YEAR(DATE(YEAR($K$1),MONTH($K$1)-1,1)),
            MONTH(B70)=MONTH(DATE(YEAR($K$1),MONTH($K$1)-1,1))
        ),
        $K$1,
        IF(
            $E$4="",
            DATE(YEAR(B70),MONTH(B70)+1,1),
            IF(
                AND(
                    YEAR(B70)=YEAR(DATE(YEAR($E$4),MONTH($E$4)-1,1)),
                    MONTH(B70)=MONTH(DATE(YEAR($E$4),MONTH($E$4)-1,1))
                ),
                $E$4,
                DATE(YEAR(B70),MONTH(B70)+1,1)
            )
        )
    )
)</f>
        <v>40787</v>
      </c>
      <c r="B71" s="152">
        <f>IF(
AND(
YEAR(B70)=YEAR(DATE(YEAR($E$2),MONTH($E$2)-1,1)),
MONTH(B70)=MONTH(DATE(YEAR($E$2),MONTH($E$2)-1,1))
),
$E$2,
IF(
$E$3="",
EOMONTH(B70,1),
IF(
AND(
YEAR(B70)=YEAR(DATE(YEAR($E$3),MONTH($E$3)-1,1)),
MONTH(B70)=MONTH(DATE(YEAR($E$3),MONTH($E$3)-1,1))
),
$E$3,
EOMONTH(B70,1)
)))</f>
        <v>40816</v>
      </c>
      <c r="C71" s="471"/>
      <c r="D71" s="149" t="s">
        <v>105</v>
      </c>
      <c r="E71" s="271">
        <f>'CAP POST'!G70</f>
        <v>0</v>
      </c>
      <c r="F71" s="271">
        <f t="shared" si="2"/>
        <v>0</v>
      </c>
      <c r="G71" s="215">
        <v>0.18629999999999999</v>
      </c>
      <c r="H71" s="288">
        <f t="shared" ref="H71:H134" si="19">G71*1.5</f>
        <v>0.27944999999999998</v>
      </c>
      <c r="I71" s="272">
        <f t="shared" ref="I71:I134" si="20">((1+H71)^(1/365)-1)</f>
        <v>6.7537946769080648E-4</v>
      </c>
      <c r="J71" s="289">
        <f>IF(OR(A71=SABANA!$C$14, D71="adicional"),0,_xlfn.DAYS(B71,A71)+1)</f>
        <v>30</v>
      </c>
      <c r="K71" s="527">
        <f t="shared" si="3"/>
        <v>0</v>
      </c>
    </row>
    <row r="72" spans="1:11" x14ac:dyDescent="0.35">
      <c r="A72" s="152">
        <f>IF(
    AND(
        YEAR(B71)=YEAR(DATE(YEAR($E$1),MONTH($E$1)-1,1)),
        MONTH(B71)=MONTH(DATE(YEAR($E$1),MONTH($E$1)-1,1))
    ),
    $E$1,
    IF(
        AND(
            YEAR(B71)=YEAR(DATE(YEAR($K$1),MONTH($K$1)-1,1)),
            MONTH(B71)=MONTH(DATE(YEAR($K$1),MONTH($K$1)-1,1))
        ),
        $K$1,
        IF(
            $E$4="",
            DATE(YEAR(B71),MONTH(B71)+1,1),
            IF(
                AND(
                    YEAR(B71)=YEAR(DATE(YEAR($E$4),MONTH($E$4)-1,1)),
                    MONTH(B71)=MONTH(DATE(YEAR($E$4),MONTH($E$4)-1,1))
                ),
                $E$4,
                DATE(YEAR(B71),MONTH(B71)+1,1)
            )
        )
    )
)</f>
        <v>40817</v>
      </c>
      <c r="B72" s="152">
        <f>IF(
AND(
YEAR(B71)=YEAR(DATE(YEAR($E$2),MONTH($E$2)-1,1)),
MONTH(B71)=MONTH(DATE(YEAR($E$2),MONTH($E$2)-1,1))
),
$E$2,
IF(
$E$3="",
EOMONTH(B71,1),
IF(
AND(
YEAR(B71)=YEAR(DATE(YEAR($E$3),MONTH($E$3)-1,1)),
MONTH(B71)=MONTH(DATE(YEAR($E$3),MONTH($E$3)-1,1))
),
$E$3,
EOMONTH(B71,1)
)))</f>
        <v>40847</v>
      </c>
      <c r="C72" s="471"/>
      <c r="D72" s="149" t="s">
        <v>106</v>
      </c>
      <c r="E72" s="271">
        <f>'CAP POST'!G71</f>
        <v>0</v>
      </c>
      <c r="F72" s="271">
        <f t="shared" ref="F72:F135" si="21">IF(AND(A72&gt;=$E$1,B72&lt;=$E$2),(F71+E72),0)</f>
        <v>0</v>
      </c>
      <c r="G72" s="215">
        <v>0.19389999999999999</v>
      </c>
      <c r="H72" s="288">
        <f t="shared" si="19"/>
        <v>0.29085</v>
      </c>
      <c r="I72" s="272">
        <f t="shared" si="20"/>
        <v>6.9969924008095319E-4</v>
      </c>
      <c r="J72" s="289">
        <f>IF(OR(A72=SABANA!$C$14, D72="adicional"),0,_xlfn.DAYS(B72,A72)+1)</f>
        <v>31</v>
      </c>
      <c r="K72" s="527">
        <f t="shared" ref="K72:K135" si="22">IF(AND(OR(A72&gt;=$E$4,B72&lt;=$E$3), AND(A71&gt;=$E$1,B71&lt;$E$2)),(F71*I72*H72),0)</f>
        <v>0</v>
      </c>
    </row>
    <row r="73" spans="1:11" x14ac:dyDescent="0.35">
      <c r="A73" s="152">
        <f>IF(
    AND(
        YEAR(B72)=YEAR(DATE(YEAR($E$1),MONTH($E$1)-1,1)),
        MONTH(B72)=MONTH(DATE(YEAR($E$1),MONTH($E$1)-1,1))
    ),
    $E$1,
    IF(
        AND(
            YEAR(B72)=YEAR(DATE(YEAR($K$1),MONTH($K$1)-1,1)),
            MONTH(B72)=MONTH(DATE(YEAR($K$1),MONTH($K$1)-1,1))
        ),
        $K$1,
        IF(
            $E$4="",
            DATE(YEAR(B72),MONTH(B72)+1,1),
            IF(
                AND(
                    YEAR(B72)=YEAR(DATE(YEAR($E$4),MONTH($E$4)-1,1)),
                    MONTH(B72)=MONTH(DATE(YEAR($E$4),MONTH($E$4)-1,1))
                ),
                $E$4,
                DATE(YEAR(B72),MONTH(B72)+1,1)
            )
        )
    )
)</f>
        <v>40848</v>
      </c>
      <c r="B73" s="152">
        <f>IF(
AND(
YEAR(B72)=YEAR(DATE(YEAR($E$2),MONTH($E$2)-1,1)),
MONTH(B72)=MONTH(DATE(YEAR($E$2),MONTH($E$2)-1,1))
),
$E$2,
IF(
$E$3="",
EOMONTH(B72,1),
IF(
AND(
YEAR(B72)=YEAR(DATE(YEAR($E$3),MONTH($E$3)-1,1)),
MONTH(B72)=MONTH(DATE(YEAR($E$3),MONTH($E$3)-1,1))
),
$E$3,
EOMONTH(B72,1)
)))</f>
        <v>40877</v>
      </c>
      <c r="C73" s="471"/>
      <c r="D73" s="149" t="s">
        <v>107</v>
      </c>
      <c r="E73" s="271">
        <f>'CAP POST'!G72</f>
        <v>0</v>
      </c>
      <c r="F73" s="271">
        <f t="shared" si="21"/>
        <v>0</v>
      </c>
      <c r="G73" s="90">
        <v>0.19389999999999999</v>
      </c>
      <c r="H73" s="295">
        <f t="shared" si="19"/>
        <v>0.29085</v>
      </c>
      <c r="I73" s="272">
        <f t="shared" si="20"/>
        <v>6.9969924008095319E-4</v>
      </c>
      <c r="J73" s="289">
        <f>IF(OR(A73=SABANA!$C$14, D73="adicional"),0,_xlfn.DAYS(B73,A73)+1)</f>
        <v>30</v>
      </c>
      <c r="K73" s="527">
        <f t="shared" si="22"/>
        <v>0</v>
      </c>
    </row>
    <row r="74" spans="1:11" x14ac:dyDescent="0.35">
      <c r="A74" s="156">
        <f t="shared" ref="A74" si="23">A73</f>
        <v>40848</v>
      </c>
      <c r="B74" s="156">
        <f t="shared" ref="B74" si="24">B73</f>
        <v>40877</v>
      </c>
      <c r="C74" s="471"/>
      <c r="D74" s="157" t="s">
        <v>101</v>
      </c>
      <c r="E74" s="274">
        <f>'CAP POST'!G73</f>
        <v>0</v>
      </c>
      <c r="F74" s="271">
        <f t="shared" si="21"/>
        <v>0</v>
      </c>
      <c r="G74" s="275"/>
      <c r="H74" s="292"/>
      <c r="I74" s="276">
        <f t="shared" si="20"/>
        <v>0</v>
      </c>
      <c r="J74" s="289">
        <f>IF(OR(A74=SABANA!$C$14, D74="adicional"),0,_xlfn.DAYS(B74,A74)+1)</f>
        <v>0</v>
      </c>
      <c r="K74" s="527">
        <f t="shared" si="22"/>
        <v>0</v>
      </c>
    </row>
    <row r="75" spans="1:11" x14ac:dyDescent="0.35">
      <c r="A75" s="152">
        <f>IF(
    AND(
        YEAR(B73)=YEAR(DATE(YEAR($E$1),MONTH($E$1)-1,1)),
        MONTH(B73)=MONTH(DATE(YEAR($E$1),MONTH($E$1)-1,1))
    ),
    $E$1,
    IF(
        AND(
            YEAR(B73)=YEAR(DATE(YEAR($K$1),MONTH($K$1)-1,1)),
            MONTH(B73)=MONTH(DATE(YEAR($K$1),MONTH($K$1)-1,1))
        ),
        $K$1,
        IF(
            $E$4="",
            DATE(YEAR(B73),MONTH(B73)+1,1),
            IF(
                AND(
                    YEAR(B73)=YEAR(DATE(YEAR($E$4),MONTH($E$4)-1,1)),
                    MONTH(B73)=MONTH(DATE(YEAR($E$4),MONTH($E$4)-1,1))
                ),
                $E$4,
                DATE(YEAR(B73),MONTH(B73)+1,1)
            )
        )
    )
)</f>
        <v>40878</v>
      </c>
      <c r="B75" s="152">
        <f>IF(
AND(
YEAR(B73)=YEAR(DATE(YEAR($E$2),MONTH($E$2)-1,1)),
MONTH(B73)=MONTH(DATE(YEAR($E$2),MONTH($E$2)-1,1))
),
$E$2,
IF(
$E$3="",
EOMONTH(B73,1),
IF(
AND(
YEAR(B73)=YEAR(DATE(YEAR($E$3),MONTH($E$3)-1,1)),
MONTH(B73)=MONTH(DATE(YEAR($E$3),MONTH($E$3)-1,1))
),
$E$3,
EOMONTH(B73,1)
)))</f>
        <v>40908</v>
      </c>
      <c r="C75" s="472"/>
      <c r="D75" s="149" t="s">
        <v>108</v>
      </c>
      <c r="E75" s="271">
        <f>'CAP POST'!G74</f>
        <v>0</v>
      </c>
      <c r="F75" s="271">
        <f t="shared" si="21"/>
        <v>0</v>
      </c>
      <c r="G75" s="215">
        <v>0.19389999999999999</v>
      </c>
      <c r="H75" s="288">
        <f t="shared" si="19"/>
        <v>0.29085</v>
      </c>
      <c r="I75" s="272">
        <f t="shared" si="20"/>
        <v>6.9969924008095319E-4</v>
      </c>
      <c r="J75" s="289">
        <f>IF(OR(A75=SABANA!$C$14, D75="adicional"),0,_xlfn.DAYS(B75,A75)+1)</f>
        <v>31</v>
      </c>
      <c r="K75" s="527">
        <f t="shared" ref="K75" si="25">IF(AND(OR(A75&gt;=$E$4,B75&lt;=$E$3), AND(A74&gt;=$E$1,B74&lt;$E$2)),(F73*I75*H75),0)</f>
        <v>0</v>
      </c>
    </row>
    <row r="76" spans="1:11" x14ac:dyDescent="0.35">
      <c r="A76" s="152">
        <f>IF(
    AND(
        YEAR(B75)=YEAR(DATE(YEAR($E$1),MONTH($E$1)-1,1)),
        MONTH(B75)=MONTH(DATE(YEAR($E$1),MONTH($E$1)-1,1))
    ),
    $E$1,
    IF(
        AND(
            YEAR(B75)=YEAR(DATE(YEAR($K$1),MONTH($K$1)-1,1)),
            MONTH(B75)=MONTH(DATE(YEAR($K$1),MONTH($K$1)-1,1))
        ),
        $K$1,
        IF(
            $E$4="",
            DATE(YEAR(B75),MONTH(B75)+1,1),
            IF(
                AND(
                    YEAR(B75)=YEAR(DATE(YEAR($E$4),MONTH($E$4)-1,1)),
                    MONTH(B75)=MONTH(DATE(YEAR($E$4),MONTH($E$4)-1,1))
                ),
                $E$4,
                DATE(YEAR(B75),MONTH(B75)+1,1)
            )
        )
    )
)</f>
        <v>40909</v>
      </c>
      <c r="B76" s="152">
        <f>IF(
AND(
YEAR(B75)=YEAR(DATE(YEAR($E$2),MONTH($E$2)-1,1)),
MONTH(B75)=MONTH(DATE(YEAR($E$2),MONTH($E$2)-1,1))
),
$E$2,
IF(
$E$3="",
EOMONTH(B75,1),
IF(
AND(
YEAR(B75)=YEAR(DATE(YEAR($E$3),MONTH($E$3)-1,1)),
MONTH(B75)=MONTH(DATE(YEAR($E$3),MONTH($E$3)-1,1))
),
$E$3,
EOMONTH(B75,1)
)))</f>
        <v>40939</v>
      </c>
      <c r="C76" s="468">
        <v>2012</v>
      </c>
      <c r="D76" s="149" t="s">
        <v>96</v>
      </c>
      <c r="E76" s="271">
        <f>'CAP POST'!G75</f>
        <v>0</v>
      </c>
      <c r="F76" s="271">
        <f t="shared" si="21"/>
        <v>0</v>
      </c>
      <c r="G76" s="215">
        <v>0.19919999999999999</v>
      </c>
      <c r="H76" s="288">
        <f t="shared" si="19"/>
        <v>0.29879999999999995</v>
      </c>
      <c r="I76" s="272">
        <f t="shared" si="20"/>
        <v>7.1653264516413628E-4</v>
      </c>
      <c r="J76" s="289">
        <f>IF(OR(A76=SABANA!$C$14, D76="adicional"),0,_xlfn.DAYS(B76,A76)+1)</f>
        <v>31</v>
      </c>
      <c r="K76" s="527">
        <f t="shared" si="22"/>
        <v>0</v>
      </c>
    </row>
    <row r="77" spans="1:11" x14ac:dyDescent="0.35">
      <c r="A77" s="152">
        <f>IF(
    AND(
        YEAR(B76)=YEAR(DATE(YEAR($E$1),MONTH($E$1)-1,1)),
        MONTH(B76)=MONTH(DATE(YEAR($E$1),MONTH($E$1)-1,1))
    ),
    $E$1,
    IF(
        AND(
            YEAR(B76)=YEAR(DATE(YEAR($K$1),MONTH($K$1)-1,1)),
            MONTH(B76)=MONTH(DATE(YEAR($K$1),MONTH($K$1)-1,1))
        ),
        $K$1,
        IF(
            $E$4="",
            DATE(YEAR(B76),MONTH(B76)+1,1),
            IF(
                AND(
                    YEAR(B76)=YEAR(DATE(YEAR($E$4),MONTH($E$4)-1,1)),
                    MONTH(B76)=MONTH(DATE(YEAR($E$4),MONTH($E$4)-1,1))
                ),
                $E$4,
                DATE(YEAR(B76),MONTH(B76)+1,1)
            )
        )
    )
)</f>
        <v>40940</v>
      </c>
      <c r="B77" s="152">
        <f>IF(
AND(
YEAR(B76)=YEAR(DATE(YEAR($E$2),MONTH($E$2)-1,1)),
MONTH(B76)=MONTH(DATE(YEAR($E$2),MONTH($E$2)-1,1))
),
$E$2,
IF(
$E$3="",
EOMONTH(B76,1),
IF(
AND(
YEAR(B76)=YEAR(DATE(YEAR($E$3),MONTH($E$3)-1,1)),
MONTH(B76)=MONTH(DATE(YEAR($E$3),MONTH($E$3)-1,1))
),
$E$3,
EOMONTH(B76,1)
)))</f>
        <v>40968</v>
      </c>
      <c r="C77" s="471"/>
      <c r="D77" s="149" t="s">
        <v>97</v>
      </c>
      <c r="E77" s="271">
        <f>'CAP POST'!G76</f>
        <v>0</v>
      </c>
      <c r="F77" s="271">
        <f t="shared" si="21"/>
        <v>0</v>
      </c>
      <c r="G77" s="215">
        <v>0.19919999999999999</v>
      </c>
      <c r="H77" s="288">
        <f t="shared" si="19"/>
        <v>0.29879999999999995</v>
      </c>
      <c r="I77" s="272">
        <f t="shared" si="20"/>
        <v>7.1653264516413628E-4</v>
      </c>
      <c r="J77" s="289">
        <f>IF(OR(A77=SABANA!$C$14, D77="adicional"),0,_xlfn.DAYS(B77,A77)+1)</f>
        <v>29</v>
      </c>
      <c r="K77" s="527">
        <f t="shared" si="22"/>
        <v>0</v>
      </c>
    </row>
    <row r="78" spans="1:11" x14ac:dyDescent="0.35">
      <c r="A78" s="152">
        <f>IF(
    AND(
        YEAR(B77)=YEAR(DATE(YEAR($E$1),MONTH($E$1)-1,1)),
        MONTH(B77)=MONTH(DATE(YEAR($E$1),MONTH($E$1)-1,1))
    ),
    $E$1,
    IF(
        AND(
            YEAR(B77)=YEAR(DATE(YEAR($K$1),MONTH($K$1)-1,1)),
            MONTH(B77)=MONTH(DATE(YEAR($K$1),MONTH($K$1)-1,1))
        ),
        $K$1,
        IF(
            $E$4="",
            DATE(YEAR(B77),MONTH(B77)+1,1),
            IF(
                AND(
                    YEAR(B77)=YEAR(DATE(YEAR($E$4),MONTH($E$4)-1,1)),
                    MONTH(B77)=MONTH(DATE(YEAR($E$4),MONTH($E$4)-1,1))
                ),
                $E$4,
                DATE(YEAR(B77),MONTH(B77)+1,1)
            )
        )
    )
)</f>
        <v>40969</v>
      </c>
      <c r="B78" s="152">
        <f>IF(
AND(
YEAR(B77)=YEAR(DATE(YEAR($E$2),MONTH($E$2)-1,1)),
MONTH(B77)=MONTH(DATE(YEAR($E$2),MONTH($E$2)-1,1))
),
$E$2,
IF(
$E$3="",
EOMONTH(B77,1),
IF(
AND(
YEAR(B77)=YEAR(DATE(YEAR($E$3),MONTH($E$3)-1,1)),
MONTH(B77)=MONTH(DATE(YEAR($E$3),MONTH($E$3)-1,1))
),
$E$3,
EOMONTH(B77,1)
)))</f>
        <v>40999</v>
      </c>
      <c r="C78" s="471"/>
      <c r="D78" s="149" t="s">
        <v>98</v>
      </c>
      <c r="E78" s="271">
        <f>'CAP POST'!G77</f>
        <v>0</v>
      </c>
      <c r="F78" s="271">
        <f t="shared" si="21"/>
        <v>0</v>
      </c>
      <c r="G78" s="215">
        <v>0.19919999999999999</v>
      </c>
      <c r="H78" s="288">
        <f t="shared" si="19"/>
        <v>0.29879999999999995</v>
      </c>
      <c r="I78" s="272">
        <f t="shared" si="20"/>
        <v>7.1653264516413628E-4</v>
      </c>
      <c r="J78" s="289">
        <f>IF(OR(A78=SABANA!$C$14, D78="adicional"),0,_xlfn.DAYS(B78,A78)+1)</f>
        <v>31</v>
      </c>
      <c r="K78" s="527">
        <f t="shared" si="22"/>
        <v>0</v>
      </c>
    </row>
    <row r="79" spans="1:11" x14ac:dyDescent="0.35">
      <c r="A79" s="152">
        <f>IF(
    AND(
        YEAR(B78)=YEAR(DATE(YEAR($E$1),MONTH($E$1)-1,1)),
        MONTH(B78)=MONTH(DATE(YEAR($E$1),MONTH($E$1)-1,1))
    ),
    $E$1,
    IF(
        AND(
            YEAR(B78)=YEAR(DATE(YEAR($K$1),MONTH($K$1)-1,1)),
            MONTH(B78)=MONTH(DATE(YEAR($K$1),MONTH($K$1)-1,1))
        ),
        $K$1,
        IF(
            $E$4="",
            DATE(YEAR(B78),MONTH(B78)+1,1),
            IF(
                AND(
                    YEAR(B78)=YEAR(DATE(YEAR($E$4),MONTH($E$4)-1,1)),
                    MONTH(B78)=MONTH(DATE(YEAR($E$4),MONTH($E$4)-1,1))
                ),
                $E$4,
                DATE(YEAR(B78),MONTH(B78)+1,1)
            )
        )
    )
)</f>
        <v>41000</v>
      </c>
      <c r="B79" s="152">
        <f>IF(
AND(
YEAR(B78)=YEAR(DATE(YEAR($E$2),MONTH($E$2)-1,1)),
MONTH(B78)=MONTH(DATE(YEAR($E$2),MONTH($E$2)-1,1))
),
$E$2,
IF(
$E$3="",
EOMONTH(B78,1),
IF(
AND(
YEAR(B78)=YEAR(DATE(YEAR($E$3),MONTH($E$3)-1,1)),
MONTH(B78)=MONTH(DATE(YEAR($E$3),MONTH($E$3)-1,1))
),
$E$3,
EOMONTH(B78,1)
)))</f>
        <v>41029</v>
      </c>
      <c r="C79" s="471"/>
      <c r="D79" s="149" t="s">
        <v>99</v>
      </c>
      <c r="E79" s="271">
        <f>'CAP POST'!G78</f>
        <v>0</v>
      </c>
      <c r="F79" s="271">
        <f t="shared" si="21"/>
        <v>0</v>
      </c>
      <c r="G79" s="215">
        <v>0.20519999999999999</v>
      </c>
      <c r="H79" s="288">
        <f t="shared" si="19"/>
        <v>0.30779999999999996</v>
      </c>
      <c r="I79" s="272">
        <f t="shared" si="20"/>
        <v>7.3546576390448593E-4</v>
      </c>
      <c r="J79" s="289">
        <f>IF(OR(A79=SABANA!$C$14, D79="adicional"),0,_xlfn.DAYS(B79,A79)+1)</f>
        <v>30</v>
      </c>
      <c r="K79" s="527">
        <f t="shared" si="22"/>
        <v>0</v>
      </c>
    </row>
    <row r="80" spans="1:11" x14ac:dyDescent="0.35">
      <c r="A80" s="152">
        <f>IF(
    AND(
        YEAR(B79)=YEAR(DATE(YEAR($E$1),MONTH($E$1)-1,1)),
        MONTH(B79)=MONTH(DATE(YEAR($E$1),MONTH($E$1)-1,1))
    ),
    $E$1,
    IF(
        AND(
            YEAR(B79)=YEAR(DATE(YEAR($K$1),MONTH($K$1)-1,1)),
            MONTH(B79)=MONTH(DATE(YEAR($K$1),MONTH($K$1)-1,1))
        ),
        $K$1,
        IF(
            $E$4="",
            DATE(YEAR(B79),MONTH(B79)+1,1),
            IF(
                AND(
                    YEAR(B79)=YEAR(DATE(YEAR($E$4),MONTH($E$4)-1,1)),
                    MONTH(B79)=MONTH(DATE(YEAR($E$4),MONTH($E$4)-1,1))
                ),
                $E$4,
                DATE(YEAR(B79),MONTH(B79)+1,1)
            )
        )
    )
)</f>
        <v>41030</v>
      </c>
      <c r="B80" s="152">
        <f>IF(
AND(
YEAR(B79)=YEAR(DATE(YEAR($E$2),MONTH($E$2)-1,1)),
MONTH(B79)=MONTH(DATE(YEAR($E$2),MONTH($E$2)-1,1))
),
$E$2,
IF(
$E$3="",
EOMONTH(B79,1),
IF(
AND(
YEAR(B79)=YEAR(DATE(YEAR($E$3),MONTH($E$3)-1,1)),
MONTH(B79)=MONTH(DATE(YEAR($E$3),MONTH($E$3)-1,1))
),
$E$3,
EOMONTH(B79,1)
)))</f>
        <v>41060</v>
      </c>
      <c r="C80" s="471"/>
      <c r="D80" s="149" t="s">
        <v>100</v>
      </c>
      <c r="E80" s="271">
        <f>'CAP POST'!G79</f>
        <v>0</v>
      </c>
      <c r="F80" s="271">
        <f t="shared" si="21"/>
        <v>0</v>
      </c>
      <c r="G80" s="215">
        <v>0.20519999999999999</v>
      </c>
      <c r="H80" s="288">
        <f t="shared" si="19"/>
        <v>0.30779999999999996</v>
      </c>
      <c r="I80" s="272">
        <f t="shared" si="20"/>
        <v>7.3546576390448593E-4</v>
      </c>
      <c r="J80" s="289">
        <f>IF(OR(A80=SABANA!$C$14, D80="adicional"),0,_xlfn.DAYS(B80,A80)+1)</f>
        <v>31</v>
      </c>
      <c r="K80" s="527">
        <f t="shared" si="22"/>
        <v>0</v>
      </c>
    </row>
    <row r="81" spans="1:11" x14ac:dyDescent="0.35">
      <c r="A81" s="156">
        <f t="shared" ref="A81" si="26">A82</f>
        <v>41061</v>
      </c>
      <c r="B81" s="156">
        <f t="shared" ref="B81" si="27">B82</f>
        <v>41090</v>
      </c>
      <c r="C81" s="471"/>
      <c r="D81" s="157" t="s">
        <v>101</v>
      </c>
      <c r="E81" s="274">
        <f>'CAP POST'!G80</f>
        <v>0</v>
      </c>
      <c r="F81" s="271">
        <f t="shared" si="21"/>
        <v>0</v>
      </c>
      <c r="G81" s="293"/>
      <c r="H81" s="294"/>
      <c r="I81" s="276">
        <f t="shared" si="20"/>
        <v>0</v>
      </c>
      <c r="J81" s="289">
        <f>IF(OR(A81=SABANA!$C$14, D81="adicional"),0,_xlfn.DAYS(B81,A81)+1)</f>
        <v>0</v>
      </c>
      <c r="K81" s="527">
        <f t="shared" si="22"/>
        <v>0</v>
      </c>
    </row>
    <row r="82" spans="1:11" x14ac:dyDescent="0.35">
      <c r="A82" s="152">
        <f>IF(
    AND(
        YEAR(B80)=YEAR(DATE(YEAR($E$1),MONTH($E$1)-1,1)),
        MONTH(B80)=MONTH(DATE(YEAR($E$1),MONTH($E$1)-1,1))
    ),
    $E$1,
    IF(
        AND(
            YEAR(B80)=YEAR(DATE(YEAR($K$1),MONTH($K$1)-1,1)),
            MONTH(B80)=MONTH(DATE(YEAR($K$1),MONTH($K$1)-1,1))
        ),
        $K$1,
        IF(
            $E$4="",
            DATE(YEAR(B80),MONTH(B80)+1,1),
            IF(
                AND(
                    YEAR(B80)=YEAR(DATE(YEAR($E$4),MONTH($E$4)-1,1)),
                    MONTH(B80)=MONTH(DATE(YEAR($E$4),MONTH($E$4)-1,1))
                ),
                $E$4,
                DATE(YEAR(B80),MONTH(B80)+1,1)
            )
        )
    )
)</f>
        <v>41061</v>
      </c>
      <c r="B82" s="152">
        <f>IF(
AND(
YEAR(B80)=YEAR(DATE(YEAR($E$2),MONTH($E$2)-1,1)),
MONTH(B80)=MONTH(DATE(YEAR($E$2),MONTH($E$2)-1,1))
),
$E$2,
IF(
$E$3="",
EOMONTH(B80,1),
IF(
AND(
YEAR(B80)=YEAR(DATE(YEAR($E$3),MONTH($E$3)-1,1)),
MONTH(B80)=MONTH(DATE(YEAR($E$3),MONTH($E$3)-1,1))
),
$E$3,
EOMONTH(B80,1)
)))</f>
        <v>41090</v>
      </c>
      <c r="C82" s="471"/>
      <c r="D82" s="149" t="s">
        <v>102</v>
      </c>
      <c r="E82" s="271">
        <f>'CAP POST'!G81</f>
        <v>0</v>
      </c>
      <c r="F82" s="271">
        <f t="shared" si="21"/>
        <v>0</v>
      </c>
      <c r="G82" s="215">
        <v>0.20519999999999999</v>
      </c>
      <c r="H82" s="288">
        <f>G82*1.5</f>
        <v>0.30779999999999996</v>
      </c>
      <c r="I82" s="272">
        <f t="shared" si="20"/>
        <v>7.3546576390448593E-4</v>
      </c>
      <c r="J82" s="289">
        <f>IF(OR(A82=SABANA!$C$14, D82="adicional"),0,_xlfn.DAYS(B82,A82)+1)</f>
        <v>30</v>
      </c>
      <c r="K82" s="527">
        <f t="shared" ref="K82" si="28">IF(AND(OR(A82&gt;=$E$4,B82&lt;=$E$3), AND(A81&gt;=$E$1,B81&lt;$E$2)),(F80*I82*H82),0)</f>
        <v>0</v>
      </c>
    </row>
    <row r="83" spans="1:11" x14ac:dyDescent="0.35">
      <c r="A83" s="152">
        <f>IF(
    AND(
        YEAR(B82)=YEAR(DATE(YEAR($E$1),MONTH($E$1)-1,1)),
        MONTH(B82)=MONTH(DATE(YEAR($E$1),MONTH($E$1)-1,1))
    ),
    $E$1,
    IF(
        AND(
            YEAR(B82)=YEAR(DATE(YEAR($K$1),MONTH($K$1)-1,1)),
            MONTH(B82)=MONTH(DATE(YEAR($K$1),MONTH($K$1)-1,1))
        ),
        $K$1,
        IF(
            $E$4="",
            DATE(YEAR(B82),MONTH(B82)+1,1),
            IF(
                AND(
                    YEAR(B82)=YEAR(DATE(YEAR($E$4),MONTH($E$4)-1,1)),
                    MONTH(B82)=MONTH(DATE(YEAR($E$4),MONTH($E$4)-1,1))
                ),
                $E$4,
                DATE(YEAR(B82),MONTH(B82)+1,1)
            )
        )
    )
)</f>
        <v>41091</v>
      </c>
      <c r="B83" s="152">
        <f>IF(
AND(
YEAR(B82)=YEAR(DATE(YEAR($E$2),MONTH($E$2)-1,1)),
MONTH(B82)=MONTH(DATE(YEAR($E$2),MONTH($E$2)-1,1))
),
$E$2,
IF(
$E$3="",
EOMONTH(B82,1),
IF(
AND(
YEAR(B82)=YEAR(DATE(YEAR($E$3),MONTH($E$3)-1,1)),
MONTH(B82)=MONTH(DATE(YEAR($E$3),MONTH($E$3)-1,1))
),
$E$3,
EOMONTH(B82,1)
)))</f>
        <v>41121</v>
      </c>
      <c r="C83" s="471"/>
      <c r="D83" s="149" t="s">
        <v>103</v>
      </c>
      <c r="E83" s="271">
        <f>'CAP POST'!G82</f>
        <v>0</v>
      </c>
      <c r="F83" s="271">
        <f t="shared" si="21"/>
        <v>0</v>
      </c>
      <c r="G83" s="215">
        <v>0.20860000000000001</v>
      </c>
      <c r="H83" s="288">
        <f t="shared" si="19"/>
        <v>0.31290000000000001</v>
      </c>
      <c r="I83" s="272">
        <f t="shared" si="20"/>
        <v>7.4613693673164505E-4</v>
      </c>
      <c r="J83" s="289">
        <f>IF(OR(A83=SABANA!$C$14, D83="adicional"),0,_xlfn.DAYS(B83,A83)+1)</f>
        <v>31</v>
      </c>
      <c r="K83" s="527">
        <f t="shared" si="22"/>
        <v>0</v>
      </c>
    </row>
    <row r="84" spans="1:11" x14ac:dyDescent="0.35">
      <c r="A84" s="152">
        <f>IF(
    AND(
        YEAR(B83)=YEAR(DATE(YEAR($E$1),MONTH($E$1)-1,1)),
        MONTH(B83)=MONTH(DATE(YEAR($E$1),MONTH($E$1)-1,1))
    ),
    $E$1,
    IF(
        AND(
            YEAR(B83)=YEAR(DATE(YEAR($K$1),MONTH($K$1)-1,1)),
            MONTH(B83)=MONTH(DATE(YEAR($K$1),MONTH($K$1)-1,1))
        ),
        $K$1,
        IF(
            $E$4="",
            DATE(YEAR(B83),MONTH(B83)+1,1),
            IF(
                AND(
                    YEAR(B83)=YEAR(DATE(YEAR($E$4),MONTH($E$4)-1,1)),
                    MONTH(B83)=MONTH(DATE(YEAR($E$4),MONTH($E$4)-1,1))
                ),
                $E$4,
                DATE(YEAR(B83),MONTH(B83)+1,1)
            )
        )
    )
)</f>
        <v>41122</v>
      </c>
      <c r="B84" s="152">
        <f>IF(
AND(
YEAR(B83)=YEAR(DATE(YEAR($E$2),MONTH($E$2)-1,1)),
MONTH(B83)=MONTH(DATE(YEAR($E$2),MONTH($E$2)-1,1))
),
$E$2,
IF(
$E$3="",
EOMONTH(B83,1),
IF(
AND(
YEAR(B83)=YEAR(DATE(YEAR($E$3),MONTH($E$3)-1,1)),
MONTH(B83)=MONTH(DATE(YEAR($E$3),MONTH($E$3)-1,1))
),
$E$3,
EOMONTH(B83,1)
)))</f>
        <v>41152</v>
      </c>
      <c r="C84" s="471"/>
      <c r="D84" s="149" t="s">
        <v>104</v>
      </c>
      <c r="E84" s="271">
        <f>'CAP POST'!G83</f>
        <v>0</v>
      </c>
      <c r="F84" s="271">
        <f t="shared" si="21"/>
        <v>0</v>
      </c>
      <c r="G84" s="215">
        <v>0.20860000000000001</v>
      </c>
      <c r="H84" s="288">
        <f t="shared" si="19"/>
        <v>0.31290000000000001</v>
      </c>
      <c r="I84" s="272">
        <f t="shared" si="20"/>
        <v>7.4613693673164505E-4</v>
      </c>
      <c r="J84" s="289">
        <f>IF(OR(A84=SABANA!$C$14, D84="adicional"),0,_xlfn.DAYS(B84,A84)+1)</f>
        <v>31</v>
      </c>
      <c r="K84" s="527">
        <f t="shared" si="22"/>
        <v>0</v>
      </c>
    </row>
    <row r="85" spans="1:11" x14ac:dyDescent="0.35">
      <c r="A85" s="152">
        <f>IF(
    AND(
        YEAR(B84)=YEAR(DATE(YEAR($E$1),MONTH($E$1)-1,1)),
        MONTH(B84)=MONTH(DATE(YEAR($E$1),MONTH($E$1)-1,1))
    ),
    $E$1,
    IF(
        AND(
            YEAR(B84)=YEAR(DATE(YEAR($K$1),MONTH($K$1)-1,1)),
            MONTH(B84)=MONTH(DATE(YEAR($K$1),MONTH($K$1)-1,1))
        ),
        $K$1,
        IF(
            $E$4="",
            DATE(YEAR(B84),MONTH(B84)+1,1),
            IF(
                AND(
                    YEAR(B84)=YEAR(DATE(YEAR($E$4),MONTH($E$4)-1,1)),
                    MONTH(B84)=MONTH(DATE(YEAR($E$4),MONTH($E$4)-1,1))
                ),
                $E$4,
                DATE(YEAR(B84),MONTH(B84)+1,1)
            )
        )
    )
)</f>
        <v>41153</v>
      </c>
      <c r="B85" s="152">
        <f>IF(
AND(
YEAR(B84)=YEAR(DATE(YEAR($E$2),MONTH($E$2)-1,1)),
MONTH(B84)=MONTH(DATE(YEAR($E$2),MONTH($E$2)-1,1))
),
$E$2,
IF(
$E$3="",
EOMONTH(B84,1),
IF(
AND(
YEAR(B84)=YEAR(DATE(YEAR($E$3),MONTH($E$3)-1,1)),
MONTH(B84)=MONTH(DATE(YEAR($E$3),MONTH($E$3)-1,1))
),
$E$3,
EOMONTH(B84,1)
)))</f>
        <v>41182</v>
      </c>
      <c r="C85" s="471"/>
      <c r="D85" s="149" t="s">
        <v>105</v>
      </c>
      <c r="E85" s="271">
        <f>'CAP POST'!G84</f>
        <v>0</v>
      </c>
      <c r="F85" s="271">
        <f t="shared" si="21"/>
        <v>0</v>
      </c>
      <c r="G85" s="215">
        <v>0.20860000000000001</v>
      </c>
      <c r="H85" s="288">
        <f t="shared" si="19"/>
        <v>0.31290000000000001</v>
      </c>
      <c r="I85" s="272">
        <f t="shared" si="20"/>
        <v>7.4613693673164505E-4</v>
      </c>
      <c r="J85" s="289">
        <f>IF(OR(A85=SABANA!$C$14, D85="adicional"),0,_xlfn.DAYS(B85,A85)+1)</f>
        <v>30</v>
      </c>
      <c r="K85" s="527">
        <f t="shared" si="22"/>
        <v>0</v>
      </c>
    </row>
    <row r="86" spans="1:11" x14ac:dyDescent="0.35">
      <c r="A86" s="152">
        <f>IF(
    AND(
        YEAR(B85)=YEAR(DATE(YEAR($E$1),MONTH($E$1)-1,1)),
        MONTH(B85)=MONTH(DATE(YEAR($E$1),MONTH($E$1)-1,1))
    ),
    $E$1,
    IF(
        AND(
            YEAR(B85)=YEAR(DATE(YEAR($K$1),MONTH($K$1)-1,1)),
            MONTH(B85)=MONTH(DATE(YEAR($K$1),MONTH($K$1)-1,1))
        ),
        $K$1,
        IF(
            $E$4="",
            DATE(YEAR(B85),MONTH(B85)+1,1),
            IF(
                AND(
                    YEAR(B85)=YEAR(DATE(YEAR($E$4),MONTH($E$4)-1,1)),
                    MONTH(B85)=MONTH(DATE(YEAR($E$4),MONTH($E$4)-1,1))
                ),
                $E$4,
                DATE(YEAR(B85),MONTH(B85)+1,1)
            )
        )
    )
)</f>
        <v>41183</v>
      </c>
      <c r="B86" s="152">
        <f>IF(
AND(
YEAR(B85)=YEAR(DATE(YEAR($E$2),MONTH($E$2)-1,1)),
MONTH(B85)=MONTH(DATE(YEAR($E$2),MONTH($E$2)-1,1))
),
$E$2,
IF(
$E$3="",
EOMONTH(B85,1),
IF(
AND(
YEAR(B85)=YEAR(DATE(YEAR($E$3),MONTH($E$3)-1,1)),
MONTH(B85)=MONTH(DATE(YEAR($E$3),MONTH($E$3)-1,1))
),
$E$3,
EOMONTH(B85,1)
)))</f>
        <v>41213</v>
      </c>
      <c r="C86" s="471"/>
      <c r="D86" s="149" t="s">
        <v>106</v>
      </c>
      <c r="E86" s="271">
        <f>'CAP POST'!G85</f>
        <v>0</v>
      </c>
      <c r="F86" s="271">
        <f t="shared" si="21"/>
        <v>0</v>
      </c>
      <c r="G86" s="215">
        <v>0.2089</v>
      </c>
      <c r="H86" s="288">
        <f t="shared" si="19"/>
        <v>0.31335000000000002</v>
      </c>
      <c r="I86" s="272">
        <f t="shared" si="20"/>
        <v>7.470765252692857E-4</v>
      </c>
      <c r="J86" s="289">
        <f>IF(OR(A86=SABANA!$C$14, D86="adicional"),0,_xlfn.DAYS(B86,A86)+1)</f>
        <v>31</v>
      </c>
      <c r="K86" s="527">
        <f t="shared" si="22"/>
        <v>0</v>
      </c>
    </row>
    <row r="87" spans="1:11" x14ac:dyDescent="0.35">
      <c r="A87" s="152">
        <f>IF(
    AND(
        YEAR(B86)=YEAR(DATE(YEAR($E$1),MONTH($E$1)-1,1)),
        MONTH(B86)=MONTH(DATE(YEAR($E$1),MONTH($E$1)-1,1))
    ),
    $E$1,
    IF(
        AND(
            YEAR(B86)=YEAR(DATE(YEAR($K$1),MONTH($K$1)-1,1)),
            MONTH(B86)=MONTH(DATE(YEAR($K$1),MONTH($K$1)-1,1))
        ),
        $K$1,
        IF(
            $E$4="",
            DATE(YEAR(B86),MONTH(B86)+1,1),
            IF(
                AND(
                    YEAR(B86)=YEAR(DATE(YEAR($E$4),MONTH($E$4)-1,1)),
                    MONTH(B86)=MONTH(DATE(YEAR($E$4),MONTH($E$4)-1,1))
                ),
                $E$4,
                DATE(YEAR(B86),MONTH(B86)+1,1)
            )
        )
    )
)</f>
        <v>41214</v>
      </c>
      <c r="B87" s="152">
        <f>IF(
AND(
YEAR(B86)=YEAR(DATE(YEAR($E$2),MONTH($E$2)-1,1)),
MONTH(B86)=MONTH(DATE(YEAR($E$2),MONTH($E$2)-1,1))
),
$E$2,
IF(
$E$3="",
EOMONTH(B86,1),
IF(
AND(
YEAR(B86)=YEAR(DATE(YEAR($E$3),MONTH($E$3)-1,1)),
MONTH(B86)=MONTH(DATE(YEAR($E$3),MONTH($E$3)-1,1))
),
$E$3,
EOMONTH(B86,1)
)))</f>
        <v>41243</v>
      </c>
      <c r="C87" s="471"/>
      <c r="D87" s="149" t="s">
        <v>107</v>
      </c>
      <c r="E87" s="271">
        <f>'CAP POST'!G86</f>
        <v>0</v>
      </c>
      <c r="F87" s="271">
        <f t="shared" si="21"/>
        <v>0</v>
      </c>
      <c r="G87" s="215">
        <v>0.2089</v>
      </c>
      <c r="H87" s="288">
        <f>G87*1.5</f>
        <v>0.31335000000000002</v>
      </c>
      <c r="I87" s="272">
        <f t="shared" si="20"/>
        <v>7.470765252692857E-4</v>
      </c>
      <c r="J87" s="289">
        <f>IF(OR(A87=SABANA!$C$14, D87="adicional"),0,_xlfn.DAYS(B87,A87)+1)</f>
        <v>30</v>
      </c>
      <c r="K87" s="527">
        <f t="shared" si="22"/>
        <v>0</v>
      </c>
    </row>
    <row r="88" spans="1:11" x14ac:dyDescent="0.35">
      <c r="A88" s="156">
        <f t="shared" ref="A88" si="29">A87</f>
        <v>41214</v>
      </c>
      <c r="B88" s="156">
        <f t="shared" ref="B88" si="30">B87</f>
        <v>41243</v>
      </c>
      <c r="C88" s="471"/>
      <c r="D88" s="157" t="s">
        <v>101</v>
      </c>
      <c r="E88" s="274">
        <f>'CAP POST'!G87</f>
        <v>0</v>
      </c>
      <c r="F88" s="271">
        <f t="shared" si="21"/>
        <v>0</v>
      </c>
      <c r="G88" s="275"/>
      <c r="H88" s="292"/>
      <c r="I88" s="276">
        <f t="shared" si="20"/>
        <v>0</v>
      </c>
      <c r="J88" s="289">
        <f>IF(OR(A88=SABANA!$C$14, D88="adicional"),0,_xlfn.DAYS(B88,A88)+1)</f>
        <v>0</v>
      </c>
      <c r="K88" s="527">
        <f t="shared" si="22"/>
        <v>0</v>
      </c>
    </row>
    <row r="89" spans="1:11" x14ac:dyDescent="0.35">
      <c r="A89" s="152">
        <f>IF(
    AND(
        YEAR(B87)=YEAR(DATE(YEAR($E$1),MONTH($E$1)-1,1)),
        MONTH(B87)=MONTH(DATE(YEAR($E$1),MONTH($E$1)-1,1))
    ),
    $E$1,
    IF(
        AND(
            YEAR(B87)=YEAR(DATE(YEAR($K$1),MONTH($K$1)-1,1)),
            MONTH(B87)=MONTH(DATE(YEAR($K$1),MONTH($K$1)-1,1))
        ),
        $K$1,
        IF(
            $E$4="",
            DATE(YEAR(B87),MONTH(B87)+1,1),
            IF(
                AND(
                    YEAR(B87)=YEAR(DATE(YEAR($E$4),MONTH($E$4)-1,1)),
                    MONTH(B87)=MONTH(DATE(YEAR($E$4),MONTH($E$4)-1,1))
                ),
                $E$4,
                DATE(YEAR(B87),MONTH(B87)+1,1)
            )
        )
    )
)</f>
        <v>41244</v>
      </c>
      <c r="B89" s="152">
        <f>IF(
AND(
YEAR(B87)=YEAR(DATE(YEAR($E$2),MONTH($E$2)-1,1)),
MONTH(B87)=MONTH(DATE(YEAR($E$2),MONTH($E$2)-1,1))
),
$E$2,
IF(
$E$3="",
EOMONTH(B87,1),
IF(
AND(
YEAR(B87)=YEAR(DATE(YEAR($E$3),MONTH($E$3)-1,1)),
MONTH(B87)=MONTH(DATE(YEAR($E$3),MONTH($E$3)-1,1))
),
$E$3,
EOMONTH(B87,1)
)))</f>
        <v>41274</v>
      </c>
      <c r="C89" s="472"/>
      <c r="D89" s="149" t="s">
        <v>108</v>
      </c>
      <c r="E89" s="271">
        <f>'CAP POST'!G88</f>
        <v>0</v>
      </c>
      <c r="F89" s="271">
        <f t="shared" si="21"/>
        <v>0</v>
      </c>
      <c r="G89" s="215">
        <v>0.2089</v>
      </c>
      <c r="H89" s="288">
        <f t="shared" si="19"/>
        <v>0.31335000000000002</v>
      </c>
      <c r="I89" s="272">
        <f t="shared" si="20"/>
        <v>7.470765252692857E-4</v>
      </c>
      <c r="J89" s="289">
        <f>IF(OR(A89=SABANA!$C$14, D89="adicional"),0,_xlfn.DAYS(B89,A89)+1)</f>
        <v>31</v>
      </c>
      <c r="K89" s="527">
        <f t="shared" ref="K89" si="31">IF(AND(OR(A89&gt;=$E$4,B89&lt;=$E$3), AND(A88&gt;=$E$1,B88&lt;$E$2)),(F87*I89*H89),0)</f>
        <v>0</v>
      </c>
    </row>
    <row r="90" spans="1:11" x14ac:dyDescent="0.35">
      <c r="A90" s="152">
        <f>IF(
    AND(
        YEAR(B89)=YEAR(DATE(YEAR($E$1),MONTH($E$1)-1,1)),
        MONTH(B89)=MONTH(DATE(YEAR($E$1),MONTH($E$1)-1,1))
    ),
    $E$1,
    IF(
        AND(
            YEAR(B89)=YEAR(DATE(YEAR($K$1),MONTH($K$1)-1,1)),
            MONTH(B89)=MONTH(DATE(YEAR($K$1),MONTH($K$1)-1,1))
        ),
        $K$1,
        IF(
            $E$4="",
            DATE(YEAR(B89),MONTH(B89)+1,1),
            IF(
                AND(
                    YEAR(B89)=YEAR(DATE(YEAR($E$4),MONTH($E$4)-1,1)),
                    MONTH(B89)=MONTH(DATE(YEAR($E$4),MONTH($E$4)-1,1))
                ),
                $E$4,
                DATE(YEAR(B89),MONTH(B89)+1,1)
            )
        )
    )
)</f>
        <v>41275</v>
      </c>
      <c r="B90" s="152">
        <f>IF(
AND(
YEAR(B89)=YEAR(DATE(YEAR($E$2),MONTH($E$2)-1,1)),
MONTH(B89)=MONTH(DATE(YEAR($E$2),MONTH($E$2)-1,1))
),
$E$2,
IF(
$E$3="",
EOMONTH(B89,1),
IF(
AND(
YEAR(B89)=YEAR(DATE(YEAR($E$3),MONTH($E$3)-1,1)),
MONTH(B89)=MONTH(DATE(YEAR($E$3),MONTH($E$3)-1,1))
),
$E$3,
EOMONTH(B89,1)
)))</f>
        <v>41305</v>
      </c>
      <c r="C90" s="468">
        <v>2013</v>
      </c>
      <c r="D90" s="149" t="s">
        <v>96</v>
      </c>
      <c r="E90" s="271">
        <f>'CAP POST'!G89</f>
        <v>0</v>
      </c>
      <c r="F90" s="271">
        <f t="shared" si="21"/>
        <v>0</v>
      </c>
      <c r="G90" s="215">
        <v>0.20749999999999999</v>
      </c>
      <c r="H90" s="288">
        <f t="shared" si="19"/>
        <v>0.31124999999999997</v>
      </c>
      <c r="I90" s="272">
        <f t="shared" si="20"/>
        <v>7.4268902887886235E-4</v>
      </c>
      <c r="J90" s="289">
        <f>IF(OR(A90=SABANA!$C$14, D90="adicional"),0,_xlfn.DAYS(B90,A90)+1)</f>
        <v>31</v>
      </c>
      <c r="K90" s="527">
        <f t="shared" si="22"/>
        <v>0</v>
      </c>
    </row>
    <row r="91" spans="1:11" x14ac:dyDescent="0.35">
      <c r="A91" s="152">
        <f>IF(
    AND(
        YEAR(B90)=YEAR(DATE(YEAR($E$1),MONTH($E$1)-1,1)),
        MONTH(B90)=MONTH(DATE(YEAR($E$1),MONTH($E$1)-1,1))
    ),
    $E$1,
    IF(
        AND(
            YEAR(B90)=YEAR(DATE(YEAR($K$1),MONTH($K$1)-1,1)),
            MONTH(B90)=MONTH(DATE(YEAR($K$1),MONTH($K$1)-1,1))
        ),
        $K$1,
        IF(
            $E$4="",
            DATE(YEAR(B90),MONTH(B90)+1,1),
            IF(
                AND(
                    YEAR(B90)=YEAR(DATE(YEAR($E$4),MONTH($E$4)-1,1)),
                    MONTH(B90)=MONTH(DATE(YEAR($E$4),MONTH($E$4)-1,1))
                ),
                $E$4,
                DATE(YEAR(B90),MONTH(B90)+1,1)
            )
        )
    )
)</f>
        <v>41306</v>
      </c>
      <c r="B91" s="152">
        <f>IF(
AND(
YEAR(B90)=YEAR(DATE(YEAR($E$2),MONTH($E$2)-1,1)),
MONTH(B90)=MONTH(DATE(YEAR($E$2),MONTH($E$2)-1,1))
),
$E$2,
IF(
$E$3="",
EOMONTH(B90,1),
IF(
AND(
YEAR(B90)=YEAR(DATE(YEAR($E$3),MONTH($E$3)-1,1)),
MONTH(B90)=MONTH(DATE(YEAR($E$3),MONTH($E$3)-1,1))
),
$E$3,
EOMONTH(B90,1)
)))</f>
        <v>41333</v>
      </c>
      <c r="C91" s="471"/>
      <c r="D91" s="149" t="s">
        <v>97</v>
      </c>
      <c r="E91" s="271">
        <f>'CAP POST'!G90</f>
        <v>0</v>
      </c>
      <c r="F91" s="271">
        <f t="shared" si="21"/>
        <v>0</v>
      </c>
      <c r="G91" s="215">
        <v>0.20749999999999999</v>
      </c>
      <c r="H91" s="288">
        <f t="shared" si="19"/>
        <v>0.31124999999999997</v>
      </c>
      <c r="I91" s="272">
        <f t="shared" si="20"/>
        <v>7.4268902887886235E-4</v>
      </c>
      <c r="J91" s="289">
        <f>IF(OR(A91=SABANA!$C$14, D91="adicional"),0,_xlfn.DAYS(B91,A91)+1)</f>
        <v>28</v>
      </c>
      <c r="K91" s="527">
        <f t="shared" si="22"/>
        <v>0</v>
      </c>
    </row>
    <row r="92" spans="1:11" x14ac:dyDescent="0.35">
      <c r="A92" s="152">
        <f>IF(
    AND(
        YEAR(B91)=YEAR(DATE(YEAR($E$1),MONTH($E$1)-1,1)),
        MONTH(B91)=MONTH(DATE(YEAR($E$1),MONTH($E$1)-1,1))
    ),
    $E$1,
    IF(
        AND(
            YEAR(B91)=YEAR(DATE(YEAR($K$1),MONTH($K$1)-1,1)),
            MONTH(B91)=MONTH(DATE(YEAR($K$1),MONTH($K$1)-1,1))
        ),
        $K$1,
        IF(
            $E$4="",
            DATE(YEAR(B91),MONTH(B91)+1,1),
            IF(
                AND(
                    YEAR(B91)=YEAR(DATE(YEAR($E$4),MONTH($E$4)-1,1)),
                    MONTH(B91)=MONTH(DATE(YEAR($E$4),MONTH($E$4)-1,1))
                ),
                $E$4,
                DATE(YEAR(B91),MONTH(B91)+1,1)
            )
        )
    )
)</f>
        <v>41334</v>
      </c>
      <c r="B92" s="152">
        <f>IF(
AND(
YEAR(B91)=YEAR(DATE(YEAR($E$2),MONTH($E$2)-1,1)),
MONTH(B91)=MONTH(DATE(YEAR($E$2),MONTH($E$2)-1,1))
),
$E$2,
IF(
$E$3="",
EOMONTH(B91,1),
IF(
AND(
YEAR(B91)=YEAR(DATE(YEAR($E$3),MONTH($E$3)-1,1)),
MONTH(B91)=MONTH(DATE(YEAR($E$3),MONTH($E$3)-1,1))
),
$E$3,
EOMONTH(B91,1)
)))</f>
        <v>41364</v>
      </c>
      <c r="C92" s="471"/>
      <c r="D92" s="149" t="s">
        <v>98</v>
      </c>
      <c r="E92" s="271">
        <f>'CAP POST'!G91</f>
        <v>0</v>
      </c>
      <c r="F92" s="271">
        <f t="shared" si="21"/>
        <v>0</v>
      </c>
      <c r="G92" s="215">
        <v>0.20749999999999999</v>
      </c>
      <c r="H92" s="288">
        <f t="shared" si="19"/>
        <v>0.31124999999999997</v>
      </c>
      <c r="I92" s="272">
        <f t="shared" si="20"/>
        <v>7.4268902887886235E-4</v>
      </c>
      <c r="J92" s="289">
        <f>IF(OR(A92=SABANA!$C$14, D92="adicional"),0,_xlfn.DAYS(B92,A92)+1)</f>
        <v>31</v>
      </c>
      <c r="K92" s="527">
        <f t="shared" si="22"/>
        <v>0</v>
      </c>
    </row>
    <row r="93" spans="1:11" x14ac:dyDescent="0.35">
      <c r="A93" s="152">
        <f>IF(
    AND(
        YEAR(B92)=YEAR(DATE(YEAR($E$1),MONTH($E$1)-1,1)),
        MONTH(B92)=MONTH(DATE(YEAR($E$1),MONTH($E$1)-1,1))
    ),
    $E$1,
    IF(
        AND(
            YEAR(B92)=YEAR(DATE(YEAR($K$1),MONTH($K$1)-1,1)),
            MONTH(B92)=MONTH(DATE(YEAR($K$1),MONTH($K$1)-1,1))
        ),
        $K$1,
        IF(
            $E$4="",
            DATE(YEAR(B92),MONTH(B92)+1,1),
            IF(
                AND(
                    YEAR(B92)=YEAR(DATE(YEAR($E$4),MONTH($E$4)-1,1)),
                    MONTH(B92)=MONTH(DATE(YEAR($E$4),MONTH($E$4)-1,1))
                ),
                $E$4,
                DATE(YEAR(B92),MONTH(B92)+1,1)
            )
        )
    )
)</f>
        <v>41365</v>
      </c>
      <c r="B93" s="152">
        <f>IF(
AND(
YEAR(B92)=YEAR(DATE(YEAR($E$2),MONTH($E$2)-1,1)),
MONTH(B92)=MONTH(DATE(YEAR($E$2),MONTH($E$2)-1,1))
),
$E$2,
IF(
$E$3="",
EOMONTH(B92,1),
IF(
AND(
YEAR(B92)=YEAR(DATE(YEAR($E$3),MONTH($E$3)-1,1)),
MONTH(B92)=MONTH(DATE(YEAR($E$3),MONTH($E$3)-1,1))
),
$E$3,
EOMONTH(B92,1)
)))</f>
        <v>41394</v>
      </c>
      <c r="C93" s="471"/>
      <c r="D93" s="149" t="s">
        <v>99</v>
      </c>
      <c r="E93" s="271">
        <f>'CAP POST'!G92</f>
        <v>0</v>
      </c>
      <c r="F93" s="271">
        <f t="shared" si="21"/>
        <v>0</v>
      </c>
      <c r="G93" s="215">
        <v>0.20830000000000001</v>
      </c>
      <c r="H93" s="288">
        <f t="shared" si="19"/>
        <v>0.31245000000000001</v>
      </c>
      <c r="I93" s="272">
        <f t="shared" si="20"/>
        <v>7.4519702697495305E-4</v>
      </c>
      <c r="J93" s="289">
        <f>IF(OR(A93=SABANA!$C$14, D93="adicional"),0,_xlfn.DAYS(B93,A93)+1)</f>
        <v>30</v>
      </c>
      <c r="K93" s="527">
        <f t="shared" si="22"/>
        <v>0</v>
      </c>
    </row>
    <row r="94" spans="1:11" x14ac:dyDescent="0.35">
      <c r="A94" s="152">
        <f>IF(
    AND(
        YEAR(B93)=YEAR(DATE(YEAR($E$1),MONTH($E$1)-1,1)),
        MONTH(B93)=MONTH(DATE(YEAR($E$1),MONTH($E$1)-1,1))
    ),
    $E$1,
    IF(
        AND(
            YEAR(B93)=YEAR(DATE(YEAR($K$1),MONTH($K$1)-1,1)),
            MONTH(B93)=MONTH(DATE(YEAR($K$1),MONTH($K$1)-1,1))
        ),
        $K$1,
        IF(
            $E$4="",
            DATE(YEAR(B93),MONTH(B93)+1,1),
            IF(
                AND(
                    YEAR(B93)=YEAR(DATE(YEAR($E$4),MONTH($E$4)-1,1)),
                    MONTH(B93)=MONTH(DATE(YEAR($E$4),MONTH($E$4)-1,1))
                ),
                $E$4,
                DATE(YEAR(B93),MONTH(B93)+1,1)
            )
        )
    )
)</f>
        <v>41395</v>
      </c>
      <c r="B94" s="152">
        <f>IF(
AND(
YEAR(B93)=YEAR(DATE(YEAR($E$2),MONTH($E$2)-1,1)),
MONTH(B93)=MONTH(DATE(YEAR($E$2),MONTH($E$2)-1,1))
),
$E$2,
IF(
$E$3="",
EOMONTH(B93,1),
IF(
AND(
YEAR(B93)=YEAR(DATE(YEAR($E$3),MONTH($E$3)-1,1)),
MONTH(B93)=MONTH(DATE(YEAR($E$3),MONTH($E$3)-1,1))
),
$E$3,
EOMONTH(B93,1)
)))</f>
        <v>41425</v>
      </c>
      <c r="C94" s="471"/>
      <c r="D94" s="149" t="s">
        <v>100</v>
      </c>
      <c r="E94" s="271">
        <f>'CAP POST'!G93</f>
        <v>0</v>
      </c>
      <c r="F94" s="271">
        <f t="shared" si="21"/>
        <v>0</v>
      </c>
      <c r="G94" s="215">
        <v>0.20830000000000001</v>
      </c>
      <c r="H94" s="288">
        <f t="shared" si="19"/>
        <v>0.31245000000000001</v>
      </c>
      <c r="I94" s="272">
        <f t="shared" si="20"/>
        <v>7.4519702697495305E-4</v>
      </c>
      <c r="J94" s="289">
        <f>IF(OR(A94=SABANA!$C$14, D94="adicional"),0,_xlfn.DAYS(B94,A94)+1)</f>
        <v>31</v>
      </c>
      <c r="K94" s="527">
        <f t="shared" si="22"/>
        <v>0</v>
      </c>
    </row>
    <row r="95" spans="1:11" x14ac:dyDescent="0.35">
      <c r="A95" s="156">
        <f t="shared" ref="A95" si="32">A96</f>
        <v>41426</v>
      </c>
      <c r="B95" s="156">
        <f t="shared" ref="B95" si="33">B96</f>
        <v>41455</v>
      </c>
      <c r="C95" s="471"/>
      <c r="D95" s="157" t="s">
        <v>101</v>
      </c>
      <c r="E95" s="274">
        <f>'CAP POST'!G94</f>
        <v>0</v>
      </c>
      <c r="F95" s="271">
        <f t="shared" si="21"/>
        <v>0</v>
      </c>
      <c r="G95" s="293"/>
      <c r="H95" s="294"/>
      <c r="I95" s="276">
        <f t="shared" si="20"/>
        <v>0</v>
      </c>
      <c r="J95" s="289">
        <f>IF(OR(A95=SABANA!$C$14, D95="adicional"),0,_xlfn.DAYS(B95,A95)+1)</f>
        <v>0</v>
      </c>
      <c r="K95" s="527">
        <f t="shared" si="22"/>
        <v>0</v>
      </c>
    </row>
    <row r="96" spans="1:11" x14ac:dyDescent="0.35">
      <c r="A96" s="152">
        <f>IF(
    AND(
        YEAR(B94)=YEAR(DATE(YEAR($E$1),MONTH($E$1)-1,1)),
        MONTH(B94)=MONTH(DATE(YEAR($E$1),MONTH($E$1)-1,1))
    ),
    $E$1,
    IF(
        AND(
            YEAR(B94)=YEAR(DATE(YEAR($K$1),MONTH($K$1)-1,1)),
            MONTH(B94)=MONTH(DATE(YEAR($K$1),MONTH($K$1)-1,1))
        ),
        $K$1,
        IF(
            $E$4="",
            DATE(YEAR(B94),MONTH(B94)+1,1),
            IF(
                AND(
                    YEAR(B94)=YEAR(DATE(YEAR($E$4),MONTH($E$4)-1,1)),
                    MONTH(B94)=MONTH(DATE(YEAR($E$4),MONTH($E$4)-1,1))
                ),
                $E$4,
                DATE(YEAR(B94),MONTH(B94)+1,1)
            )
        )
    )
)</f>
        <v>41426</v>
      </c>
      <c r="B96" s="152">
        <f>IF(
AND(
YEAR(B94)=YEAR(DATE(YEAR($E$2),MONTH($E$2)-1,1)),
MONTH(B94)=MONTH(DATE(YEAR($E$2),MONTH($E$2)-1,1))
),
$E$2,
IF(
$E$3="",
EOMONTH(B94,1),
IF(
AND(
YEAR(B94)=YEAR(DATE(YEAR($E$3),MONTH($E$3)-1,1)),
MONTH(B94)=MONTH(DATE(YEAR($E$3),MONTH($E$3)-1,1))
),
$E$3,
EOMONTH(B94,1)
)))</f>
        <v>41455</v>
      </c>
      <c r="C96" s="471"/>
      <c r="D96" s="149" t="s">
        <v>102</v>
      </c>
      <c r="E96" s="271">
        <f>'CAP POST'!G95</f>
        <v>0</v>
      </c>
      <c r="F96" s="271">
        <f t="shared" si="21"/>
        <v>0</v>
      </c>
      <c r="G96" s="215">
        <v>0.20830000000000001</v>
      </c>
      <c r="H96" s="288">
        <f>G96*1.5</f>
        <v>0.31245000000000001</v>
      </c>
      <c r="I96" s="272">
        <f t="shared" si="20"/>
        <v>7.4519702697495305E-4</v>
      </c>
      <c r="J96" s="289">
        <f>IF(OR(A96=SABANA!$C$14, D96="adicional"),0,_xlfn.DAYS(B96,A96)+1)</f>
        <v>30</v>
      </c>
      <c r="K96" s="527">
        <f t="shared" ref="K96" si="34">IF(AND(OR(A96&gt;=$E$4,B96&lt;=$E$3), AND(A95&gt;=$E$1,B95&lt;$E$2)),(F94*I96*H96),0)</f>
        <v>0</v>
      </c>
    </row>
    <row r="97" spans="1:13" x14ac:dyDescent="0.35">
      <c r="A97" s="152">
        <f>IF(
    AND(
        YEAR(B96)=YEAR(DATE(YEAR($E$1),MONTH($E$1)-1,1)),
        MONTH(B96)=MONTH(DATE(YEAR($E$1),MONTH($E$1)-1,1))
    ),
    $E$1,
    IF(
        AND(
            YEAR(B96)=YEAR(DATE(YEAR($K$1),MONTH($K$1)-1,1)),
            MONTH(B96)=MONTH(DATE(YEAR($K$1),MONTH($K$1)-1,1))
        ),
        $K$1,
        IF(
            $E$4="",
            DATE(YEAR(B96),MONTH(B96)+1,1),
            IF(
                AND(
                    YEAR(B96)=YEAR(DATE(YEAR($E$4),MONTH($E$4)-1,1)),
                    MONTH(B96)=MONTH(DATE(YEAR($E$4),MONTH($E$4)-1,1))
                ),
                $E$4,
                DATE(YEAR(B96),MONTH(B96)+1,1)
            )
        )
    )
)</f>
        <v>41456</v>
      </c>
      <c r="B97" s="152">
        <f>IF(
AND(
YEAR(B96)=YEAR(DATE(YEAR($E$2),MONTH($E$2)-1,1)),
MONTH(B96)=MONTH(DATE(YEAR($E$2),MONTH($E$2)-1,1))
),
$E$2,
IF(
$E$3="",
EOMONTH(B96,1),
IF(
AND(
YEAR(B96)=YEAR(DATE(YEAR($E$3),MONTH($E$3)-1,1)),
MONTH(B96)=MONTH(DATE(YEAR($E$3),MONTH($E$3)-1,1))
),
$E$3,
EOMONTH(B96,1)
)))</f>
        <v>41486</v>
      </c>
      <c r="C97" s="471"/>
      <c r="D97" s="149" t="s">
        <v>103</v>
      </c>
      <c r="E97" s="271">
        <f>'CAP POST'!G96</f>
        <v>0</v>
      </c>
      <c r="F97" s="271">
        <f t="shared" si="21"/>
        <v>0</v>
      </c>
      <c r="G97" s="215">
        <v>0.2034</v>
      </c>
      <c r="H97" s="288">
        <f t="shared" si="19"/>
        <v>0.30509999999999998</v>
      </c>
      <c r="I97" s="272">
        <f t="shared" si="20"/>
        <v>7.29799506196116E-4</v>
      </c>
      <c r="J97" s="289">
        <f>IF(OR(A97=SABANA!$C$14, D97="adicional"),0,_xlfn.DAYS(B97,A97)+1)</f>
        <v>31</v>
      </c>
      <c r="K97" s="527">
        <f t="shared" si="22"/>
        <v>0</v>
      </c>
    </row>
    <row r="98" spans="1:13" x14ac:dyDescent="0.35">
      <c r="A98" s="152">
        <f>IF(
    AND(
        YEAR(B97)=YEAR(DATE(YEAR($E$1),MONTH($E$1)-1,1)),
        MONTH(B97)=MONTH(DATE(YEAR($E$1),MONTH($E$1)-1,1))
    ),
    $E$1,
    IF(
        AND(
            YEAR(B97)=YEAR(DATE(YEAR($K$1),MONTH($K$1)-1,1)),
            MONTH(B97)=MONTH(DATE(YEAR($K$1),MONTH($K$1)-1,1))
        ),
        $K$1,
        IF(
            $E$4="",
            DATE(YEAR(B97),MONTH(B97)+1,1),
            IF(
                AND(
                    YEAR(B97)=YEAR(DATE(YEAR($E$4),MONTH($E$4)-1,1)),
                    MONTH(B97)=MONTH(DATE(YEAR($E$4),MONTH($E$4)-1,1))
                ),
                $E$4,
                DATE(YEAR(B97),MONTH(B97)+1,1)
            )
        )
    )
)</f>
        <v>41487</v>
      </c>
      <c r="B98" s="152">
        <f>IF(
AND(
YEAR(B97)=YEAR(DATE(YEAR($E$2),MONTH($E$2)-1,1)),
MONTH(B97)=MONTH(DATE(YEAR($E$2),MONTH($E$2)-1,1))
),
$E$2,
IF(
$E$3="",
EOMONTH(B97,1),
IF(
AND(
YEAR(B97)=YEAR(DATE(YEAR($E$3),MONTH($E$3)-1,1)),
MONTH(B97)=MONTH(DATE(YEAR($E$3),MONTH($E$3)-1,1))
),
$E$3,
EOMONTH(B97,1)
)))</f>
        <v>41517</v>
      </c>
      <c r="C98" s="471"/>
      <c r="D98" s="149" t="s">
        <v>104</v>
      </c>
      <c r="E98" s="271">
        <f>'CAP POST'!G97</f>
        <v>0</v>
      </c>
      <c r="F98" s="271">
        <f t="shared" si="21"/>
        <v>0</v>
      </c>
      <c r="G98" s="215">
        <v>0.2034</v>
      </c>
      <c r="H98" s="288">
        <f t="shared" si="19"/>
        <v>0.30509999999999998</v>
      </c>
      <c r="I98" s="272">
        <f t="shared" si="20"/>
        <v>7.29799506196116E-4</v>
      </c>
      <c r="J98" s="289">
        <f>IF(OR(A98=SABANA!$C$14, D98="adicional"),0,_xlfn.DAYS(B98,A98)+1)</f>
        <v>31</v>
      </c>
      <c r="K98" s="527">
        <f t="shared" si="22"/>
        <v>0</v>
      </c>
    </row>
    <row r="99" spans="1:13" x14ac:dyDescent="0.35">
      <c r="A99" s="152">
        <f>IF(
    AND(
        YEAR(B98)=YEAR(DATE(YEAR($E$1),MONTH($E$1)-1,1)),
        MONTH(B98)=MONTH(DATE(YEAR($E$1),MONTH($E$1)-1,1))
    ),
    $E$1,
    IF(
        AND(
            YEAR(B98)=YEAR(DATE(YEAR($K$1),MONTH($K$1)-1,1)),
            MONTH(B98)=MONTH(DATE(YEAR($K$1),MONTH($K$1)-1,1))
        ),
        $K$1,
        IF(
            $E$4="",
            DATE(YEAR(B98),MONTH(B98)+1,1),
            IF(
                AND(
                    YEAR(B98)=YEAR(DATE(YEAR($E$4),MONTH($E$4)-1,1)),
                    MONTH(B98)=MONTH(DATE(YEAR($E$4),MONTH($E$4)-1,1))
                ),
                $E$4,
                DATE(YEAR(B98),MONTH(B98)+1,1)
            )
        )
    )
)</f>
        <v>41518</v>
      </c>
      <c r="B99" s="152">
        <f>IF(
AND(
YEAR(B98)=YEAR(DATE(YEAR($E$2),MONTH($E$2)-1,1)),
MONTH(B98)=MONTH(DATE(YEAR($E$2),MONTH($E$2)-1,1))
),
$E$2,
IF(
$E$3="",
EOMONTH(B98,1),
IF(
AND(
YEAR(B98)=YEAR(DATE(YEAR($E$3),MONTH($E$3)-1,1)),
MONTH(B98)=MONTH(DATE(YEAR($E$3),MONTH($E$3)-1,1))
),
$E$3,
EOMONTH(B98,1)
)))</f>
        <v>41547</v>
      </c>
      <c r="C99" s="471"/>
      <c r="D99" s="149" t="s">
        <v>105</v>
      </c>
      <c r="E99" s="271">
        <f>'CAP POST'!G98</f>
        <v>0</v>
      </c>
      <c r="F99" s="271">
        <f t="shared" si="21"/>
        <v>0</v>
      </c>
      <c r="G99" s="215">
        <v>0.2034</v>
      </c>
      <c r="H99" s="288">
        <f t="shared" si="19"/>
        <v>0.30509999999999998</v>
      </c>
      <c r="I99" s="272">
        <f t="shared" si="20"/>
        <v>7.29799506196116E-4</v>
      </c>
      <c r="J99" s="289">
        <f>IF(OR(A99=SABANA!$C$14, D99="adicional"),0,_xlfn.DAYS(B99,A99)+1)</f>
        <v>30</v>
      </c>
      <c r="K99" s="527">
        <f t="shared" si="22"/>
        <v>0</v>
      </c>
    </row>
    <row r="100" spans="1:13" x14ac:dyDescent="0.35">
      <c r="A100" s="152">
        <f>IF(
    AND(
        YEAR(B99)=YEAR(DATE(YEAR($E$1),MONTH($E$1)-1,1)),
        MONTH(B99)=MONTH(DATE(YEAR($E$1),MONTH($E$1)-1,1))
    ),
    $E$1,
    IF(
        AND(
            YEAR(B99)=YEAR(DATE(YEAR($K$1),MONTH($K$1)-1,1)),
            MONTH(B99)=MONTH(DATE(YEAR($K$1),MONTH($K$1)-1,1))
        ),
        $K$1,
        IF(
            $E$4="",
            DATE(YEAR(B99),MONTH(B99)+1,1),
            IF(
                AND(
                    YEAR(B99)=YEAR(DATE(YEAR($E$4),MONTH($E$4)-1,1)),
                    MONTH(B99)=MONTH(DATE(YEAR($E$4),MONTH($E$4)-1,1))
                ),
                $E$4,
                DATE(YEAR(B99),MONTH(B99)+1,1)
            )
        )
    )
)</f>
        <v>41548</v>
      </c>
      <c r="B100" s="152">
        <f>IF(
AND(
YEAR(B99)=YEAR(DATE(YEAR($E$2),MONTH($E$2)-1,1)),
MONTH(B99)=MONTH(DATE(YEAR($E$2),MONTH($E$2)-1,1))
),
$E$2,
IF(
$E$3="",
EOMONTH(B99,1),
IF(
AND(
YEAR(B99)=YEAR(DATE(YEAR($E$3),MONTH($E$3)-1,1)),
MONTH(B99)=MONTH(DATE(YEAR($E$3),MONTH($E$3)-1,1))
),
$E$3,
EOMONTH(B99,1)
)))</f>
        <v>41578</v>
      </c>
      <c r="C100" s="471"/>
      <c r="D100" s="149" t="s">
        <v>106</v>
      </c>
      <c r="E100" s="271">
        <f>'CAP POST'!G99</f>
        <v>0</v>
      </c>
      <c r="F100" s="271">
        <f t="shared" si="21"/>
        <v>0</v>
      </c>
      <c r="G100" s="215">
        <v>0.19850000000000001</v>
      </c>
      <c r="H100" s="288">
        <f t="shared" si="19"/>
        <v>0.29775000000000001</v>
      </c>
      <c r="I100" s="272">
        <f t="shared" si="20"/>
        <v>7.1431526398191281E-4</v>
      </c>
      <c r="J100" s="289">
        <f>IF(OR(A100=SABANA!$C$14, D100="adicional"),0,_xlfn.DAYS(B100,A100)+1)</f>
        <v>31</v>
      </c>
      <c r="K100" s="527">
        <f t="shared" si="22"/>
        <v>0</v>
      </c>
    </row>
    <row r="101" spans="1:13" x14ac:dyDescent="0.35">
      <c r="A101" s="152">
        <f>IF(
    AND(
        YEAR(B100)=YEAR(DATE(YEAR($E$1),MONTH($E$1)-1,1)),
        MONTH(B100)=MONTH(DATE(YEAR($E$1),MONTH($E$1)-1,1))
    ),
    $E$1,
    IF(
        AND(
            YEAR(B100)=YEAR(DATE(YEAR($K$1),MONTH($K$1)-1,1)),
            MONTH(B100)=MONTH(DATE(YEAR($K$1),MONTH($K$1)-1,1))
        ),
        $K$1,
        IF(
            $E$4="",
            DATE(YEAR(B100),MONTH(B100)+1,1),
            IF(
                AND(
                    YEAR(B100)=YEAR(DATE(YEAR($E$4),MONTH($E$4)-1,1)),
                    MONTH(B100)=MONTH(DATE(YEAR($E$4),MONTH($E$4)-1,1))
                ),
                $E$4,
                DATE(YEAR(B100),MONTH(B100)+1,1)
            )
        )
    )
)</f>
        <v>41579</v>
      </c>
      <c r="B101" s="152">
        <f>IF(
AND(
YEAR(B100)=YEAR(DATE(YEAR($E$2),MONTH($E$2)-1,1)),
MONTH(B100)=MONTH(DATE(YEAR($E$2),MONTH($E$2)-1,1))
),
$E$2,
IF(
$E$3="",
EOMONTH(B100,1),
IF(
AND(
YEAR(B100)=YEAR(DATE(YEAR($E$3),MONTH($E$3)-1,1)),
MONTH(B100)=MONTH(DATE(YEAR($E$3),MONTH($E$3)-1,1))
),
$E$3,
EOMONTH(B100,1)
)))</f>
        <v>41608</v>
      </c>
      <c r="C101" s="471"/>
      <c r="D101" s="149" t="s">
        <v>107</v>
      </c>
      <c r="E101" s="271">
        <f>'CAP POST'!G100</f>
        <v>0</v>
      </c>
      <c r="F101" s="271">
        <f t="shared" si="21"/>
        <v>0</v>
      </c>
      <c r="G101" s="215">
        <v>0.19850000000000001</v>
      </c>
      <c r="H101" s="288">
        <f t="shared" si="19"/>
        <v>0.29775000000000001</v>
      </c>
      <c r="I101" s="272">
        <f t="shared" si="20"/>
        <v>7.1431526398191281E-4</v>
      </c>
      <c r="J101" s="289">
        <f>IF(OR(A101=SABANA!$C$14, D101="adicional"),0,_xlfn.DAYS(B101,A101)+1)</f>
        <v>30</v>
      </c>
      <c r="K101" s="527">
        <f t="shared" si="22"/>
        <v>0</v>
      </c>
    </row>
    <row r="102" spans="1:13" x14ac:dyDescent="0.35">
      <c r="A102" s="156">
        <f t="shared" ref="A102" si="35">A101</f>
        <v>41579</v>
      </c>
      <c r="B102" s="156">
        <f t="shared" ref="B102" si="36">B101</f>
        <v>41608</v>
      </c>
      <c r="C102" s="471"/>
      <c r="D102" s="157" t="s">
        <v>101</v>
      </c>
      <c r="E102" s="274">
        <f>'CAP POST'!G101</f>
        <v>0</v>
      </c>
      <c r="F102" s="271">
        <f t="shared" si="21"/>
        <v>0</v>
      </c>
      <c r="G102" s="275"/>
      <c r="H102" s="292"/>
      <c r="I102" s="276">
        <f t="shared" si="20"/>
        <v>0</v>
      </c>
      <c r="J102" s="289">
        <f>IF(OR(A102=SABANA!$C$14, D102="adicional"),0,_xlfn.DAYS(B102,A102)+1)</f>
        <v>0</v>
      </c>
      <c r="K102" s="527">
        <f t="shared" si="22"/>
        <v>0</v>
      </c>
    </row>
    <row r="103" spans="1:13" x14ac:dyDescent="0.35">
      <c r="A103" s="152">
        <f>IF(
    AND(
        YEAR(B101)=YEAR(DATE(YEAR($E$1),MONTH($E$1)-1,1)),
        MONTH(B101)=MONTH(DATE(YEAR($E$1),MONTH($E$1)-1,1))
    ),
    $E$1,
    IF(
        AND(
            YEAR(B101)=YEAR(DATE(YEAR($K$1),MONTH($K$1)-1,1)),
            MONTH(B101)=MONTH(DATE(YEAR($K$1),MONTH($K$1)-1,1))
        ),
        $K$1,
        IF(
            $E$4="",
            DATE(YEAR(B101),MONTH(B101)+1,1),
            IF(
                AND(
                    YEAR(B101)=YEAR(DATE(YEAR($E$4),MONTH($E$4)-1,1)),
                    MONTH(B101)=MONTH(DATE(YEAR($E$4),MONTH($E$4)-1,1))
                ),
                $E$4,
                DATE(YEAR(B101),MONTH(B101)+1,1)
            )
        )
    )
)</f>
        <v>41609</v>
      </c>
      <c r="B103" s="152">
        <f>IF(
AND(
YEAR(B101)=YEAR(DATE(YEAR($E$2),MONTH($E$2)-1,1)),
MONTH(B101)=MONTH(DATE(YEAR($E$2),MONTH($E$2)-1,1))
),
$E$2,
IF(
$E$3="",
EOMONTH(B101,1),
IF(
AND(
YEAR(B101)=YEAR(DATE(YEAR($E$3),MONTH($E$3)-1,1)),
MONTH(B101)=MONTH(DATE(YEAR($E$3),MONTH($E$3)-1,1))
),
$E$3,
EOMONTH(B101,1)
)))</f>
        <v>41639</v>
      </c>
      <c r="C103" s="472"/>
      <c r="D103" s="149" t="s">
        <v>108</v>
      </c>
      <c r="E103" s="271">
        <f>'CAP POST'!G102</f>
        <v>0</v>
      </c>
      <c r="F103" s="271">
        <f t="shared" si="21"/>
        <v>0</v>
      </c>
      <c r="G103" s="215">
        <v>0.19850000000000001</v>
      </c>
      <c r="H103" s="288">
        <f t="shared" si="19"/>
        <v>0.29775000000000001</v>
      </c>
      <c r="I103" s="272">
        <f t="shared" si="20"/>
        <v>7.1431526398191281E-4</v>
      </c>
      <c r="J103" s="289">
        <f>IF(OR(A103=SABANA!$C$14, D103="adicional"),0,_xlfn.DAYS(B103,A103)+1)</f>
        <v>31</v>
      </c>
      <c r="K103" s="527">
        <f t="shared" ref="K103" si="37">IF(AND(OR(A103&gt;=$E$4,B103&lt;=$E$3), AND(A102&gt;=$E$1,B102&lt;$E$2)),(F101*I103*H103),0)</f>
        <v>0</v>
      </c>
    </row>
    <row r="104" spans="1:13" x14ac:dyDescent="0.35">
      <c r="A104" s="152">
        <f>IF(
    AND(
        YEAR(B103)=YEAR(DATE(YEAR($E$1),MONTH($E$1)-1,1)),
        MONTH(B103)=MONTH(DATE(YEAR($E$1),MONTH($E$1)-1,1))
    ),
    $E$1,
    IF(
        AND(
            YEAR(B103)=YEAR(DATE(YEAR($K$1),MONTH($K$1)-1,1)),
            MONTH(B103)=MONTH(DATE(YEAR($K$1),MONTH($K$1)-1,1))
        ),
        $K$1,
        IF(
            $E$4="",
            DATE(YEAR(B103),MONTH(B103)+1,1),
            IF(
                AND(
                    YEAR(B103)=YEAR(DATE(YEAR($E$4),MONTH($E$4)-1,1)),
                    MONTH(B103)=MONTH(DATE(YEAR($E$4),MONTH($E$4)-1,1))
                ),
                $E$4,
                DATE(YEAR(B103),MONTH(B103)+1,1)
            )
        )
    )
)</f>
        <v>41640</v>
      </c>
      <c r="B104" s="152">
        <f>IF(
AND(
YEAR(B103)=YEAR(DATE(YEAR($E$2),MONTH($E$2)-1,1)),
MONTH(B103)=MONTH(DATE(YEAR($E$2),MONTH($E$2)-1,1))
),
$E$2,
IF(
$E$3="",
EOMONTH(B103,1),
IF(
AND(
YEAR(B103)=YEAR(DATE(YEAR($E$3),MONTH($E$3)-1,1)),
MONTH(B103)=MONTH(DATE(YEAR($E$3),MONTH($E$3)-1,1))
),
$E$3,
EOMONTH(B103,1)
)))</f>
        <v>41670</v>
      </c>
      <c r="C104" s="468">
        <v>2014</v>
      </c>
      <c r="D104" s="149" t="s">
        <v>96</v>
      </c>
      <c r="E104" s="271">
        <f>'CAP POST'!G103</f>
        <v>0</v>
      </c>
      <c r="F104" s="271">
        <f t="shared" si="21"/>
        <v>0</v>
      </c>
      <c r="G104" s="215">
        <v>0.19650000000000001</v>
      </c>
      <c r="H104" s="288">
        <f t="shared" si="19"/>
        <v>0.29475000000000001</v>
      </c>
      <c r="I104" s="272">
        <f t="shared" si="20"/>
        <v>7.079700167211822E-4</v>
      </c>
      <c r="J104" s="289">
        <f>IF(OR(A104=SABANA!$C$14, D104="adicional"),0,_xlfn.DAYS(B104,A104)+1)</f>
        <v>31</v>
      </c>
      <c r="K104" s="527">
        <f t="shared" si="22"/>
        <v>0</v>
      </c>
    </row>
    <row r="105" spans="1:13" x14ac:dyDescent="0.35">
      <c r="A105" s="152">
        <f>IF(
    AND(
        YEAR(B104)=YEAR(DATE(YEAR($E$1),MONTH($E$1)-1,1)),
        MONTH(B104)=MONTH(DATE(YEAR($E$1),MONTH($E$1)-1,1))
    ),
    $E$1,
    IF(
        AND(
            YEAR(B104)=YEAR(DATE(YEAR($K$1),MONTH($K$1)-1,1)),
            MONTH(B104)=MONTH(DATE(YEAR($K$1),MONTH($K$1)-1,1))
        ),
        $K$1,
        IF(
            $E$4="",
            DATE(YEAR(B104),MONTH(B104)+1,1),
            IF(
                AND(
                    YEAR(B104)=YEAR(DATE(YEAR($E$4),MONTH($E$4)-1,1)),
                    MONTH(B104)=MONTH(DATE(YEAR($E$4),MONTH($E$4)-1,1))
                ),
                $E$4,
                DATE(YEAR(B104),MONTH(B104)+1,1)
            )
        )
    )
)</f>
        <v>41671</v>
      </c>
      <c r="B105" s="152">
        <f>IF(
AND(
YEAR(B104)=YEAR(DATE(YEAR($E$2),MONTH($E$2)-1,1)),
MONTH(B104)=MONTH(DATE(YEAR($E$2),MONTH($E$2)-1,1))
),
$E$2,
IF(
$E$3="",
EOMONTH(B104,1),
IF(
AND(
YEAR(B104)=YEAR(DATE(YEAR($E$3),MONTH($E$3)-1,1)),
MONTH(B104)=MONTH(DATE(YEAR($E$3),MONTH($E$3)-1,1))
),
$E$3,
EOMONTH(B104,1)
)))</f>
        <v>41698</v>
      </c>
      <c r="C105" s="471"/>
      <c r="D105" s="149" t="s">
        <v>97</v>
      </c>
      <c r="E105" s="271">
        <f>'CAP POST'!G104</f>
        <v>0</v>
      </c>
      <c r="F105" s="271">
        <f t="shared" si="21"/>
        <v>0</v>
      </c>
      <c r="G105" s="215">
        <v>0.19650000000000001</v>
      </c>
      <c r="H105" s="288">
        <f t="shared" si="19"/>
        <v>0.29475000000000001</v>
      </c>
      <c r="I105" s="272">
        <f t="shared" si="20"/>
        <v>7.079700167211822E-4</v>
      </c>
      <c r="J105" s="289">
        <f>IF(OR(A105=SABANA!$C$14, D105="adicional"),0,_xlfn.DAYS(B105,A105)+1)</f>
        <v>28</v>
      </c>
      <c r="K105" s="527">
        <f t="shared" si="22"/>
        <v>0</v>
      </c>
    </row>
    <row r="106" spans="1:13" x14ac:dyDescent="0.35">
      <c r="A106" s="152">
        <f>IF(
    AND(
        YEAR(B105)=YEAR(DATE(YEAR($E$1),MONTH($E$1)-1,1)),
        MONTH(B105)=MONTH(DATE(YEAR($E$1),MONTH($E$1)-1,1))
    ),
    $E$1,
    IF(
        AND(
            YEAR(B105)=YEAR(DATE(YEAR($K$1),MONTH($K$1)-1,1)),
            MONTH(B105)=MONTH(DATE(YEAR($K$1),MONTH($K$1)-1,1))
        ),
        $K$1,
        IF(
            $E$4="",
            DATE(YEAR(B105),MONTH(B105)+1,1),
            IF(
                AND(
                    YEAR(B105)=YEAR(DATE(YEAR($E$4),MONTH($E$4)-1,1)),
                    MONTH(B105)=MONTH(DATE(YEAR($E$4),MONTH($E$4)-1,1))
                ),
                $E$4,
                DATE(YEAR(B105),MONTH(B105)+1,1)
            )
        )
    )
)</f>
        <v>41699</v>
      </c>
      <c r="B106" s="152">
        <f>IF(
AND(
YEAR(B105)=YEAR(DATE(YEAR($E$2),MONTH($E$2)-1,1)),
MONTH(B105)=MONTH(DATE(YEAR($E$2),MONTH($E$2)-1,1))
),
$E$2,
IF(
$E$3="",
EOMONTH(B105,1),
IF(
AND(
YEAR(B105)=YEAR(DATE(YEAR($E$3),MONTH($E$3)-1,1)),
MONTH(B105)=MONTH(DATE(YEAR($E$3),MONTH($E$3)-1,1))
),
$E$3,
EOMONTH(B105,1)
)))</f>
        <v>41729</v>
      </c>
      <c r="C106" s="471"/>
      <c r="D106" s="149" t="s">
        <v>98</v>
      </c>
      <c r="E106" s="271">
        <f>'CAP POST'!G105</f>
        <v>0</v>
      </c>
      <c r="F106" s="271">
        <f t="shared" si="21"/>
        <v>0</v>
      </c>
      <c r="G106" s="215">
        <v>0.19650000000000001</v>
      </c>
      <c r="H106" s="288">
        <f t="shared" si="19"/>
        <v>0.29475000000000001</v>
      </c>
      <c r="I106" s="272">
        <f t="shared" si="20"/>
        <v>7.079700167211822E-4</v>
      </c>
      <c r="J106" s="289">
        <f>IF(OR(A106=SABANA!$C$14, D106="adicional"),0,_xlfn.DAYS(B106,A106)+1)</f>
        <v>31</v>
      </c>
      <c r="K106" s="527">
        <f t="shared" si="22"/>
        <v>0</v>
      </c>
      <c r="M106" s="528"/>
    </row>
    <row r="107" spans="1:13" x14ac:dyDescent="0.35">
      <c r="A107" s="152">
        <f>IF(
    AND(
        YEAR(B106)=YEAR(DATE(YEAR($E$1),MONTH($E$1)-1,1)),
        MONTH(B106)=MONTH(DATE(YEAR($E$1),MONTH($E$1)-1,1))
    ),
    $E$1,
    IF(
        AND(
            YEAR(B106)=YEAR(DATE(YEAR($K$1),MONTH($K$1)-1,1)),
            MONTH(B106)=MONTH(DATE(YEAR($K$1),MONTH($K$1)-1,1))
        ),
        $K$1,
        IF(
            $E$4="",
            DATE(YEAR(B106),MONTH(B106)+1,1),
            IF(
                AND(
                    YEAR(B106)=YEAR(DATE(YEAR($E$4),MONTH($E$4)-1,1)),
                    MONTH(B106)=MONTH(DATE(YEAR($E$4),MONTH($E$4)-1,1))
                ),
                $E$4,
                DATE(YEAR(B106),MONTH(B106)+1,1)
            )
        )
    )
)</f>
        <v>41730</v>
      </c>
      <c r="B107" s="152">
        <f>IF(
AND(
YEAR(B106)=YEAR(DATE(YEAR($E$2),MONTH($E$2)-1,1)),
MONTH(B106)=MONTH(DATE(YEAR($E$2),MONTH($E$2)-1,1))
),
$E$2,
IF(
$E$3="",
EOMONTH(B106,1),
IF(
AND(
YEAR(B106)=YEAR(DATE(YEAR($E$3),MONTH($E$3)-1,1)),
MONTH(B106)=MONTH(DATE(YEAR($E$3),MONTH($E$3)-1,1))
),
$E$3,
EOMONTH(B106,1)
)))</f>
        <v>41759</v>
      </c>
      <c r="C107" s="471"/>
      <c r="D107" s="149" t="s">
        <v>99</v>
      </c>
      <c r="E107" s="271">
        <f>'CAP POST'!G106</f>
        <v>0</v>
      </c>
      <c r="F107" s="271">
        <f t="shared" si="21"/>
        <v>0</v>
      </c>
      <c r="G107" s="215">
        <v>0.1963</v>
      </c>
      <c r="H107" s="288">
        <f t="shared" si="19"/>
        <v>0.29444999999999999</v>
      </c>
      <c r="I107" s="272">
        <f t="shared" si="20"/>
        <v>7.073346857742191E-4</v>
      </c>
      <c r="J107" s="289">
        <f>IF(OR(A107=SABANA!$C$14, D107="adicional"),0,_xlfn.DAYS(B107,A107)+1)</f>
        <v>30</v>
      </c>
      <c r="K107" s="527">
        <f t="shared" si="22"/>
        <v>0</v>
      </c>
    </row>
    <row r="108" spans="1:13" x14ac:dyDescent="0.35">
      <c r="A108" s="152">
        <f>IF(
    AND(
        YEAR(B107)=YEAR(DATE(YEAR($E$1),MONTH($E$1)-1,1)),
        MONTH(B107)=MONTH(DATE(YEAR($E$1),MONTH($E$1)-1,1))
    ),
    $E$1,
    IF(
        AND(
            YEAR(B107)=YEAR(DATE(YEAR($K$1),MONTH($K$1)-1,1)),
            MONTH(B107)=MONTH(DATE(YEAR($K$1),MONTH($K$1)-1,1))
        ),
        $K$1,
        IF(
            $E$4="",
            DATE(YEAR(B107),MONTH(B107)+1,1),
            IF(
                AND(
                    YEAR(B107)=YEAR(DATE(YEAR($E$4),MONTH($E$4)-1,1)),
                    MONTH(B107)=MONTH(DATE(YEAR($E$4),MONTH($E$4)-1,1))
                ),
                $E$4,
                DATE(YEAR(B107),MONTH(B107)+1,1)
            )
        )
    )
)</f>
        <v>41760</v>
      </c>
      <c r="B108" s="152">
        <f>IF(
AND(
YEAR(B107)=YEAR(DATE(YEAR($E$2),MONTH($E$2)-1,1)),
MONTH(B107)=MONTH(DATE(YEAR($E$2),MONTH($E$2)-1,1))
),
$E$2,
IF(
$E$3="",
EOMONTH(B107,1),
IF(
AND(
YEAR(B107)=YEAR(DATE(YEAR($E$3),MONTH($E$3)-1,1)),
MONTH(B107)=MONTH(DATE(YEAR($E$3),MONTH($E$3)-1,1))
),
$E$3,
EOMONTH(B107,1)
)))</f>
        <v>41790</v>
      </c>
      <c r="C108" s="471"/>
      <c r="D108" s="149" t="s">
        <v>100</v>
      </c>
      <c r="E108" s="271">
        <f>'CAP POST'!G107</f>
        <v>0</v>
      </c>
      <c r="F108" s="271">
        <f t="shared" si="21"/>
        <v>0</v>
      </c>
      <c r="G108" s="215">
        <v>0.1963</v>
      </c>
      <c r="H108" s="288">
        <f t="shared" si="19"/>
        <v>0.29444999999999999</v>
      </c>
      <c r="I108" s="272">
        <f t="shared" si="20"/>
        <v>7.073346857742191E-4</v>
      </c>
      <c r="J108" s="289">
        <f>IF(OR(A108=SABANA!$C$14, D108="adicional"),0,_xlfn.DAYS(B108,A108)+1)</f>
        <v>31</v>
      </c>
      <c r="K108" s="527">
        <f t="shared" si="22"/>
        <v>0</v>
      </c>
    </row>
    <row r="109" spans="1:13" x14ac:dyDescent="0.35">
      <c r="A109" s="156">
        <f t="shared" ref="A109" si="38">A110</f>
        <v>41791</v>
      </c>
      <c r="B109" s="156">
        <f t="shared" ref="B109" si="39">B110</f>
        <v>41820</v>
      </c>
      <c r="C109" s="471"/>
      <c r="D109" s="157" t="s">
        <v>101</v>
      </c>
      <c r="E109" s="274">
        <f>'CAP POST'!G108</f>
        <v>0</v>
      </c>
      <c r="F109" s="271">
        <f t="shared" si="21"/>
        <v>0</v>
      </c>
      <c r="G109" s="293"/>
      <c r="H109" s="294"/>
      <c r="I109" s="276">
        <f t="shared" si="20"/>
        <v>0</v>
      </c>
      <c r="J109" s="289">
        <f>IF(OR(A109=SABANA!$C$14, D109="adicional"),0,_xlfn.DAYS(B109,A109)+1)</f>
        <v>0</v>
      </c>
      <c r="K109" s="527">
        <f t="shared" si="22"/>
        <v>0</v>
      </c>
    </row>
    <row r="110" spans="1:13" x14ac:dyDescent="0.35">
      <c r="A110" s="152">
        <f>IF(
    AND(
        YEAR(B108)=YEAR(DATE(YEAR($E$1),MONTH($E$1)-1,1)),
        MONTH(B108)=MONTH(DATE(YEAR($E$1),MONTH($E$1)-1,1))
    ),
    $E$1,
    IF(
        AND(
            YEAR(B108)=YEAR(DATE(YEAR($K$1),MONTH($K$1)-1,1)),
            MONTH(B108)=MONTH(DATE(YEAR($K$1),MONTH($K$1)-1,1))
        ),
        $K$1,
        IF(
            $E$4="",
            DATE(YEAR(B108),MONTH(B108)+1,1),
            IF(
                AND(
                    YEAR(B108)=YEAR(DATE(YEAR($E$4),MONTH($E$4)-1,1)),
                    MONTH(B108)=MONTH(DATE(YEAR($E$4),MONTH($E$4)-1,1))
                ),
                $E$4,
                DATE(YEAR(B108),MONTH(B108)+1,1)
            )
        )
    )
)</f>
        <v>41791</v>
      </c>
      <c r="B110" s="152">
        <f>IF(
AND(
YEAR(B108)=YEAR(DATE(YEAR($E$2),MONTH($E$2)-1,1)),
MONTH(B108)=MONTH(DATE(YEAR($E$2),MONTH($E$2)-1,1))
),
$E$2,
IF(
$E$3="",
EOMONTH(B108,1),
IF(
AND(
YEAR(B108)=YEAR(DATE(YEAR($E$3),MONTH($E$3)-1,1)),
MONTH(B108)=MONTH(DATE(YEAR($E$3),MONTH($E$3)-1,1))
),
$E$3,
EOMONTH(B108,1)
)))</f>
        <v>41820</v>
      </c>
      <c r="C110" s="471"/>
      <c r="D110" s="149" t="s">
        <v>102</v>
      </c>
      <c r="E110" s="271">
        <f>'CAP POST'!G109</f>
        <v>0</v>
      </c>
      <c r="F110" s="271">
        <f t="shared" si="21"/>
        <v>0</v>
      </c>
      <c r="G110" s="215">
        <v>0.1963</v>
      </c>
      <c r="H110" s="288">
        <f>G110*1.5</f>
        <v>0.29444999999999999</v>
      </c>
      <c r="I110" s="272">
        <f t="shared" si="20"/>
        <v>7.073346857742191E-4</v>
      </c>
      <c r="J110" s="289">
        <f>IF(OR(A110=SABANA!$C$14, D110="adicional"),0,_xlfn.DAYS(B110,A110)+1)</f>
        <v>30</v>
      </c>
      <c r="K110" s="527">
        <f t="shared" ref="K110" si="40">IF(AND(OR(A110&gt;=$E$4,B110&lt;=$E$3), AND(A109&gt;=$E$1,B109&lt;$E$2)),(F108*I110*H110),0)</f>
        <v>0</v>
      </c>
    </row>
    <row r="111" spans="1:13" x14ac:dyDescent="0.35">
      <c r="A111" s="152">
        <f>IF(
    AND(
        YEAR(B110)=YEAR(DATE(YEAR($E$1),MONTH($E$1)-1,1)),
        MONTH(B110)=MONTH(DATE(YEAR($E$1),MONTH($E$1)-1,1))
    ),
    $E$1,
    IF(
        AND(
            YEAR(B110)=YEAR(DATE(YEAR($K$1),MONTH($K$1)-1,1)),
            MONTH(B110)=MONTH(DATE(YEAR($K$1),MONTH($K$1)-1,1))
        ),
        $K$1,
        IF(
            $E$4="",
            DATE(YEAR(B110),MONTH(B110)+1,1),
            IF(
                AND(
                    YEAR(B110)=YEAR(DATE(YEAR($E$4),MONTH($E$4)-1,1)),
                    MONTH(B110)=MONTH(DATE(YEAR($E$4),MONTH($E$4)-1,1))
                ),
                $E$4,
                DATE(YEAR(B110),MONTH(B110)+1,1)
            )
        )
    )
)</f>
        <v>41821</v>
      </c>
      <c r="B111" s="152">
        <f>IF(
AND(
YEAR(B110)=YEAR(DATE(YEAR($E$2),MONTH($E$2)-1,1)),
MONTH(B110)=MONTH(DATE(YEAR($E$2),MONTH($E$2)-1,1))
),
$E$2,
IF(
$E$3="",
EOMONTH(B110,1),
IF(
AND(
YEAR(B110)=YEAR(DATE(YEAR($E$3),MONTH($E$3)-1,1)),
MONTH(B110)=MONTH(DATE(YEAR($E$3),MONTH($E$3)-1,1))
),
$E$3,
EOMONTH(B110,1)
)))</f>
        <v>41851</v>
      </c>
      <c r="C111" s="471"/>
      <c r="D111" s="149" t="s">
        <v>103</v>
      </c>
      <c r="E111" s="271">
        <f>'CAP POST'!G110</f>
        <v>0</v>
      </c>
      <c r="F111" s="271">
        <f t="shared" si="21"/>
        <v>0</v>
      </c>
      <c r="G111" s="215">
        <v>0.1933</v>
      </c>
      <c r="H111" s="288">
        <f t="shared" si="19"/>
        <v>0.28994999999999999</v>
      </c>
      <c r="I111" s="272">
        <f t="shared" si="20"/>
        <v>6.9778706056067286E-4</v>
      </c>
      <c r="J111" s="289">
        <f>IF(OR(A111=SABANA!$C$14, D111="adicional"),0,_xlfn.DAYS(B111,A111)+1)</f>
        <v>31</v>
      </c>
      <c r="K111" s="527">
        <f t="shared" si="22"/>
        <v>0</v>
      </c>
    </row>
    <row r="112" spans="1:13" x14ac:dyDescent="0.35">
      <c r="A112" s="152">
        <f>IF(
    AND(
        YEAR(B111)=YEAR(DATE(YEAR($E$1),MONTH($E$1)-1,1)),
        MONTH(B111)=MONTH(DATE(YEAR($E$1),MONTH($E$1)-1,1))
    ),
    $E$1,
    IF(
        AND(
            YEAR(B111)=YEAR(DATE(YEAR($K$1),MONTH($K$1)-1,1)),
            MONTH(B111)=MONTH(DATE(YEAR($K$1),MONTH($K$1)-1,1))
        ),
        $K$1,
        IF(
            $E$4="",
            DATE(YEAR(B111),MONTH(B111)+1,1),
            IF(
                AND(
                    YEAR(B111)=YEAR(DATE(YEAR($E$4),MONTH($E$4)-1,1)),
                    MONTH(B111)=MONTH(DATE(YEAR($E$4),MONTH($E$4)-1,1))
                ),
                $E$4,
                DATE(YEAR(B111),MONTH(B111)+1,1)
            )
        )
    )
)</f>
        <v>41852</v>
      </c>
      <c r="B112" s="152">
        <f>IF(
AND(
YEAR(B111)=YEAR(DATE(YEAR($E$2),MONTH($E$2)-1,1)),
MONTH(B111)=MONTH(DATE(YEAR($E$2),MONTH($E$2)-1,1))
),
$E$2,
IF(
$E$3="",
EOMONTH(B111,1),
IF(
AND(
YEAR(B111)=YEAR(DATE(YEAR($E$3),MONTH($E$3)-1,1)),
MONTH(B111)=MONTH(DATE(YEAR($E$3),MONTH($E$3)-1,1))
),
$E$3,
EOMONTH(B111,1)
)))</f>
        <v>41882</v>
      </c>
      <c r="C112" s="471"/>
      <c r="D112" s="149" t="s">
        <v>104</v>
      </c>
      <c r="E112" s="271">
        <f>'CAP POST'!G111</f>
        <v>0</v>
      </c>
      <c r="F112" s="271">
        <f t="shared" si="21"/>
        <v>0</v>
      </c>
      <c r="G112" s="215">
        <v>0.1933</v>
      </c>
      <c r="H112" s="288">
        <f t="shared" si="19"/>
        <v>0.28994999999999999</v>
      </c>
      <c r="I112" s="272">
        <f t="shared" si="20"/>
        <v>6.9778706056067286E-4</v>
      </c>
      <c r="J112" s="289">
        <f>IF(OR(A112=SABANA!$C$14, D112="adicional"),0,_xlfn.DAYS(B112,A112)+1)</f>
        <v>31</v>
      </c>
      <c r="K112" s="527">
        <f t="shared" si="22"/>
        <v>0</v>
      </c>
    </row>
    <row r="113" spans="1:11" x14ac:dyDescent="0.35">
      <c r="A113" s="152">
        <f>IF(
    AND(
        YEAR(B112)=YEAR(DATE(YEAR($E$1),MONTH($E$1)-1,1)),
        MONTH(B112)=MONTH(DATE(YEAR($E$1),MONTH($E$1)-1,1))
    ),
    $E$1,
    IF(
        AND(
            YEAR(B112)=YEAR(DATE(YEAR($K$1),MONTH($K$1)-1,1)),
            MONTH(B112)=MONTH(DATE(YEAR($K$1),MONTH($K$1)-1,1))
        ),
        $K$1,
        IF(
            $E$4="",
            DATE(YEAR(B112),MONTH(B112)+1,1),
            IF(
                AND(
                    YEAR(B112)=YEAR(DATE(YEAR($E$4),MONTH($E$4)-1,1)),
                    MONTH(B112)=MONTH(DATE(YEAR($E$4),MONTH($E$4)-1,1))
                ),
                $E$4,
                DATE(YEAR(B112),MONTH(B112)+1,1)
            )
        )
    )
)</f>
        <v>41883</v>
      </c>
      <c r="B113" s="152">
        <f>IF(
AND(
YEAR(B112)=YEAR(DATE(YEAR($E$2),MONTH($E$2)-1,1)),
MONTH(B112)=MONTH(DATE(YEAR($E$2),MONTH($E$2)-1,1))
),
$E$2,
IF(
$E$3="",
EOMONTH(B112,1),
IF(
AND(
YEAR(B112)=YEAR(DATE(YEAR($E$3),MONTH($E$3)-1,1)),
MONTH(B112)=MONTH(DATE(YEAR($E$3),MONTH($E$3)-1,1))
),
$E$3,
EOMONTH(B112,1)
)))</f>
        <v>41912</v>
      </c>
      <c r="C113" s="471"/>
      <c r="D113" s="149" t="s">
        <v>105</v>
      </c>
      <c r="E113" s="271">
        <f>'CAP POST'!G112</f>
        <v>0</v>
      </c>
      <c r="F113" s="271">
        <f t="shared" si="21"/>
        <v>0</v>
      </c>
      <c r="G113" s="215">
        <v>0.1933</v>
      </c>
      <c r="H113" s="288">
        <f t="shared" si="19"/>
        <v>0.28994999999999999</v>
      </c>
      <c r="I113" s="272">
        <f t="shared" si="20"/>
        <v>6.9778706056067286E-4</v>
      </c>
      <c r="J113" s="289">
        <f>IF(OR(A113=SABANA!$C$14, D113="adicional"),0,_xlfn.DAYS(B113,A113)+1)</f>
        <v>30</v>
      </c>
      <c r="K113" s="527">
        <f t="shared" si="22"/>
        <v>0</v>
      </c>
    </row>
    <row r="114" spans="1:11" x14ac:dyDescent="0.35">
      <c r="A114" s="152">
        <f>IF(
    AND(
        YEAR(B113)=YEAR(DATE(YEAR($E$1),MONTH($E$1)-1,1)),
        MONTH(B113)=MONTH(DATE(YEAR($E$1),MONTH($E$1)-1,1))
    ),
    $E$1,
    IF(
        AND(
            YEAR(B113)=YEAR(DATE(YEAR($K$1),MONTH($K$1)-1,1)),
            MONTH(B113)=MONTH(DATE(YEAR($K$1),MONTH($K$1)-1,1))
        ),
        $K$1,
        IF(
            $E$4="",
            DATE(YEAR(B113),MONTH(B113)+1,1),
            IF(
                AND(
                    YEAR(B113)=YEAR(DATE(YEAR($E$4),MONTH($E$4)-1,1)),
                    MONTH(B113)=MONTH(DATE(YEAR($E$4),MONTH($E$4)-1,1))
                ),
                $E$4,
                DATE(YEAR(B113),MONTH(B113)+1,1)
            )
        )
    )
)</f>
        <v>41913</v>
      </c>
      <c r="B114" s="152">
        <f>IF(
AND(
YEAR(B113)=YEAR(DATE(YEAR($E$2),MONTH($E$2)-1,1)),
MONTH(B113)=MONTH(DATE(YEAR($E$2),MONTH($E$2)-1,1))
),
$E$2,
IF(
$E$3="",
EOMONTH(B113,1),
IF(
AND(
YEAR(B113)=YEAR(DATE(YEAR($E$3),MONTH($E$3)-1,1)),
MONTH(B113)=MONTH(DATE(YEAR($E$3),MONTH($E$3)-1,1))
),
$E$3,
EOMONTH(B113,1)
)))</f>
        <v>41943</v>
      </c>
      <c r="C114" s="471"/>
      <c r="D114" s="149" t="s">
        <v>106</v>
      </c>
      <c r="E114" s="271">
        <f>'CAP POST'!G113</f>
        <v>0</v>
      </c>
      <c r="F114" s="271">
        <f t="shared" si="21"/>
        <v>0</v>
      </c>
      <c r="G114" s="215">
        <v>0.19170000000000001</v>
      </c>
      <c r="H114" s="288">
        <f t="shared" si="19"/>
        <v>0.28755000000000003</v>
      </c>
      <c r="I114" s="272">
        <f t="shared" si="20"/>
        <v>6.9268140331879557E-4</v>
      </c>
      <c r="J114" s="289">
        <f>IF(OR(A114=SABANA!$C$14, D114="adicional"),0,_xlfn.DAYS(B114,A114)+1)</f>
        <v>31</v>
      </c>
      <c r="K114" s="527">
        <f t="shared" si="22"/>
        <v>0</v>
      </c>
    </row>
    <row r="115" spans="1:11" x14ac:dyDescent="0.35">
      <c r="A115" s="152">
        <f>IF(
    AND(
        YEAR(B114)=YEAR(DATE(YEAR($E$1),MONTH($E$1)-1,1)),
        MONTH(B114)=MONTH(DATE(YEAR($E$1),MONTH($E$1)-1,1))
    ),
    $E$1,
    IF(
        AND(
            YEAR(B114)=YEAR(DATE(YEAR($K$1),MONTH($K$1)-1,1)),
            MONTH(B114)=MONTH(DATE(YEAR($K$1),MONTH($K$1)-1,1))
        ),
        $K$1,
        IF(
            $E$4="",
            DATE(YEAR(B114),MONTH(B114)+1,1),
            IF(
                AND(
                    YEAR(B114)=YEAR(DATE(YEAR($E$4),MONTH($E$4)-1,1)),
                    MONTH(B114)=MONTH(DATE(YEAR($E$4),MONTH($E$4)-1,1))
                ),
                $E$4,
                DATE(YEAR(B114),MONTH(B114)+1,1)
            )
        )
    )
)</f>
        <v>41944</v>
      </c>
      <c r="B115" s="152">
        <f>IF(
AND(
YEAR(B114)=YEAR(DATE(YEAR($E$2),MONTH($E$2)-1,1)),
MONTH(B114)=MONTH(DATE(YEAR($E$2),MONTH($E$2)-1,1))
),
$E$2,
IF(
$E$3="",
EOMONTH(B114,1),
IF(
AND(
YEAR(B114)=YEAR(DATE(YEAR($E$3),MONTH($E$3)-1,1)),
MONTH(B114)=MONTH(DATE(YEAR($E$3),MONTH($E$3)-1,1))
),
$E$3,
EOMONTH(B114,1)
)))</f>
        <v>41973</v>
      </c>
      <c r="C115" s="471"/>
      <c r="D115" s="149" t="s">
        <v>107</v>
      </c>
      <c r="E115" s="271">
        <f>'CAP POST'!G114</f>
        <v>0</v>
      </c>
      <c r="F115" s="271">
        <f t="shared" si="21"/>
        <v>0</v>
      </c>
      <c r="G115" s="215">
        <v>0.19170000000000001</v>
      </c>
      <c r="H115" s="288">
        <f t="shared" si="19"/>
        <v>0.28755000000000003</v>
      </c>
      <c r="I115" s="272">
        <f t="shared" si="20"/>
        <v>6.9268140331879557E-4</v>
      </c>
      <c r="J115" s="289">
        <f>IF(OR(A115=SABANA!$C$14, D115="adicional"),0,_xlfn.DAYS(B115,A115)+1)</f>
        <v>30</v>
      </c>
      <c r="K115" s="527">
        <f t="shared" si="22"/>
        <v>0</v>
      </c>
    </row>
    <row r="116" spans="1:11" x14ac:dyDescent="0.35">
      <c r="A116" s="156">
        <f t="shared" ref="A116" si="41">A115</f>
        <v>41944</v>
      </c>
      <c r="B116" s="156">
        <f t="shared" ref="B116" si="42">B115</f>
        <v>41973</v>
      </c>
      <c r="C116" s="471"/>
      <c r="D116" s="157" t="s">
        <v>101</v>
      </c>
      <c r="E116" s="274">
        <f>'CAP POST'!G115</f>
        <v>0</v>
      </c>
      <c r="F116" s="271">
        <f t="shared" si="21"/>
        <v>0</v>
      </c>
      <c r="G116" s="275"/>
      <c r="H116" s="292"/>
      <c r="I116" s="276">
        <f t="shared" si="20"/>
        <v>0</v>
      </c>
      <c r="J116" s="289">
        <f>IF(OR(A116=SABANA!$C$14, D116="adicional"),0,_xlfn.DAYS(B116,A116)+1)</f>
        <v>0</v>
      </c>
      <c r="K116" s="527">
        <f t="shared" si="22"/>
        <v>0</v>
      </c>
    </row>
    <row r="117" spans="1:11" x14ac:dyDescent="0.35">
      <c r="A117" s="152">
        <f>IF(
    AND(
        YEAR(B115)=YEAR(DATE(YEAR($E$1),MONTH($E$1)-1,1)),
        MONTH(B115)=MONTH(DATE(YEAR($E$1),MONTH($E$1)-1,1))
    ),
    $E$1,
    IF(
        AND(
            YEAR(B115)=YEAR(DATE(YEAR($K$1),MONTH($K$1)-1,1)),
            MONTH(B115)=MONTH(DATE(YEAR($K$1),MONTH($K$1)-1,1))
        ),
        $K$1,
        IF(
            $E$4="",
            DATE(YEAR(B115),MONTH(B115)+1,1),
            IF(
                AND(
                    YEAR(B115)=YEAR(DATE(YEAR($E$4),MONTH($E$4)-1,1)),
                    MONTH(B115)=MONTH(DATE(YEAR($E$4),MONTH($E$4)-1,1))
                ),
                $E$4,
                DATE(YEAR(B115),MONTH(B115)+1,1)
            )
        )
    )
)</f>
        <v>41974</v>
      </c>
      <c r="B117" s="152">
        <f>IF(
AND(
YEAR(B115)=YEAR(DATE(YEAR($E$2),MONTH($E$2)-1,1)),
MONTH(B115)=MONTH(DATE(YEAR($E$2),MONTH($E$2)-1,1))
),
$E$2,
IF(
$E$3="",
EOMONTH(B115,1),
IF(
AND(
YEAR(B115)=YEAR(DATE(YEAR($E$3),MONTH($E$3)-1,1)),
MONTH(B115)=MONTH(DATE(YEAR($E$3),MONTH($E$3)-1,1))
),
$E$3,
EOMONTH(B115,1)
)))</f>
        <v>42004</v>
      </c>
      <c r="C117" s="472"/>
      <c r="D117" s="149" t="s">
        <v>108</v>
      </c>
      <c r="E117" s="271">
        <f>'CAP POST'!G116</f>
        <v>0</v>
      </c>
      <c r="F117" s="271">
        <f t="shared" si="21"/>
        <v>0</v>
      </c>
      <c r="G117" s="215">
        <v>0.19170000000000001</v>
      </c>
      <c r="H117" s="288">
        <f t="shared" si="19"/>
        <v>0.28755000000000003</v>
      </c>
      <c r="I117" s="272">
        <f t="shared" si="20"/>
        <v>6.9268140331879557E-4</v>
      </c>
      <c r="J117" s="289">
        <f>IF(OR(A117=SABANA!$C$14, D117="adicional"),0,_xlfn.DAYS(B117,A117)+1)</f>
        <v>31</v>
      </c>
      <c r="K117" s="527">
        <f t="shared" ref="K117" si="43">IF(AND(OR(A117&gt;=$E$4,B117&lt;=$E$3), AND(A116&gt;=$E$1,B116&lt;$E$2)),(F115*I117*H117),0)</f>
        <v>0</v>
      </c>
    </row>
    <row r="118" spans="1:11" x14ac:dyDescent="0.35">
      <c r="A118" s="152">
        <f>IF(
    AND(
        YEAR(B117)=YEAR(DATE(YEAR($E$1),MONTH($E$1)-1,1)),
        MONTH(B117)=MONTH(DATE(YEAR($E$1),MONTH($E$1)-1,1))
    ),
    $E$1,
    IF(
        AND(
            YEAR(B117)=YEAR(DATE(YEAR($K$1),MONTH($K$1)-1,1)),
            MONTH(B117)=MONTH(DATE(YEAR($K$1),MONTH($K$1)-1,1))
        ),
        $K$1,
        IF(
            $E$4="",
            DATE(YEAR(B117),MONTH(B117)+1,1),
            IF(
                AND(
                    YEAR(B117)=YEAR(DATE(YEAR($E$4),MONTH($E$4)-1,1)),
                    MONTH(B117)=MONTH(DATE(YEAR($E$4),MONTH($E$4)-1,1))
                ),
                $E$4,
                DATE(YEAR(B117),MONTH(B117)+1,1)
            )
        )
    )
)</f>
        <v>42005</v>
      </c>
      <c r="B118" s="152">
        <f>IF(
AND(
YEAR(B117)=YEAR(DATE(YEAR($E$2),MONTH($E$2)-1,1)),
MONTH(B117)=MONTH(DATE(YEAR($E$2),MONTH($E$2)-1,1))
),
$E$2,
IF(
$E$3="",
EOMONTH(B117,1),
IF(
AND(
YEAR(B117)=YEAR(DATE(YEAR($E$3),MONTH($E$3)-1,1)),
MONTH(B117)=MONTH(DATE(YEAR($E$3),MONTH($E$3)-1,1))
),
$E$3,
EOMONTH(B117,1)
)))</f>
        <v>42035</v>
      </c>
      <c r="C118" s="468">
        <v>2015</v>
      </c>
      <c r="D118" s="149" t="s">
        <v>96</v>
      </c>
      <c r="E118" s="271">
        <f>'CAP POST'!G117</f>
        <v>0</v>
      </c>
      <c r="F118" s="271">
        <f t="shared" si="21"/>
        <v>0</v>
      </c>
      <c r="G118" s="215">
        <v>0.19209999999999999</v>
      </c>
      <c r="H118" s="288">
        <f t="shared" si="19"/>
        <v>0.28815000000000002</v>
      </c>
      <c r="I118" s="272">
        <f t="shared" si="20"/>
        <v>6.9395870684818561E-4</v>
      </c>
      <c r="J118" s="289">
        <f>IF(OR(A118=SABANA!$C$14, D118="adicional"),0,_xlfn.DAYS(B118,A118)+1)</f>
        <v>31</v>
      </c>
      <c r="K118" s="527">
        <f t="shared" si="22"/>
        <v>0</v>
      </c>
    </row>
    <row r="119" spans="1:11" x14ac:dyDescent="0.35">
      <c r="A119" s="152">
        <f>IF(
    AND(
        YEAR(B118)=YEAR(DATE(YEAR($E$1),MONTH($E$1)-1,1)),
        MONTH(B118)=MONTH(DATE(YEAR($E$1),MONTH($E$1)-1,1))
    ),
    $E$1,
    IF(
        AND(
            YEAR(B118)=YEAR(DATE(YEAR($K$1),MONTH($K$1)-1,1)),
            MONTH(B118)=MONTH(DATE(YEAR($K$1),MONTH($K$1)-1,1))
        ),
        $K$1,
        IF(
            $E$4="",
            DATE(YEAR(B118),MONTH(B118)+1,1),
            IF(
                AND(
                    YEAR(B118)=YEAR(DATE(YEAR($E$4),MONTH($E$4)-1,1)),
                    MONTH(B118)=MONTH(DATE(YEAR($E$4),MONTH($E$4)-1,1))
                ),
                $E$4,
                DATE(YEAR(B118),MONTH(B118)+1,1)
            )
        )
    )
)</f>
        <v>42036</v>
      </c>
      <c r="B119" s="152">
        <f>IF(
AND(
YEAR(B118)=YEAR(DATE(YEAR($E$2),MONTH($E$2)-1,1)),
MONTH(B118)=MONTH(DATE(YEAR($E$2),MONTH($E$2)-1,1))
),
$E$2,
IF(
$E$3="",
EOMONTH(B118,1),
IF(
AND(
YEAR(B118)=YEAR(DATE(YEAR($E$3),MONTH($E$3)-1,1)),
MONTH(B118)=MONTH(DATE(YEAR($E$3),MONTH($E$3)-1,1))
),
$E$3,
EOMONTH(B118,1)
)))</f>
        <v>42063</v>
      </c>
      <c r="C119" s="471"/>
      <c r="D119" s="149" t="s">
        <v>97</v>
      </c>
      <c r="E119" s="271">
        <f>'CAP POST'!G118</f>
        <v>0</v>
      </c>
      <c r="F119" s="271">
        <f t="shared" si="21"/>
        <v>0</v>
      </c>
      <c r="G119" s="215">
        <v>0.19209999999999999</v>
      </c>
      <c r="H119" s="288">
        <f t="shared" si="19"/>
        <v>0.28815000000000002</v>
      </c>
      <c r="I119" s="272">
        <f t="shared" si="20"/>
        <v>6.9395870684818561E-4</v>
      </c>
      <c r="J119" s="289">
        <f>IF(OR(A119=SABANA!$C$14, D119="adicional"),0,_xlfn.DAYS(B119,A119)+1)</f>
        <v>28</v>
      </c>
      <c r="K119" s="527">
        <f t="shared" si="22"/>
        <v>0</v>
      </c>
    </row>
    <row r="120" spans="1:11" x14ac:dyDescent="0.35">
      <c r="A120" s="152">
        <f>IF(
    AND(
        YEAR(B119)=YEAR(DATE(YEAR($E$1),MONTH($E$1)-1,1)),
        MONTH(B119)=MONTH(DATE(YEAR($E$1),MONTH($E$1)-1,1))
    ),
    $E$1,
    IF(
        AND(
            YEAR(B119)=YEAR(DATE(YEAR($K$1),MONTH($K$1)-1,1)),
            MONTH(B119)=MONTH(DATE(YEAR($K$1),MONTH($K$1)-1,1))
        ),
        $K$1,
        IF(
            $E$4="",
            DATE(YEAR(B119),MONTH(B119)+1,1),
            IF(
                AND(
                    YEAR(B119)=YEAR(DATE(YEAR($E$4),MONTH($E$4)-1,1)),
                    MONTH(B119)=MONTH(DATE(YEAR($E$4),MONTH($E$4)-1,1))
                ),
                $E$4,
                DATE(YEAR(B119),MONTH(B119)+1,1)
            )
        )
    )
)</f>
        <v>42064</v>
      </c>
      <c r="B120" s="152">
        <f>IF(
AND(
YEAR(B119)=YEAR(DATE(YEAR($E$2),MONTH($E$2)-1,1)),
MONTH(B119)=MONTH(DATE(YEAR($E$2),MONTH($E$2)-1,1))
),
$E$2,
IF(
$E$3="",
EOMONTH(B119,1),
IF(
AND(
YEAR(B119)=YEAR(DATE(YEAR($E$3),MONTH($E$3)-1,1)),
MONTH(B119)=MONTH(DATE(YEAR($E$3),MONTH($E$3)-1,1))
),
$E$3,
EOMONTH(B119,1)
)))</f>
        <v>42094</v>
      </c>
      <c r="C120" s="471"/>
      <c r="D120" s="149" t="s">
        <v>98</v>
      </c>
      <c r="E120" s="271">
        <f>'CAP POST'!G119</f>
        <v>0</v>
      </c>
      <c r="F120" s="271">
        <f t="shared" si="21"/>
        <v>0</v>
      </c>
      <c r="G120" s="215">
        <v>0.19209999999999999</v>
      </c>
      <c r="H120" s="288">
        <f t="shared" si="19"/>
        <v>0.28815000000000002</v>
      </c>
      <c r="I120" s="272">
        <f t="shared" si="20"/>
        <v>6.9395870684818561E-4</v>
      </c>
      <c r="J120" s="289">
        <f>IF(OR(A120=SABANA!$C$14, D120="adicional"),0,_xlfn.DAYS(B120,A120)+1)</f>
        <v>31</v>
      </c>
      <c r="K120" s="527">
        <f t="shared" si="22"/>
        <v>0</v>
      </c>
    </row>
    <row r="121" spans="1:11" x14ac:dyDescent="0.35">
      <c r="A121" s="152">
        <f>IF(
    AND(
        YEAR(B120)=YEAR(DATE(YEAR($E$1),MONTH($E$1)-1,1)),
        MONTH(B120)=MONTH(DATE(YEAR($E$1),MONTH($E$1)-1,1))
    ),
    $E$1,
    IF(
        AND(
            YEAR(B120)=YEAR(DATE(YEAR($K$1),MONTH($K$1)-1,1)),
            MONTH(B120)=MONTH(DATE(YEAR($K$1),MONTH($K$1)-1,1))
        ),
        $K$1,
        IF(
            $E$4="",
            DATE(YEAR(B120),MONTH(B120)+1,1),
            IF(
                AND(
                    YEAR(B120)=YEAR(DATE(YEAR($E$4),MONTH($E$4)-1,1)),
                    MONTH(B120)=MONTH(DATE(YEAR($E$4),MONTH($E$4)-1,1))
                ),
                $E$4,
                DATE(YEAR(B120),MONTH(B120)+1,1)
            )
        )
    )
)</f>
        <v>42095</v>
      </c>
      <c r="B121" s="152">
        <f>IF(
AND(
YEAR(B120)=YEAR(DATE(YEAR($E$2),MONTH($E$2)-1,1)),
MONTH(B120)=MONTH(DATE(YEAR($E$2),MONTH($E$2)-1,1))
),
$E$2,
IF(
$E$3="",
EOMONTH(B120,1),
IF(
AND(
YEAR(B120)=YEAR(DATE(YEAR($E$3),MONTH($E$3)-1,1)),
MONTH(B120)=MONTH(DATE(YEAR($E$3),MONTH($E$3)-1,1))
),
$E$3,
EOMONTH(B120,1)
)))</f>
        <v>42124</v>
      </c>
      <c r="C121" s="471"/>
      <c r="D121" s="149" t="s">
        <v>99</v>
      </c>
      <c r="E121" s="271">
        <f>'CAP POST'!G120</f>
        <v>0</v>
      </c>
      <c r="F121" s="271">
        <f t="shared" si="21"/>
        <v>0</v>
      </c>
      <c r="G121" s="215">
        <v>0.19370000000000001</v>
      </c>
      <c r="H121" s="288">
        <f t="shared" si="19"/>
        <v>0.29055000000000003</v>
      </c>
      <c r="I121" s="272">
        <f t="shared" si="20"/>
        <v>6.9906199467517638E-4</v>
      </c>
      <c r="J121" s="289">
        <f>IF(OR(A121=SABANA!$C$14, D121="adicional"),0,_xlfn.DAYS(B121,A121)+1)</f>
        <v>30</v>
      </c>
      <c r="K121" s="527">
        <f t="shared" si="22"/>
        <v>0</v>
      </c>
    </row>
    <row r="122" spans="1:11" x14ac:dyDescent="0.35">
      <c r="A122" s="152">
        <f>IF(
    AND(
        YEAR(B121)=YEAR(DATE(YEAR($E$1),MONTH($E$1)-1,1)),
        MONTH(B121)=MONTH(DATE(YEAR($E$1),MONTH($E$1)-1,1))
    ),
    $E$1,
    IF(
        AND(
            YEAR(B121)=YEAR(DATE(YEAR($K$1),MONTH($K$1)-1,1)),
            MONTH(B121)=MONTH(DATE(YEAR($K$1),MONTH($K$1)-1,1))
        ),
        $K$1,
        IF(
            $E$4="",
            DATE(YEAR(B121),MONTH(B121)+1,1),
            IF(
                AND(
                    YEAR(B121)=YEAR(DATE(YEAR($E$4),MONTH($E$4)-1,1)),
                    MONTH(B121)=MONTH(DATE(YEAR($E$4),MONTH($E$4)-1,1))
                ),
                $E$4,
                DATE(YEAR(B121),MONTH(B121)+1,1)
            )
        )
    )
)</f>
        <v>42125</v>
      </c>
      <c r="B122" s="152">
        <f>IF(
AND(
YEAR(B121)=YEAR(DATE(YEAR($E$2),MONTH($E$2)-1,1)),
MONTH(B121)=MONTH(DATE(YEAR($E$2),MONTH($E$2)-1,1))
),
$E$2,
IF(
$E$3="",
EOMONTH(B121,1),
IF(
AND(
YEAR(B121)=YEAR(DATE(YEAR($E$3),MONTH($E$3)-1,1)),
MONTH(B121)=MONTH(DATE(YEAR($E$3),MONTH($E$3)-1,1))
),
$E$3,
EOMONTH(B121,1)
)))</f>
        <v>42155</v>
      </c>
      <c r="C122" s="471"/>
      <c r="D122" s="149" t="s">
        <v>100</v>
      </c>
      <c r="E122" s="271">
        <f>'CAP POST'!G121</f>
        <v>0</v>
      </c>
      <c r="F122" s="271">
        <f t="shared" si="21"/>
        <v>0</v>
      </c>
      <c r="G122" s="215">
        <v>0.19370000000000001</v>
      </c>
      <c r="H122" s="288">
        <f t="shared" si="19"/>
        <v>0.29055000000000003</v>
      </c>
      <c r="I122" s="272">
        <f t="shared" si="20"/>
        <v>6.9906199467517638E-4</v>
      </c>
      <c r="J122" s="289">
        <f>IF(OR(A122=SABANA!$C$14, D122="adicional"),0,_xlfn.DAYS(B122,A122)+1)</f>
        <v>31</v>
      </c>
      <c r="K122" s="527">
        <f t="shared" si="22"/>
        <v>0</v>
      </c>
    </row>
    <row r="123" spans="1:11" x14ac:dyDescent="0.35">
      <c r="A123" s="156">
        <f t="shared" ref="A123" si="44">A124</f>
        <v>42156</v>
      </c>
      <c r="B123" s="156">
        <f t="shared" ref="B123" si="45">B124</f>
        <v>42185</v>
      </c>
      <c r="C123" s="471"/>
      <c r="D123" s="157" t="s">
        <v>101</v>
      </c>
      <c r="E123" s="274">
        <f>'CAP POST'!G122</f>
        <v>0</v>
      </c>
      <c r="F123" s="271">
        <f t="shared" si="21"/>
        <v>0</v>
      </c>
      <c r="G123" s="293"/>
      <c r="H123" s="294"/>
      <c r="I123" s="276">
        <f t="shared" si="20"/>
        <v>0</v>
      </c>
      <c r="J123" s="289">
        <f>IF(OR(A123=SABANA!$C$14, D123="adicional"),0,_xlfn.DAYS(B123,A123)+1)</f>
        <v>0</v>
      </c>
      <c r="K123" s="527">
        <f t="shared" si="22"/>
        <v>0</v>
      </c>
    </row>
    <row r="124" spans="1:11" x14ac:dyDescent="0.35">
      <c r="A124" s="152">
        <f>IF(
    AND(
        YEAR(B122)=YEAR(DATE(YEAR($E$1),MONTH($E$1)-1,1)),
        MONTH(B122)=MONTH(DATE(YEAR($E$1),MONTH($E$1)-1,1))
    ),
    $E$1,
    IF(
        AND(
            YEAR(B122)=YEAR(DATE(YEAR($K$1),MONTH($K$1)-1,1)),
            MONTH(B122)=MONTH(DATE(YEAR($K$1),MONTH($K$1)-1,1))
        ),
        $K$1,
        IF(
            $E$4="",
            DATE(YEAR(B122),MONTH(B122)+1,1),
            IF(
                AND(
                    YEAR(B122)=YEAR(DATE(YEAR($E$4),MONTH($E$4)-1,1)),
                    MONTH(B122)=MONTH(DATE(YEAR($E$4),MONTH($E$4)-1,1))
                ),
                $E$4,
                DATE(YEAR(B122),MONTH(B122)+1,1)
            )
        )
    )
)</f>
        <v>42156</v>
      </c>
      <c r="B124" s="152">
        <f>IF(
AND(
YEAR(B122)=YEAR(DATE(YEAR($E$2),MONTH($E$2)-1,1)),
MONTH(B122)=MONTH(DATE(YEAR($E$2),MONTH($E$2)-1,1))
),
$E$2,
IF(
$E$3="",
EOMONTH(B122,1),
IF(
AND(
YEAR(B122)=YEAR(DATE(YEAR($E$3),MONTH($E$3)-1,1)),
MONTH(B122)=MONTH(DATE(YEAR($E$3),MONTH($E$3)-1,1))
),
$E$3,
EOMONTH(B122,1)
)))</f>
        <v>42185</v>
      </c>
      <c r="C124" s="471"/>
      <c r="D124" s="149" t="s">
        <v>102</v>
      </c>
      <c r="E124" s="271">
        <f>'CAP POST'!G123</f>
        <v>0</v>
      </c>
      <c r="F124" s="271">
        <f t="shared" si="21"/>
        <v>0</v>
      </c>
      <c r="G124" s="215">
        <v>0.19370000000000001</v>
      </c>
      <c r="H124" s="288">
        <f>G124*1.5</f>
        <v>0.29055000000000003</v>
      </c>
      <c r="I124" s="272">
        <f t="shared" si="20"/>
        <v>6.9906199467517638E-4</v>
      </c>
      <c r="J124" s="289">
        <f>IF(OR(A124=SABANA!$C$14, D124="adicional"),0,_xlfn.DAYS(B124,A124)+1)</f>
        <v>30</v>
      </c>
      <c r="K124" s="527">
        <f t="shared" ref="K124" si="46">IF(AND(OR(A124&gt;=$E$4,B124&lt;=$E$3), AND(A123&gt;=$E$1,B123&lt;$E$2)),(F122*I124*H124),0)</f>
        <v>0</v>
      </c>
    </row>
    <row r="125" spans="1:11" x14ac:dyDescent="0.35">
      <c r="A125" s="152">
        <f>IF(
    AND(
        YEAR(B124)=YEAR(DATE(YEAR($E$1),MONTH($E$1)-1,1)),
        MONTH(B124)=MONTH(DATE(YEAR($E$1),MONTH($E$1)-1,1))
    ),
    $E$1,
    IF(
        AND(
            YEAR(B124)=YEAR(DATE(YEAR($K$1),MONTH($K$1)-1,1)),
            MONTH(B124)=MONTH(DATE(YEAR($K$1),MONTH($K$1)-1,1))
        ),
        $K$1,
        IF(
            $E$4="",
            DATE(YEAR(B124),MONTH(B124)+1,1),
            IF(
                AND(
                    YEAR(B124)=YEAR(DATE(YEAR($E$4),MONTH($E$4)-1,1)),
                    MONTH(B124)=MONTH(DATE(YEAR($E$4),MONTH($E$4)-1,1))
                ),
                $E$4,
                DATE(YEAR(B124),MONTH(B124)+1,1)
            )
        )
    )
)</f>
        <v>42186</v>
      </c>
      <c r="B125" s="152">
        <f>IF(
AND(
YEAR(B124)=YEAR(DATE(YEAR($E$2),MONTH($E$2)-1,1)),
MONTH(B124)=MONTH(DATE(YEAR($E$2),MONTH($E$2)-1,1))
),
$E$2,
IF(
$E$3="",
EOMONTH(B124,1),
IF(
AND(
YEAR(B124)=YEAR(DATE(YEAR($E$3),MONTH($E$3)-1,1)),
MONTH(B124)=MONTH(DATE(YEAR($E$3),MONTH($E$3)-1,1))
),
$E$3,
EOMONTH(B124,1)
)))</f>
        <v>42216</v>
      </c>
      <c r="C125" s="471"/>
      <c r="D125" s="149" t="s">
        <v>103</v>
      </c>
      <c r="E125" s="271">
        <f>'CAP POST'!G124</f>
        <v>0</v>
      </c>
      <c r="F125" s="271">
        <f t="shared" si="21"/>
        <v>0</v>
      </c>
      <c r="G125" s="215">
        <v>0.19259999999999999</v>
      </c>
      <c r="H125" s="288">
        <f t="shared" si="19"/>
        <v>0.28889999999999999</v>
      </c>
      <c r="I125" s="272">
        <f t="shared" si="20"/>
        <v>6.9555450216518544E-4</v>
      </c>
      <c r="J125" s="289">
        <f>IF(OR(A125=SABANA!$C$14, D125="adicional"),0,_xlfn.DAYS(B125,A125)+1)</f>
        <v>31</v>
      </c>
      <c r="K125" s="527">
        <f t="shared" si="22"/>
        <v>0</v>
      </c>
    </row>
    <row r="126" spans="1:11" x14ac:dyDescent="0.35">
      <c r="A126" s="152">
        <f>IF(
    AND(
        YEAR(B125)=YEAR(DATE(YEAR($E$1),MONTH($E$1)-1,1)),
        MONTH(B125)=MONTH(DATE(YEAR($E$1),MONTH($E$1)-1,1))
    ),
    $E$1,
    IF(
        AND(
            YEAR(B125)=YEAR(DATE(YEAR($K$1),MONTH($K$1)-1,1)),
            MONTH(B125)=MONTH(DATE(YEAR($K$1),MONTH($K$1)-1,1))
        ),
        $K$1,
        IF(
            $E$4="",
            DATE(YEAR(B125),MONTH(B125)+1,1),
            IF(
                AND(
                    YEAR(B125)=YEAR(DATE(YEAR($E$4),MONTH($E$4)-1,1)),
                    MONTH(B125)=MONTH(DATE(YEAR($E$4),MONTH($E$4)-1,1))
                ),
                $E$4,
                DATE(YEAR(B125),MONTH(B125)+1,1)
            )
        )
    )
)</f>
        <v>42217</v>
      </c>
      <c r="B126" s="152">
        <f>IF(
AND(
YEAR(B125)=YEAR(DATE(YEAR($E$2),MONTH($E$2)-1,1)),
MONTH(B125)=MONTH(DATE(YEAR($E$2),MONTH($E$2)-1,1))
),
$E$2,
IF(
$E$3="",
EOMONTH(B125,1),
IF(
AND(
YEAR(B125)=YEAR(DATE(YEAR($E$3),MONTH($E$3)-1,1)),
MONTH(B125)=MONTH(DATE(YEAR($E$3),MONTH($E$3)-1,1))
),
$E$3,
EOMONTH(B125,1)
)))</f>
        <v>42247</v>
      </c>
      <c r="C126" s="471"/>
      <c r="D126" s="149" t="s">
        <v>104</v>
      </c>
      <c r="E126" s="271">
        <f>'CAP POST'!G125</f>
        <v>0</v>
      </c>
      <c r="F126" s="271">
        <f t="shared" si="21"/>
        <v>0</v>
      </c>
      <c r="G126" s="215">
        <v>0.19259999999999999</v>
      </c>
      <c r="H126" s="288">
        <f t="shared" si="19"/>
        <v>0.28889999999999999</v>
      </c>
      <c r="I126" s="272">
        <f t="shared" si="20"/>
        <v>6.9555450216518544E-4</v>
      </c>
      <c r="J126" s="289">
        <f>IF(OR(A126=SABANA!$C$14, D126="adicional"),0,_xlfn.DAYS(B126,A126)+1)</f>
        <v>31</v>
      </c>
      <c r="K126" s="527">
        <f t="shared" si="22"/>
        <v>0</v>
      </c>
    </row>
    <row r="127" spans="1:11" x14ac:dyDescent="0.35">
      <c r="A127" s="152">
        <f>IF(
    AND(
        YEAR(B126)=YEAR(DATE(YEAR($E$1),MONTH($E$1)-1,1)),
        MONTH(B126)=MONTH(DATE(YEAR($E$1),MONTH($E$1)-1,1))
    ),
    $E$1,
    IF(
        AND(
            YEAR(B126)=YEAR(DATE(YEAR($K$1),MONTH($K$1)-1,1)),
            MONTH(B126)=MONTH(DATE(YEAR($K$1),MONTH($K$1)-1,1))
        ),
        $K$1,
        IF(
            $E$4="",
            DATE(YEAR(B126),MONTH(B126)+1,1),
            IF(
                AND(
                    YEAR(B126)=YEAR(DATE(YEAR($E$4),MONTH($E$4)-1,1)),
                    MONTH(B126)=MONTH(DATE(YEAR($E$4),MONTH($E$4)-1,1))
                ),
                $E$4,
                DATE(YEAR(B126),MONTH(B126)+1,1)
            )
        )
    )
)</f>
        <v>42248</v>
      </c>
      <c r="B127" s="152">
        <f>IF(
AND(
YEAR(B126)=YEAR(DATE(YEAR($E$2),MONTH($E$2)-1,1)),
MONTH(B126)=MONTH(DATE(YEAR($E$2),MONTH($E$2)-1,1))
),
$E$2,
IF(
$E$3="",
EOMONTH(B126,1),
IF(
AND(
YEAR(B126)=YEAR(DATE(YEAR($E$3),MONTH($E$3)-1,1)),
MONTH(B126)=MONTH(DATE(YEAR($E$3),MONTH($E$3)-1,1))
),
$E$3,
EOMONTH(B126,1)
)))</f>
        <v>42277</v>
      </c>
      <c r="C127" s="471"/>
      <c r="D127" s="149" t="s">
        <v>105</v>
      </c>
      <c r="E127" s="271">
        <f>'CAP POST'!G126</f>
        <v>0</v>
      </c>
      <c r="F127" s="271">
        <f t="shared" si="21"/>
        <v>0</v>
      </c>
      <c r="G127" s="215">
        <v>0.19259999999999999</v>
      </c>
      <c r="H127" s="288">
        <f t="shared" si="19"/>
        <v>0.28889999999999999</v>
      </c>
      <c r="I127" s="272">
        <f t="shared" si="20"/>
        <v>6.9555450216518544E-4</v>
      </c>
      <c r="J127" s="289">
        <f>IF(OR(A127=SABANA!$C$14, D127="adicional"),0,_xlfn.DAYS(B127,A127)+1)</f>
        <v>30</v>
      </c>
      <c r="K127" s="527">
        <f t="shared" si="22"/>
        <v>0</v>
      </c>
    </row>
    <row r="128" spans="1:11" x14ac:dyDescent="0.35">
      <c r="A128" s="152">
        <f>IF(
    AND(
        YEAR(B127)=YEAR(DATE(YEAR($E$1),MONTH($E$1)-1,1)),
        MONTH(B127)=MONTH(DATE(YEAR($E$1),MONTH($E$1)-1,1))
    ),
    $E$1,
    IF(
        AND(
            YEAR(B127)=YEAR(DATE(YEAR($K$1),MONTH($K$1)-1,1)),
            MONTH(B127)=MONTH(DATE(YEAR($K$1),MONTH($K$1)-1,1))
        ),
        $K$1,
        IF(
            $E$4="",
            DATE(YEAR(B127),MONTH(B127)+1,1),
            IF(
                AND(
                    YEAR(B127)=YEAR(DATE(YEAR($E$4),MONTH($E$4)-1,1)),
                    MONTH(B127)=MONTH(DATE(YEAR($E$4),MONTH($E$4)-1,1))
                ),
                $E$4,
                DATE(YEAR(B127),MONTH(B127)+1,1)
            )
        )
    )
)</f>
        <v>42278</v>
      </c>
      <c r="B128" s="152">
        <f>IF(
AND(
YEAR(B127)=YEAR(DATE(YEAR($E$2),MONTH($E$2)-1,1)),
MONTH(B127)=MONTH(DATE(YEAR($E$2),MONTH($E$2)-1,1))
),
$E$2,
IF(
$E$3="",
EOMONTH(B127,1),
IF(
AND(
YEAR(B127)=YEAR(DATE(YEAR($E$3),MONTH($E$3)-1,1)),
MONTH(B127)=MONTH(DATE(YEAR($E$3),MONTH($E$3)-1,1))
),
$E$3,
EOMONTH(B127,1)
)))</f>
        <v>42308</v>
      </c>
      <c r="C128" s="471"/>
      <c r="D128" s="149" t="s">
        <v>106</v>
      </c>
      <c r="E128" s="271">
        <f>'CAP POST'!G127</f>
        <v>0</v>
      </c>
      <c r="F128" s="271">
        <f t="shared" si="21"/>
        <v>0</v>
      </c>
      <c r="G128" s="215">
        <v>0.1933</v>
      </c>
      <c r="H128" s="288">
        <f t="shared" si="19"/>
        <v>0.28994999999999999</v>
      </c>
      <c r="I128" s="272">
        <f t="shared" si="20"/>
        <v>6.9778706056067286E-4</v>
      </c>
      <c r="J128" s="289">
        <f>IF(OR(A128=SABANA!$C$14, D128="adicional"),0,_xlfn.DAYS(B128,A128)+1)</f>
        <v>31</v>
      </c>
      <c r="K128" s="527">
        <f t="shared" si="22"/>
        <v>0</v>
      </c>
    </row>
    <row r="129" spans="1:11" x14ac:dyDescent="0.35">
      <c r="A129" s="152">
        <f>IF(
    AND(
        YEAR(B128)=YEAR(DATE(YEAR($E$1),MONTH($E$1)-1,1)),
        MONTH(B128)=MONTH(DATE(YEAR($E$1),MONTH($E$1)-1,1))
    ),
    $E$1,
    IF(
        AND(
            YEAR(B128)=YEAR(DATE(YEAR($K$1),MONTH($K$1)-1,1)),
            MONTH(B128)=MONTH(DATE(YEAR($K$1),MONTH($K$1)-1,1))
        ),
        $K$1,
        IF(
            $E$4="",
            DATE(YEAR(B128),MONTH(B128)+1,1),
            IF(
                AND(
                    YEAR(B128)=YEAR(DATE(YEAR($E$4),MONTH($E$4)-1,1)),
                    MONTH(B128)=MONTH(DATE(YEAR($E$4),MONTH($E$4)-1,1))
                ),
                $E$4,
                DATE(YEAR(B128),MONTH(B128)+1,1)
            )
        )
    )
)</f>
        <v>42309</v>
      </c>
      <c r="B129" s="152">
        <f>IF(
AND(
YEAR(B128)=YEAR(DATE(YEAR($E$2),MONTH($E$2)-1,1)),
MONTH(B128)=MONTH(DATE(YEAR($E$2),MONTH($E$2)-1,1))
),
$E$2,
IF(
$E$3="",
EOMONTH(B128,1),
IF(
AND(
YEAR(B128)=YEAR(DATE(YEAR($E$3),MONTH($E$3)-1,1)),
MONTH(B128)=MONTH(DATE(YEAR($E$3),MONTH($E$3)-1,1))
),
$E$3,
EOMONTH(B128,1)
)))</f>
        <v>42338</v>
      </c>
      <c r="C129" s="471"/>
      <c r="D129" s="149" t="s">
        <v>107</v>
      </c>
      <c r="E129" s="271">
        <f>'CAP POST'!G128</f>
        <v>0</v>
      </c>
      <c r="F129" s="271">
        <f t="shared" si="21"/>
        <v>0</v>
      </c>
      <c r="G129" s="215">
        <v>0.1933</v>
      </c>
      <c r="H129" s="288">
        <f t="shared" si="19"/>
        <v>0.28994999999999999</v>
      </c>
      <c r="I129" s="272">
        <f t="shared" si="20"/>
        <v>6.9778706056067286E-4</v>
      </c>
      <c r="J129" s="289">
        <f>IF(OR(A129=SABANA!$C$14, D129="adicional"),0,_xlfn.DAYS(B129,A129)+1)</f>
        <v>30</v>
      </c>
      <c r="K129" s="527">
        <f t="shared" si="22"/>
        <v>0</v>
      </c>
    </row>
    <row r="130" spans="1:11" x14ac:dyDescent="0.35">
      <c r="A130" s="156">
        <f t="shared" ref="A130" si="47">A129</f>
        <v>42309</v>
      </c>
      <c r="B130" s="156">
        <f t="shared" ref="B130" si="48">B129</f>
        <v>42338</v>
      </c>
      <c r="C130" s="471"/>
      <c r="D130" s="157" t="s">
        <v>101</v>
      </c>
      <c r="E130" s="274">
        <f>'CAP POST'!G129</f>
        <v>0</v>
      </c>
      <c r="F130" s="271">
        <f t="shared" si="21"/>
        <v>0</v>
      </c>
      <c r="G130" s="275"/>
      <c r="H130" s="292"/>
      <c r="I130" s="276">
        <f t="shared" si="20"/>
        <v>0</v>
      </c>
      <c r="J130" s="289">
        <f>IF(OR(A130=SABANA!$C$14, D130="adicional"),0,_xlfn.DAYS(B130,A130)+1)</f>
        <v>0</v>
      </c>
      <c r="K130" s="527">
        <f t="shared" si="22"/>
        <v>0</v>
      </c>
    </row>
    <row r="131" spans="1:11" x14ac:dyDescent="0.35">
      <c r="A131" s="152">
        <f>IF(
    AND(
        YEAR(B129)=YEAR(DATE(YEAR($E$1),MONTH($E$1)-1,1)),
        MONTH(B129)=MONTH(DATE(YEAR($E$1),MONTH($E$1)-1,1))
    ),
    $E$1,
    IF(
        AND(
            YEAR(B129)=YEAR(DATE(YEAR($K$1),MONTH($K$1)-1,1)),
            MONTH(B129)=MONTH(DATE(YEAR($K$1),MONTH($K$1)-1,1))
        ),
        $K$1,
        IF(
            $E$4="",
            DATE(YEAR(B129),MONTH(B129)+1,1),
            IF(
                AND(
                    YEAR(B129)=YEAR(DATE(YEAR($E$4),MONTH($E$4)-1,1)),
                    MONTH(B129)=MONTH(DATE(YEAR($E$4),MONTH($E$4)-1,1))
                ),
                $E$4,
                DATE(YEAR(B129),MONTH(B129)+1,1)
            )
        )
    )
)</f>
        <v>42339</v>
      </c>
      <c r="B131" s="152">
        <f>IF(
AND(
YEAR(B129)=YEAR(DATE(YEAR($E$2),MONTH($E$2)-1,1)),
MONTH(B129)=MONTH(DATE(YEAR($E$2),MONTH($E$2)-1,1))
),
$E$2,
IF(
$E$3="",
EOMONTH(B129,1),
IF(
AND(
YEAR(B129)=YEAR(DATE(YEAR($E$3),MONTH($E$3)-1,1)),
MONTH(B129)=MONTH(DATE(YEAR($E$3),MONTH($E$3)-1,1))
),
$E$3,
EOMONTH(B129,1)
)))</f>
        <v>42369</v>
      </c>
      <c r="C131" s="472"/>
      <c r="D131" s="149" t="s">
        <v>108</v>
      </c>
      <c r="E131" s="271">
        <f>'CAP POST'!G130</f>
        <v>0</v>
      </c>
      <c r="F131" s="271">
        <f t="shared" si="21"/>
        <v>0</v>
      </c>
      <c r="G131" s="215">
        <v>0.1933</v>
      </c>
      <c r="H131" s="288">
        <f t="shared" si="19"/>
        <v>0.28994999999999999</v>
      </c>
      <c r="I131" s="272">
        <f t="shared" si="20"/>
        <v>6.9778706056067286E-4</v>
      </c>
      <c r="J131" s="289">
        <f>IF(OR(A131=SABANA!$C$14, D131="adicional"),0,_xlfn.DAYS(B131,A131)+1)</f>
        <v>31</v>
      </c>
      <c r="K131" s="527">
        <f t="shared" ref="K131" si="49">IF(AND(OR(A131&gt;=$E$4,B131&lt;=$E$3), AND(A130&gt;=$E$1,B130&lt;$E$2)),(F129*I131*H131),0)</f>
        <v>0</v>
      </c>
    </row>
    <row r="132" spans="1:11" x14ac:dyDescent="0.35">
      <c r="A132" s="152">
        <f>IF(
    AND(
        YEAR(B131)=YEAR(DATE(YEAR($E$1),MONTH($E$1)-1,1)),
        MONTH(B131)=MONTH(DATE(YEAR($E$1),MONTH($E$1)-1,1))
    ),
    $E$1,
    IF(
        AND(
            YEAR(B131)=YEAR(DATE(YEAR($K$1),MONTH($K$1)-1,1)),
            MONTH(B131)=MONTH(DATE(YEAR($K$1),MONTH($K$1)-1,1))
        ),
        $K$1,
        IF(
            $E$4="",
            DATE(YEAR(B131),MONTH(B131)+1,1),
            IF(
                AND(
                    YEAR(B131)=YEAR(DATE(YEAR($E$4),MONTH($E$4)-1,1)),
                    MONTH(B131)=MONTH(DATE(YEAR($E$4),MONTH($E$4)-1,1))
                ),
                $E$4,
                DATE(YEAR(B131),MONTH(B131)+1,1)
            )
        )
    )
)</f>
        <v>42370</v>
      </c>
      <c r="B132" s="152">
        <f>IF(
AND(
YEAR(B131)=YEAR(DATE(YEAR($E$2),MONTH($E$2)-1,1)),
MONTH(B131)=MONTH(DATE(YEAR($E$2),MONTH($E$2)-1,1))
),
$E$2,
IF(
$E$3="",
EOMONTH(B131,1),
IF(
AND(
YEAR(B131)=YEAR(DATE(YEAR($E$3),MONTH($E$3)-1,1)),
MONTH(B131)=MONTH(DATE(YEAR($E$3),MONTH($E$3)-1,1))
),
$E$3,
EOMONTH(B131,1)
)))</f>
        <v>42400</v>
      </c>
      <c r="C132" s="468">
        <v>2016</v>
      </c>
      <c r="D132" s="149" t="s">
        <v>96</v>
      </c>
      <c r="E132" s="271">
        <f>'CAP POST'!G131</f>
        <v>0</v>
      </c>
      <c r="F132" s="271">
        <f t="shared" si="21"/>
        <v>0</v>
      </c>
      <c r="G132" s="215">
        <v>0.1968</v>
      </c>
      <c r="H132" s="288">
        <f t="shared" si="19"/>
        <v>0.29520000000000002</v>
      </c>
      <c r="I132" s="272">
        <f t="shared" si="20"/>
        <v>7.0892273793354832E-4</v>
      </c>
      <c r="J132" s="289">
        <f>IF(OR(A132=SABANA!$C$14, D132="adicional"),0,_xlfn.DAYS(B132,A132)+1)</f>
        <v>31</v>
      </c>
      <c r="K132" s="527">
        <f t="shared" si="22"/>
        <v>0</v>
      </c>
    </row>
    <row r="133" spans="1:11" x14ac:dyDescent="0.35">
      <c r="A133" s="152">
        <f>IF(
    AND(
        YEAR(B132)=YEAR(DATE(YEAR($E$1),MONTH($E$1)-1,1)),
        MONTH(B132)=MONTH(DATE(YEAR($E$1),MONTH($E$1)-1,1))
    ),
    $E$1,
    IF(
        AND(
            YEAR(B132)=YEAR(DATE(YEAR($K$1),MONTH($K$1)-1,1)),
            MONTH(B132)=MONTH(DATE(YEAR($K$1),MONTH($K$1)-1,1))
        ),
        $K$1,
        IF(
            $E$4="",
            DATE(YEAR(B132),MONTH(B132)+1,1),
            IF(
                AND(
                    YEAR(B132)=YEAR(DATE(YEAR($E$4),MONTH($E$4)-1,1)),
                    MONTH(B132)=MONTH(DATE(YEAR($E$4),MONTH($E$4)-1,1))
                ),
                $E$4,
                DATE(YEAR(B132),MONTH(B132)+1,1)
            )
        )
    )
)</f>
        <v>42401</v>
      </c>
      <c r="B133" s="152">
        <f>IF(
AND(
YEAR(B132)=YEAR(DATE(YEAR($E$2),MONTH($E$2)-1,1)),
MONTH(B132)=MONTH(DATE(YEAR($E$2),MONTH($E$2)-1,1))
),
$E$2,
IF(
$E$3="",
EOMONTH(B132,1),
IF(
AND(
YEAR(B132)=YEAR(DATE(YEAR($E$3),MONTH($E$3)-1,1)),
MONTH(B132)=MONTH(DATE(YEAR($E$3),MONTH($E$3)-1,1))
),
$E$3,
EOMONTH(B132,1)
)))</f>
        <v>42429</v>
      </c>
      <c r="C133" s="471"/>
      <c r="D133" s="149" t="s">
        <v>97</v>
      </c>
      <c r="E133" s="271">
        <f>'CAP POST'!G132</f>
        <v>0</v>
      </c>
      <c r="F133" s="271">
        <f t="shared" si="21"/>
        <v>0</v>
      </c>
      <c r="G133" s="215">
        <v>0.1968</v>
      </c>
      <c r="H133" s="288">
        <f t="shared" si="19"/>
        <v>0.29520000000000002</v>
      </c>
      <c r="I133" s="272">
        <f t="shared" si="20"/>
        <v>7.0892273793354832E-4</v>
      </c>
      <c r="J133" s="289">
        <f>IF(OR(A133=SABANA!$C$14, D133="adicional"),0,_xlfn.DAYS(B133,A133)+1)</f>
        <v>29</v>
      </c>
      <c r="K133" s="527">
        <f t="shared" si="22"/>
        <v>0</v>
      </c>
    </row>
    <row r="134" spans="1:11" x14ac:dyDescent="0.35">
      <c r="A134" s="152">
        <f>IF(
    AND(
        YEAR(B133)=YEAR(DATE(YEAR($E$1),MONTH($E$1)-1,1)),
        MONTH(B133)=MONTH(DATE(YEAR($E$1),MONTH($E$1)-1,1))
    ),
    $E$1,
    IF(
        AND(
            YEAR(B133)=YEAR(DATE(YEAR($K$1),MONTH($K$1)-1,1)),
            MONTH(B133)=MONTH(DATE(YEAR($K$1),MONTH($K$1)-1,1))
        ),
        $K$1,
        IF(
            $E$4="",
            DATE(YEAR(B133),MONTH(B133)+1,1),
            IF(
                AND(
                    YEAR(B133)=YEAR(DATE(YEAR($E$4),MONTH($E$4)-1,1)),
                    MONTH(B133)=MONTH(DATE(YEAR($E$4),MONTH($E$4)-1,1))
                ),
                $E$4,
                DATE(YEAR(B133),MONTH(B133)+1,1)
            )
        )
    )
)</f>
        <v>42430</v>
      </c>
      <c r="B134" s="152">
        <f>IF(
AND(
YEAR(B133)=YEAR(DATE(YEAR($E$2),MONTH($E$2)-1,1)),
MONTH(B133)=MONTH(DATE(YEAR($E$2),MONTH($E$2)-1,1))
),
$E$2,
IF(
$E$3="",
EOMONTH(B133,1),
IF(
AND(
YEAR(B133)=YEAR(DATE(YEAR($E$3),MONTH($E$3)-1,1)),
MONTH(B133)=MONTH(DATE(YEAR($E$3),MONTH($E$3)-1,1))
),
$E$3,
EOMONTH(B133,1)
)))</f>
        <v>42460</v>
      </c>
      <c r="C134" s="471"/>
      <c r="D134" s="149" t="s">
        <v>98</v>
      </c>
      <c r="E134" s="271">
        <f>'CAP POST'!G133</f>
        <v>0</v>
      </c>
      <c r="F134" s="271">
        <f t="shared" si="21"/>
        <v>0</v>
      </c>
      <c r="G134" s="215">
        <v>0.1968</v>
      </c>
      <c r="H134" s="288">
        <f t="shared" si="19"/>
        <v>0.29520000000000002</v>
      </c>
      <c r="I134" s="272">
        <f t="shared" si="20"/>
        <v>7.0892273793354832E-4</v>
      </c>
      <c r="J134" s="289">
        <f>IF(OR(A134=SABANA!$C$14, D134="adicional"),0,_xlfn.DAYS(B134,A134)+1)</f>
        <v>31</v>
      </c>
      <c r="K134" s="527">
        <f t="shared" si="22"/>
        <v>0</v>
      </c>
    </row>
    <row r="135" spans="1:11" x14ac:dyDescent="0.35">
      <c r="A135" s="152">
        <f>IF(
    AND(
        YEAR(B134)=YEAR(DATE(YEAR($E$1),MONTH($E$1)-1,1)),
        MONTH(B134)=MONTH(DATE(YEAR($E$1),MONTH($E$1)-1,1))
    ),
    $E$1,
    IF(
        AND(
            YEAR(B134)=YEAR(DATE(YEAR($K$1),MONTH($K$1)-1,1)),
            MONTH(B134)=MONTH(DATE(YEAR($K$1),MONTH($K$1)-1,1))
        ),
        $K$1,
        IF(
            $E$4="",
            DATE(YEAR(B134),MONTH(B134)+1,1),
            IF(
                AND(
                    YEAR(B134)=YEAR(DATE(YEAR($E$4),MONTH($E$4)-1,1)),
                    MONTH(B134)=MONTH(DATE(YEAR($E$4),MONTH($E$4)-1,1))
                ),
                $E$4,
                DATE(YEAR(B134),MONTH(B134)+1,1)
            )
        )
    )
)</f>
        <v>42461</v>
      </c>
      <c r="B135" s="152">
        <f>IF(
AND(
YEAR(B134)=YEAR(DATE(YEAR($E$2),MONTH($E$2)-1,1)),
MONTH(B134)=MONTH(DATE(YEAR($E$2),MONTH($E$2)-1,1))
),
$E$2,
IF(
$E$3="",
EOMONTH(B134,1),
IF(
AND(
YEAR(B134)=YEAR(DATE(YEAR($E$3),MONTH($E$3)-1,1)),
MONTH(B134)=MONTH(DATE(YEAR($E$3),MONTH($E$3)-1,1))
),
$E$3,
EOMONTH(B134,1)
)))</f>
        <v>42490</v>
      </c>
      <c r="C135" s="471"/>
      <c r="D135" s="149" t="s">
        <v>99</v>
      </c>
      <c r="E135" s="271">
        <f>'CAP POST'!G134</f>
        <v>0</v>
      </c>
      <c r="F135" s="271">
        <f t="shared" si="21"/>
        <v>0</v>
      </c>
      <c r="G135" s="215">
        <v>0.2054</v>
      </c>
      <c r="H135" s="288">
        <f t="shared" ref="H135:H160" si="50">G135*1.5</f>
        <v>0.30809999999999998</v>
      </c>
      <c r="I135" s="272">
        <f t="shared" ref="I135:I198" si="51">((1+H135)^(1/365)-1)</f>
        <v>7.3609462782320279E-4</v>
      </c>
      <c r="J135" s="289">
        <f>IF(OR(A135=SABANA!$C$14, D135="adicional"),0,_xlfn.DAYS(B135,A135)+1)</f>
        <v>30</v>
      </c>
      <c r="K135" s="527">
        <f t="shared" si="22"/>
        <v>0</v>
      </c>
    </row>
    <row r="136" spans="1:11" x14ac:dyDescent="0.35">
      <c r="A136" s="152">
        <f>IF(
    AND(
        YEAR(B135)=YEAR(DATE(YEAR($E$1),MONTH($E$1)-1,1)),
        MONTH(B135)=MONTH(DATE(YEAR($E$1),MONTH($E$1)-1,1))
    ),
    $E$1,
    IF(
        AND(
            YEAR(B135)=YEAR(DATE(YEAR($K$1),MONTH($K$1)-1,1)),
            MONTH(B135)=MONTH(DATE(YEAR($K$1),MONTH($K$1)-1,1))
        ),
        $K$1,
        IF(
            $E$4="",
            DATE(YEAR(B135),MONTH(B135)+1,1),
            IF(
                AND(
                    YEAR(B135)=YEAR(DATE(YEAR($E$4),MONTH($E$4)-1,1)),
                    MONTH(B135)=MONTH(DATE(YEAR($E$4),MONTH($E$4)-1,1))
                ),
                $E$4,
                DATE(YEAR(B135),MONTH(B135)+1,1)
            )
        )
    )
)</f>
        <v>42491</v>
      </c>
      <c r="B136" s="152">
        <f>IF(
AND(
YEAR(B135)=YEAR(DATE(YEAR($E$2),MONTH($E$2)-1,1)),
MONTH(B135)=MONTH(DATE(YEAR($E$2),MONTH($E$2)-1,1))
),
$E$2,
IF(
$E$3="",
EOMONTH(B135,1),
IF(
AND(
YEAR(B135)=YEAR(DATE(YEAR($E$3),MONTH($E$3)-1,1)),
MONTH(B135)=MONTH(DATE(YEAR($E$3),MONTH($E$3)-1,1))
),
$E$3,
EOMONTH(B135,1)
)))</f>
        <v>42521</v>
      </c>
      <c r="C136" s="471"/>
      <c r="D136" s="149" t="s">
        <v>100</v>
      </c>
      <c r="E136" s="271">
        <f>'CAP POST'!G135</f>
        <v>0</v>
      </c>
      <c r="F136" s="271">
        <f t="shared" ref="F136:F199" si="52">IF(AND(A136&gt;=$E$1,B136&lt;=$E$2),(F135+E136),0)</f>
        <v>0</v>
      </c>
      <c r="G136" s="215">
        <v>0.2054</v>
      </c>
      <c r="H136" s="288">
        <f t="shared" si="50"/>
        <v>0.30809999999999998</v>
      </c>
      <c r="I136" s="272">
        <f t="shared" si="51"/>
        <v>7.3609462782320279E-4</v>
      </c>
      <c r="J136" s="289">
        <f>IF(OR(A136=SABANA!$C$14, D136="adicional"),0,_xlfn.DAYS(B136,A136)+1)</f>
        <v>31</v>
      </c>
      <c r="K136" s="527">
        <f t="shared" ref="K136:K199" si="53">IF(AND(OR(A136&gt;=$E$4,B136&lt;=$E$3), AND(A135&gt;=$E$1,B135&lt;$E$2)),(F135*I136*H136),0)</f>
        <v>0</v>
      </c>
    </row>
    <row r="137" spans="1:11" x14ac:dyDescent="0.35">
      <c r="A137" s="156">
        <f t="shared" ref="A137" si="54">A138</f>
        <v>42522</v>
      </c>
      <c r="B137" s="156">
        <f t="shared" ref="B137" si="55">B138</f>
        <v>42551</v>
      </c>
      <c r="C137" s="471"/>
      <c r="D137" s="157" t="s">
        <v>101</v>
      </c>
      <c r="E137" s="274">
        <f>'CAP POST'!G136</f>
        <v>0</v>
      </c>
      <c r="F137" s="271">
        <f t="shared" si="52"/>
        <v>0</v>
      </c>
      <c r="G137" s="293"/>
      <c r="H137" s="294"/>
      <c r="I137" s="276">
        <f t="shared" si="51"/>
        <v>0</v>
      </c>
      <c r="J137" s="289">
        <f>IF(OR(A137=SABANA!$C$14, D137="adicional"),0,_xlfn.DAYS(B137,A137)+1)</f>
        <v>0</v>
      </c>
      <c r="K137" s="527">
        <f t="shared" si="53"/>
        <v>0</v>
      </c>
    </row>
    <row r="138" spans="1:11" x14ac:dyDescent="0.35">
      <c r="A138" s="152">
        <f>IF(
    AND(
        YEAR(B136)=YEAR(DATE(YEAR($E$1),MONTH($E$1)-1,1)),
        MONTH(B136)=MONTH(DATE(YEAR($E$1),MONTH($E$1)-1,1))
    ),
    $E$1,
    IF(
        AND(
            YEAR(B136)=YEAR(DATE(YEAR($K$1),MONTH($K$1)-1,1)),
            MONTH(B136)=MONTH(DATE(YEAR($K$1),MONTH($K$1)-1,1))
        ),
        $K$1,
        IF(
            $E$4="",
            DATE(YEAR(B136),MONTH(B136)+1,1),
            IF(
                AND(
                    YEAR(B136)=YEAR(DATE(YEAR($E$4),MONTH($E$4)-1,1)),
                    MONTH(B136)=MONTH(DATE(YEAR($E$4),MONTH($E$4)-1,1))
                ),
                $E$4,
                DATE(YEAR(B136),MONTH(B136)+1,1)
            )
        )
    )
)</f>
        <v>42522</v>
      </c>
      <c r="B138" s="152">
        <f>IF(
AND(
YEAR(B136)=YEAR(DATE(YEAR($E$2),MONTH($E$2)-1,1)),
MONTH(B136)=MONTH(DATE(YEAR($E$2),MONTH($E$2)-1,1))
),
$E$2,
IF(
$E$3="",
EOMONTH(B136,1),
IF(
AND(
YEAR(B136)=YEAR(DATE(YEAR($E$3),MONTH($E$3)-1,1)),
MONTH(B136)=MONTH(DATE(YEAR($E$3),MONTH($E$3)-1,1))
),
$E$3,
EOMONTH(B136,1)
)))</f>
        <v>42551</v>
      </c>
      <c r="C138" s="471"/>
      <c r="D138" s="149" t="s">
        <v>102</v>
      </c>
      <c r="E138" s="271">
        <f>'CAP POST'!G137</f>
        <v>0</v>
      </c>
      <c r="F138" s="271">
        <f t="shared" si="52"/>
        <v>0</v>
      </c>
      <c r="G138" s="215">
        <v>0.2054</v>
      </c>
      <c r="H138" s="288">
        <f>G138*1.5</f>
        <v>0.30809999999999998</v>
      </c>
      <c r="I138" s="272">
        <f t="shared" si="51"/>
        <v>7.3609462782320279E-4</v>
      </c>
      <c r="J138" s="289">
        <f>IF(OR(A138=SABANA!$C$14, D138="adicional"),0,_xlfn.DAYS(B138,A138)+1)</f>
        <v>30</v>
      </c>
      <c r="K138" s="527">
        <f t="shared" ref="K138" si="56">IF(AND(OR(A138&gt;=$E$4,B138&lt;=$E$3), AND(A137&gt;=$E$1,B137&lt;$E$2)),(F136*I138*H138),0)</f>
        <v>0</v>
      </c>
    </row>
    <row r="139" spans="1:11" x14ac:dyDescent="0.35">
      <c r="A139" s="152">
        <f>IF(
    AND(
        YEAR(B138)=YEAR(DATE(YEAR($E$1),MONTH($E$1)-1,1)),
        MONTH(B138)=MONTH(DATE(YEAR($E$1),MONTH($E$1)-1,1))
    ),
    $E$1,
    IF(
        AND(
            YEAR(B138)=YEAR(DATE(YEAR($K$1),MONTH($K$1)-1,1)),
            MONTH(B138)=MONTH(DATE(YEAR($K$1),MONTH($K$1)-1,1))
        ),
        $K$1,
        IF(
            $E$4="",
            DATE(YEAR(B138),MONTH(B138)+1,1),
            IF(
                AND(
                    YEAR(B138)=YEAR(DATE(YEAR($E$4),MONTH($E$4)-1,1)),
                    MONTH(B138)=MONTH(DATE(YEAR($E$4),MONTH($E$4)-1,1))
                ),
                $E$4,
                DATE(YEAR(B138),MONTH(B138)+1,1)
            )
        )
    )
)</f>
        <v>42552</v>
      </c>
      <c r="B139" s="152">
        <f>IF(
AND(
YEAR(B138)=YEAR(DATE(YEAR($E$2),MONTH($E$2)-1,1)),
MONTH(B138)=MONTH(DATE(YEAR($E$2),MONTH($E$2)-1,1))
),
$E$2,
IF(
$E$3="",
EOMONTH(B138,1),
IF(
AND(
YEAR(B138)=YEAR(DATE(YEAR($E$3),MONTH($E$3)-1,1)),
MONTH(B138)=MONTH(DATE(YEAR($E$3),MONTH($E$3)-1,1))
),
$E$3,
EOMONTH(B138,1)
)))</f>
        <v>42582</v>
      </c>
      <c r="C139" s="471"/>
      <c r="D139" s="149" t="s">
        <v>103</v>
      </c>
      <c r="E139" s="271">
        <f>'CAP POST'!G138</f>
        <v>0</v>
      </c>
      <c r="F139" s="271">
        <f t="shared" si="52"/>
        <v>0</v>
      </c>
      <c r="G139" s="215">
        <v>0.21340000000000001</v>
      </c>
      <c r="H139" s="288">
        <f t="shared" si="50"/>
        <v>0.3201</v>
      </c>
      <c r="I139" s="272">
        <f t="shared" si="51"/>
        <v>7.6113195596128058E-4</v>
      </c>
      <c r="J139" s="289">
        <f>IF(OR(A139=SABANA!$C$14, D139="adicional"),0,_xlfn.DAYS(B139,A139)+1)</f>
        <v>31</v>
      </c>
      <c r="K139" s="527">
        <f t="shared" si="53"/>
        <v>0</v>
      </c>
    </row>
    <row r="140" spans="1:11" x14ac:dyDescent="0.35">
      <c r="A140" s="152">
        <f>IF(
    AND(
        YEAR(B139)=YEAR(DATE(YEAR($E$1),MONTH($E$1)-1,1)),
        MONTH(B139)=MONTH(DATE(YEAR($E$1),MONTH($E$1)-1,1))
    ),
    $E$1,
    IF(
        AND(
            YEAR(B139)=YEAR(DATE(YEAR($K$1),MONTH($K$1)-1,1)),
            MONTH(B139)=MONTH(DATE(YEAR($K$1),MONTH($K$1)-1,1))
        ),
        $K$1,
        IF(
            $E$4="",
            DATE(YEAR(B139),MONTH(B139)+1,1),
            IF(
                AND(
                    YEAR(B139)=YEAR(DATE(YEAR($E$4),MONTH($E$4)-1,1)),
                    MONTH(B139)=MONTH(DATE(YEAR($E$4),MONTH($E$4)-1,1))
                ),
                $E$4,
                DATE(YEAR(B139),MONTH(B139)+1,1)
            )
        )
    )
)</f>
        <v>42583</v>
      </c>
      <c r="B140" s="152">
        <f>IF(
AND(
YEAR(B139)=YEAR(DATE(YEAR($E$2),MONTH($E$2)-1,1)),
MONTH(B139)=MONTH(DATE(YEAR($E$2),MONTH($E$2)-1,1))
),
$E$2,
IF(
$E$3="",
EOMONTH(B139,1),
IF(
AND(
YEAR(B139)=YEAR(DATE(YEAR($E$3),MONTH($E$3)-1,1)),
MONTH(B139)=MONTH(DATE(YEAR($E$3),MONTH($E$3)-1,1))
),
$E$3,
EOMONTH(B139,1)
)))</f>
        <v>42613</v>
      </c>
      <c r="C140" s="471"/>
      <c r="D140" s="149" t="s">
        <v>104</v>
      </c>
      <c r="E140" s="271">
        <f>'CAP POST'!G139</f>
        <v>0</v>
      </c>
      <c r="F140" s="271">
        <f t="shared" si="52"/>
        <v>0</v>
      </c>
      <c r="G140" s="215">
        <v>0.21340000000000001</v>
      </c>
      <c r="H140" s="288">
        <f t="shared" si="50"/>
        <v>0.3201</v>
      </c>
      <c r="I140" s="272">
        <f t="shared" si="51"/>
        <v>7.6113195596128058E-4</v>
      </c>
      <c r="J140" s="289">
        <f>IF(OR(A140=SABANA!$C$14, D140="adicional"),0,_xlfn.DAYS(B140,A140)+1)</f>
        <v>31</v>
      </c>
      <c r="K140" s="527">
        <f t="shared" si="53"/>
        <v>0</v>
      </c>
    </row>
    <row r="141" spans="1:11" x14ac:dyDescent="0.35">
      <c r="A141" s="152">
        <f>IF(
    AND(
        YEAR(B140)=YEAR(DATE(YEAR($E$1),MONTH($E$1)-1,1)),
        MONTH(B140)=MONTH(DATE(YEAR($E$1),MONTH($E$1)-1,1))
    ),
    $E$1,
    IF(
        AND(
            YEAR(B140)=YEAR(DATE(YEAR($K$1),MONTH($K$1)-1,1)),
            MONTH(B140)=MONTH(DATE(YEAR($K$1),MONTH($K$1)-1,1))
        ),
        $K$1,
        IF(
            $E$4="",
            DATE(YEAR(B140),MONTH(B140)+1,1),
            IF(
                AND(
                    YEAR(B140)=YEAR(DATE(YEAR($E$4),MONTH($E$4)-1,1)),
                    MONTH(B140)=MONTH(DATE(YEAR($E$4),MONTH($E$4)-1,1))
                ),
                $E$4,
                DATE(YEAR(B140),MONTH(B140)+1,1)
            )
        )
    )
)</f>
        <v>42614</v>
      </c>
      <c r="B141" s="152">
        <f>IF(
AND(
YEAR(B140)=YEAR(DATE(YEAR($E$2),MONTH($E$2)-1,1)),
MONTH(B140)=MONTH(DATE(YEAR($E$2),MONTH($E$2)-1,1))
),
$E$2,
IF(
$E$3="",
EOMONTH(B140,1),
IF(
AND(
YEAR(B140)=YEAR(DATE(YEAR($E$3),MONTH($E$3)-1,1)),
MONTH(B140)=MONTH(DATE(YEAR($E$3),MONTH($E$3)-1,1))
),
$E$3,
EOMONTH(B140,1)
)))</f>
        <v>42643</v>
      </c>
      <c r="C141" s="471"/>
      <c r="D141" s="149" t="s">
        <v>105</v>
      </c>
      <c r="E141" s="271">
        <f>'CAP POST'!G140</f>
        <v>0</v>
      </c>
      <c r="F141" s="271">
        <f t="shared" si="52"/>
        <v>0</v>
      </c>
      <c r="G141" s="215">
        <v>0.21340000000000001</v>
      </c>
      <c r="H141" s="288">
        <f t="shared" si="50"/>
        <v>0.3201</v>
      </c>
      <c r="I141" s="272">
        <f t="shared" si="51"/>
        <v>7.6113195596128058E-4</v>
      </c>
      <c r="J141" s="289">
        <f>IF(OR(A141=SABANA!$C$14, D141="adicional"),0,_xlfn.DAYS(B141,A141)+1)</f>
        <v>30</v>
      </c>
      <c r="K141" s="527">
        <f t="shared" si="53"/>
        <v>0</v>
      </c>
    </row>
    <row r="142" spans="1:11" x14ac:dyDescent="0.35">
      <c r="A142" s="152">
        <f>IF(
    AND(
        YEAR(B141)=YEAR(DATE(YEAR($E$1),MONTH($E$1)-1,1)),
        MONTH(B141)=MONTH(DATE(YEAR($E$1),MONTH($E$1)-1,1))
    ),
    $E$1,
    IF(
        AND(
            YEAR(B141)=YEAR(DATE(YEAR($K$1),MONTH($K$1)-1,1)),
            MONTH(B141)=MONTH(DATE(YEAR($K$1),MONTH($K$1)-1,1))
        ),
        $K$1,
        IF(
            $E$4="",
            DATE(YEAR(B141),MONTH(B141)+1,1),
            IF(
                AND(
                    YEAR(B141)=YEAR(DATE(YEAR($E$4),MONTH($E$4)-1,1)),
                    MONTH(B141)=MONTH(DATE(YEAR($E$4),MONTH($E$4)-1,1))
                ),
                $E$4,
                DATE(YEAR(B141),MONTH(B141)+1,1)
            )
        )
    )
)</f>
        <v>42644</v>
      </c>
      <c r="B142" s="152">
        <f>IF(
AND(
YEAR(B141)=YEAR(DATE(YEAR($E$2),MONTH($E$2)-1,1)),
MONTH(B141)=MONTH(DATE(YEAR($E$2),MONTH($E$2)-1,1))
),
$E$2,
IF(
$E$3="",
EOMONTH(B141,1),
IF(
AND(
YEAR(B141)=YEAR(DATE(YEAR($E$3),MONTH($E$3)-1,1)),
MONTH(B141)=MONTH(DATE(YEAR($E$3),MONTH($E$3)-1,1))
),
$E$3,
EOMONTH(B141,1)
)))</f>
        <v>42674</v>
      </c>
      <c r="C142" s="471"/>
      <c r="D142" s="149" t="s">
        <v>106</v>
      </c>
      <c r="E142" s="271">
        <f>'CAP POST'!G141</f>
        <v>0</v>
      </c>
      <c r="F142" s="271">
        <f t="shared" si="52"/>
        <v>0</v>
      </c>
      <c r="G142" s="215">
        <v>0.21990000000000001</v>
      </c>
      <c r="H142" s="288">
        <f t="shared" si="50"/>
        <v>0.32985000000000003</v>
      </c>
      <c r="I142" s="272">
        <f t="shared" si="51"/>
        <v>7.8130822380240161E-4</v>
      </c>
      <c r="J142" s="289">
        <f>IF(OR(A142=SABANA!$C$14, D142="adicional"),0,_xlfn.DAYS(B142,A142)+1)</f>
        <v>31</v>
      </c>
      <c r="K142" s="527">
        <f t="shared" si="53"/>
        <v>0</v>
      </c>
    </row>
    <row r="143" spans="1:11" x14ac:dyDescent="0.35">
      <c r="A143" s="152">
        <f>IF(
    AND(
        YEAR(B142)=YEAR(DATE(YEAR($E$1),MONTH($E$1)-1,1)),
        MONTH(B142)=MONTH(DATE(YEAR($E$1),MONTH($E$1)-1,1))
    ),
    $E$1,
    IF(
        AND(
            YEAR(B142)=YEAR(DATE(YEAR($K$1),MONTH($K$1)-1,1)),
            MONTH(B142)=MONTH(DATE(YEAR($K$1),MONTH($K$1)-1,1))
        ),
        $K$1,
        IF(
            $E$4="",
            DATE(YEAR(B142),MONTH(B142)+1,1),
            IF(
                AND(
                    YEAR(B142)=YEAR(DATE(YEAR($E$4),MONTH($E$4)-1,1)),
                    MONTH(B142)=MONTH(DATE(YEAR($E$4),MONTH($E$4)-1,1))
                ),
                $E$4,
                DATE(YEAR(B142),MONTH(B142)+1,1)
            )
        )
    )
)</f>
        <v>42675</v>
      </c>
      <c r="B143" s="152">
        <f>IF(
AND(
YEAR(B142)=YEAR(DATE(YEAR($E$2),MONTH($E$2)-1,1)),
MONTH(B142)=MONTH(DATE(YEAR($E$2),MONTH($E$2)-1,1))
),
$E$2,
IF(
$E$3="",
EOMONTH(B142,1),
IF(
AND(
YEAR(B142)=YEAR(DATE(YEAR($E$3),MONTH($E$3)-1,1)),
MONTH(B142)=MONTH(DATE(YEAR($E$3),MONTH($E$3)-1,1))
),
$E$3,
EOMONTH(B142,1)
)))</f>
        <v>42704</v>
      </c>
      <c r="C143" s="471"/>
      <c r="D143" s="149" t="s">
        <v>107</v>
      </c>
      <c r="E143" s="271">
        <f>'CAP POST'!G142</f>
        <v>0</v>
      </c>
      <c r="F143" s="271">
        <f t="shared" si="52"/>
        <v>0</v>
      </c>
      <c r="G143" s="215">
        <v>0.21990000000000001</v>
      </c>
      <c r="H143" s="288">
        <f t="shared" si="50"/>
        <v>0.32985000000000003</v>
      </c>
      <c r="I143" s="272">
        <f t="shared" si="51"/>
        <v>7.8130822380240161E-4</v>
      </c>
      <c r="J143" s="289">
        <f>IF(OR(A143=SABANA!$C$14, D143="adicional"),0,_xlfn.DAYS(B143,A143)+1)</f>
        <v>30</v>
      </c>
      <c r="K143" s="527">
        <f t="shared" si="53"/>
        <v>0</v>
      </c>
    </row>
    <row r="144" spans="1:11" x14ac:dyDescent="0.35">
      <c r="A144" s="156">
        <f t="shared" ref="A144" si="57">A143</f>
        <v>42675</v>
      </c>
      <c r="B144" s="156">
        <f t="shared" ref="B144" si="58">B143</f>
        <v>42704</v>
      </c>
      <c r="C144" s="471"/>
      <c r="D144" s="157" t="s">
        <v>101</v>
      </c>
      <c r="E144" s="274">
        <f>'CAP POST'!G143</f>
        <v>0</v>
      </c>
      <c r="F144" s="271">
        <f t="shared" si="52"/>
        <v>0</v>
      </c>
      <c r="G144" s="275"/>
      <c r="H144" s="292"/>
      <c r="I144" s="276">
        <f t="shared" si="51"/>
        <v>0</v>
      </c>
      <c r="J144" s="289">
        <f>IF(OR(A144=SABANA!$C$14, D144="adicional"),0,_xlfn.DAYS(B144,A144)+1)</f>
        <v>0</v>
      </c>
      <c r="K144" s="527">
        <f t="shared" si="53"/>
        <v>0</v>
      </c>
    </row>
    <row r="145" spans="1:11" x14ac:dyDescent="0.35">
      <c r="A145" s="152">
        <f>IF(
    AND(
        YEAR(B143)=YEAR(DATE(YEAR($E$1),MONTH($E$1)-1,1)),
        MONTH(B143)=MONTH(DATE(YEAR($E$1),MONTH($E$1)-1,1))
    ),
    $E$1,
    IF(
        AND(
            YEAR(B143)=YEAR(DATE(YEAR($K$1),MONTH($K$1)-1,1)),
            MONTH(B143)=MONTH(DATE(YEAR($K$1),MONTH($K$1)-1,1))
        ),
        $K$1,
        IF(
            $E$4="",
            DATE(YEAR(B143),MONTH(B143)+1,1),
            IF(
                AND(
                    YEAR(B143)=YEAR(DATE(YEAR($E$4),MONTH($E$4)-1,1)),
                    MONTH(B143)=MONTH(DATE(YEAR($E$4),MONTH($E$4)-1,1))
                ),
                $E$4,
                DATE(YEAR(B143),MONTH(B143)+1,1)
            )
        )
    )
)</f>
        <v>42705</v>
      </c>
      <c r="B145" s="152">
        <f>IF(
AND(
YEAR(B143)=YEAR(DATE(YEAR($E$2),MONTH($E$2)-1,1)),
MONTH(B143)=MONTH(DATE(YEAR($E$2),MONTH($E$2)-1,1))
),
$E$2,
IF(
$E$3="",
EOMONTH(B143,1),
IF(
AND(
YEAR(B143)=YEAR(DATE(YEAR($E$3),MONTH($E$3)-1,1)),
MONTH(B143)=MONTH(DATE(YEAR($E$3),MONTH($E$3)-1,1))
),
$E$3,
EOMONTH(B143,1)
)))</f>
        <v>42735</v>
      </c>
      <c r="C145" s="472"/>
      <c r="D145" s="149" t="s">
        <v>108</v>
      </c>
      <c r="E145" s="271">
        <f>'CAP POST'!G144</f>
        <v>0</v>
      </c>
      <c r="F145" s="271">
        <f t="shared" si="52"/>
        <v>0</v>
      </c>
      <c r="G145" s="215">
        <v>0.21990000000000001</v>
      </c>
      <c r="H145" s="288">
        <f t="shared" si="50"/>
        <v>0.32985000000000003</v>
      </c>
      <c r="I145" s="272">
        <f t="shared" si="51"/>
        <v>7.8130822380240161E-4</v>
      </c>
      <c r="J145" s="289">
        <f>IF(OR(A145=SABANA!$C$14, D145="adicional"),0,_xlfn.DAYS(B145,A145)+1)</f>
        <v>31</v>
      </c>
      <c r="K145" s="527">
        <f t="shared" ref="K145" si="59">IF(AND(OR(A145&gt;=$E$4,B145&lt;=$E$3), AND(A144&gt;=$E$1,B144&lt;$E$2)),(F143*I145*H145),0)</f>
        <v>0</v>
      </c>
    </row>
    <row r="146" spans="1:11" x14ac:dyDescent="0.35">
      <c r="A146" s="152">
        <f>IF(
    AND(
        YEAR(B145)=YEAR(DATE(YEAR($E$1),MONTH($E$1)-1,1)),
        MONTH(B145)=MONTH(DATE(YEAR($E$1),MONTH($E$1)-1,1))
    ),
    $E$1,
    IF(
        AND(
            YEAR(B145)=YEAR(DATE(YEAR($K$1),MONTH($K$1)-1,1)),
            MONTH(B145)=MONTH(DATE(YEAR($K$1),MONTH($K$1)-1,1))
        ),
        $K$1,
        IF(
            $E$4="",
            DATE(YEAR(B145),MONTH(B145)+1,1),
            IF(
                AND(
                    YEAR(B145)=YEAR(DATE(YEAR($E$4),MONTH($E$4)-1,1)),
                    MONTH(B145)=MONTH(DATE(YEAR($E$4),MONTH($E$4)-1,1))
                ),
                $E$4,
                DATE(YEAR(B145),MONTH(B145)+1,1)
            )
        )
    )
)</f>
        <v>42736</v>
      </c>
      <c r="B146" s="152">
        <f>IF(
AND(
YEAR(B145)=YEAR(DATE(YEAR($E$2),MONTH($E$2)-1,1)),
MONTH(B145)=MONTH(DATE(YEAR($E$2),MONTH($E$2)-1,1))
),
$E$2,
IF(
$E$3="",
EOMONTH(B145,1),
IF(
AND(
YEAR(B145)=YEAR(DATE(YEAR($E$3),MONTH($E$3)-1,1)),
MONTH(B145)=MONTH(DATE(YEAR($E$3),MONTH($E$3)-1,1))
),
$E$3,
EOMONTH(B145,1)
)))</f>
        <v>42766</v>
      </c>
      <c r="C146" s="468">
        <v>2017</v>
      </c>
      <c r="D146" s="149" t="s">
        <v>96</v>
      </c>
      <c r="E146" s="271">
        <f>'CAP POST'!G145</f>
        <v>0</v>
      </c>
      <c r="F146" s="271">
        <f t="shared" si="52"/>
        <v>0</v>
      </c>
      <c r="G146" s="215">
        <v>0.22339999999999999</v>
      </c>
      <c r="H146" s="288">
        <f t="shared" si="50"/>
        <v>0.33509999999999995</v>
      </c>
      <c r="I146" s="272">
        <f t="shared" si="51"/>
        <v>7.9211135028089963E-4</v>
      </c>
      <c r="J146" s="289">
        <f>IF(OR(A146=SABANA!$C$14, D146="adicional"),0,_xlfn.DAYS(B146,A146)+1)</f>
        <v>31</v>
      </c>
      <c r="K146" s="527">
        <f t="shared" si="53"/>
        <v>0</v>
      </c>
    </row>
    <row r="147" spans="1:11" x14ac:dyDescent="0.35">
      <c r="A147" s="152">
        <f>IF(
    AND(
        YEAR(B146)=YEAR(DATE(YEAR($E$1),MONTH($E$1)-1,1)),
        MONTH(B146)=MONTH(DATE(YEAR($E$1),MONTH($E$1)-1,1))
    ),
    $E$1,
    IF(
        AND(
            YEAR(B146)=YEAR(DATE(YEAR($K$1),MONTH($K$1)-1,1)),
            MONTH(B146)=MONTH(DATE(YEAR($K$1),MONTH($K$1)-1,1))
        ),
        $K$1,
        IF(
            $E$4="",
            DATE(YEAR(B146),MONTH(B146)+1,1),
            IF(
                AND(
                    YEAR(B146)=YEAR(DATE(YEAR($E$4),MONTH($E$4)-1,1)),
                    MONTH(B146)=MONTH(DATE(YEAR($E$4),MONTH($E$4)-1,1))
                ),
                $E$4,
                DATE(YEAR(B146),MONTH(B146)+1,1)
            )
        )
    )
)</f>
        <v>42767</v>
      </c>
      <c r="B147" s="152">
        <f>IF(
AND(
YEAR(B146)=YEAR(DATE(YEAR($E$2),MONTH($E$2)-1,1)),
MONTH(B146)=MONTH(DATE(YEAR($E$2),MONTH($E$2)-1,1))
),
$E$2,
IF(
$E$3="",
EOMONTH(B146,1),
IF(
AND(
YEAR(B146)=YEAR(DATE(YEAR($E$3),MONTH($E$3)-1,1)),
MONTH(B146)=MONTH(DATE(YEAR($E$3),MONTH($E$3)-1,1))
),
$E$3,
EOMONTH(B146,1)
)))</f>
        <v>42794</v>
      </c>
      <c r="C147" s="471"/>
      <c r="D147" s="149" t="s">
        <v>97</v>
      </c>
      <c r="E147" s="271">
        <f>'CAP POST'!G146</f>
        <v>0</v>
      </c>
      <c r="F147" s="271">
        <f t="shared" si="52"/>
        <v>0</v>
      </c>
      <c r="G147" s="215">
        <v>0.22339999999999999</v>
      </c>
      <c r="H147" s="288">
        <f t="shared" si="50"/>
        <v>0.33509999999999995</v>
      </c>
      <c r="I147" s="272">
        <f t="shared" si="51"/>
        <v>7.9211135028089963E-4</v>
      </c>
      <c r="J147" s="289">
        <f>IF(OR(A147=SABANA!$C$14, D147="adicional"),0,_xlfn.DAYS(B147,A147)+1)</f>
        <v>28</v>
      </c>
      <c r="K147" s="527">
        <f t="shared" si="53"/>
        <v>0</v>
      </c>
    </row>
    <row r="148" spans="1:11" x14ac:dyDescent="0.35">
      <c r="A148" s="152">
        <f>IF(
    AND(
        YEAR(B147)=YEAR(DATE(YEAR($E$1),MONTH($E$1)-1,1)),
        MONTH(B147)=MONTH(DATE(YEAR($E$1),MONTH($E$1)-1,1))
    ),
    $E$1,
    IF(
        AND(
            YEAR(B147)=YEAR(DATE(YEAR($K$1),MONTH($K$1)-1,1)),
            MONTH(B147)=MONTH(DATE(YEAR($K$1),MONTH($K$1)-1,1))
        ),
        $K$1,
        IF(
            $E$4="",
            DATE(YEAR(B147),MONTH(B147)+1,1),
            IF(
                AND(
                    YEAR(B147)=YEAR(DATE(YEAR($E$4),MONTH($E$4)-1,1)),
                    MONTH(B147)=MONTH(DATE(YEAR($E$4),MONTH($E$4)-1,1))
                ),
                $E$4,
                DATE(YEAR(B147),MONTH(B147)+1,1)
            )
        )
    )
)</f>
        <v>42795</v>
      </c>
      <c r="B148" s="152">
        <f>IF(
AND(
YEAR(B147)=YEAR(DATE(YEAR($E$2),MONTH($E$2)-1,1)),
MONTH(B147)=MONTH(DATE(YEAR($E$2),MONTH($E$2)-1,1))
),
$E$2,
IF(
$E$3="",
EOMONTH(B147,1),
IF(
AND(
YEAR(B147)=YEAR(DATE(YEAR($E$3),MONTH($E$3)-1,1)),
MONTH(B147)=MONTH(DATE(YEAR($E$3),MONTH($E$3)-1,1))
),
$E$3,
EOMONTH(B147,1)
)))</f>
        <v>42825</v>
      </c>
      <c r="C148" s="471"/>
      <c r="D148" s="149" t="s">
        <v>98</v>
      </c>
      <c r="E148" s="271">
        <f>'CAP POST'!G147</f>
        <v>0</v>
      </c>
      <c r="F148" s="271">
        <f t="shared" si="52"/>
        <v>0</v>
      </c>
      <c r="G148" s="215">
        <v>0.22339999999999999</v>
      </c>
      <c r="H148" s="288">
        <f t="shared" si="50"/>
        <v>0.33509999999999995</v>
      </c>
      <c r="I148" s="272">
        <f t="shared" si="51"/>
        <v>7.9211135028089963E-4</v>
      </c>
      <c r="J148" s="289">
        <f>IF(OR(A148=SABANA!$C$14, D148="adicional"),0,_xlfn.DAYS(B148,A148)+1)</f>
        <v>31</v>
      </c>
      <c r="K148" s="527">
        <f t="shared" si="53"/>
        <v>0</v>
      </c>
    </row>
    <row r="149" spans="1:11" x14ac:dyDescent="0.35">
      <c r="A149" s="152">
        <f>IF(
    AND(
        YEAR(B148)=YEAR(DATE(YEAR($E$1),MONTH($E$1)-1,1)),
        MONTH(B148)=MONTH(DATE(YEAR($E$1),MONTH($E$1)-1,1))
    ),
    $E$1,
    IF(
        AND(
            YEAR(B148)=YEAR(DATE(YEAR($K$1),MONTH($K$1)-1,1)),
            MONTH(B148)=MONTH(DATE(YEAR($K$1),MONTH($K$1)-1,1))
        ),
        $K$1,
        IF(
            $E$4="",
            DATE(YEAR(B148),MONTH(B148)+1,1),
            IF(
                AND(
                    YEAR(B148)=YEAR(DATE(YEAR($E$4),MONTH($E$4)-1,1)),
                    MONTH(B148)=MONTH(DATE(YEAR($E$4),MONTH($E$4)-1,1))
                ),
                $E$4,
                DATE(YEAR(B148),MONTH(B148)+1,1)
            )
        )
    )
)</f>
        <v>42826</v>
      </c>
      <c r="B149" s="152">
        <f>IF(
AND(
YEAR(B148)=YEAR(DATE(YEAR($E$2),MONTH($E$2)-1,1)),
MONTH(B148)=MONTH(DATE(YEAR($E$2),MONTH($E$2)-1,1))
),
$E$2,
IF(
$E$3="",
EOMONTH(B148,1),
IF(
AND(
YEAR(B148)=YEAR(DATE(YEAR($E$3),MONTH($E$3)-1,1)),
MONTH(B148)=MONTH(DATE(YEAR($E$3),MONTH($E$3)-1,1))
),
$E$3,
EOMONTH(B148,1)
)))</f>
        <v>42855</v>
      </c>
      <c r="C149" s="471"/>
      <c r="D149" s="149" t="s">
        <v>99</v>
      </c>
      <c r="E149" s="271">
        <f>'CAP POST'!G148</f>
        <v>0</v>
      </c>
      <c r="F149" s="271">
        <f t="shared" si="52"/>
        <v>0</v>
      </c>
      <c r="G149" s="215">
        <v>0.2233</v>
      </c>
      <c r="H149" s="288">
        <f t="shared" si="50"/>
        <v>0.33494999999999997</v>
      </c>
      <c r="I149" s="272">
        <f t="shared" si="51"/>
        <v>7.9180327787309324E-4</v>
      </c>
      <c r="J149" s="289">
        <f>IF(OR(A149=SABANA!$C$14, D149="adicional"),0,_xlfn.DAYS(B149,A149)+1)</f>
        <v>30</v>
      </c>
      <c r="K149" s="527">
        <f t="shared" si="53"/>
        <v>0</v>
      </c>
    </row>
    <row r="150" spans="1:11" x14ac:dyDescent="0.35">
      <c r="A150" s="152">
        <f>IF(
    AND(
        YEAR(B149)=YEAR(DATE(YEAR($E$1),MONTH($E$1)-1,1)),
        MONTH(B149)=MONTH(DATE(YEAR($E$1),MONTH($E$1)-1,1))
    ),
    $E$1,
    IF(
        AND(
            YEAR(B149)=YEAR(DATE(YEAR($K$1),MONTH($K$1)-1,1)),
            MONTH(B149)=MONTH(DATE(YEAR($K$1),MONTH($K$1)-1,1))
        ),
        $K$1,
        IF(
            $E$4="",
            DATE(YEAR(B149),MONTH(B149)+1,1),
            IF(
                AND(
                    YEAR(B149)=YEAR(DATE(YEAR($E$4),MONTH($E$4)-1,1)),
                    MONTH(B149)=MONTH(DATE(YEAR($E$4),MONTH($E$4)-1,1))
                ),
                $E$4,
                DATE(YEAR(B149),MONTH(B149)+1,1)
            )
        )
    )
)</f>
        <v>42856</v>
      </c>
      <c r="B150" s="152">
        <f>IF(
AND(
YEAR(B149)=YEAR(DATE(YEAR($E$2),MONTH($E$2)-1,1)),
MONTH(B149)=MONTH(DATE(YEAR($E$2),MONTH($E$2)-1,1))
),
$E$2,
IF(
$E$3="",
EOMONTH(B149,1),
IF(
AND(
YEAR(B149)=YEAR(DATE(YEAR($E$3),MONTH($E$3)-1,1)),
MONTH(B149)=MONTH(DATE(YEAR($E$3),MONTH($E$3)-1,1))
),
$E$3,
EOMONTH(B149,1)
)))</f>
        <v>42886</v>
      </c>
      <c r="C150" s="471"/>
      <c r="D150" s="149" t="s">
        <v>100</v>
      </c>
      <c r="E150" s="271">
        <f>'CAP POST'!G149</f>
        <v>0</v>
      </c>
      <c r="F150" s="271">
        <f t="shared" si="52"/>
        <v>0</v>
      </c>
      <c r="G150" s="215">
        <v>0.2233</v>
      </c>
      <c r="H150" s="288">
        <f t="shared" si="50"/>
        <v>0.33494999999999997</v>
      </c>
      <c r="I150" s="272">
        <f t="shared" si="51"/>
        <v>7.9180327787309324E-4</v>
      </c>
      <c r="J150" s="289">
        <f>IF(OR(A150=SABANA!$C$14, D150="adicional"),0,_xlfn.DAYS(B150,A150)+1)</f>
        <v>31</v>
      </c>
      <c r="K150" s="527">
        <f t="shared" si="53"/>
        <v>0</v>
      </c>
    </row>
    <row r="151" spans="1:11" x14ac:dyDescent="0.35">
      <c r="A151" s="156">
        <f t="shared" ref="A151" si="60">A152</f>
        <v>42887</v>
      </c>
      <c r="B151" s="156">
        <f t="shared" ref="B151" si="61">B152</f>
        <v>42916</v>
      </c>
      <c r="C151" s="471"/>
      <c r="D151" s="157" t="s">
        <v>101</v>
      </c>
      <c r="E151" s="274">
        <f>'CAP POST'!G150</f>
        <v>0</v>
      </c>
      <c r="F151" s="271">
        <f t="shared" si="52"/>
        <v>0</v>
      </c>
      <c r="G151" s="293"/>
      <c r="H151" s="294"/>
      <c r="I151" s="276">
        <f t="shared" si="51"/>
        <v>0</v>
      </c>
      <c r="J151" s="289">
        <f>IF(OR(A151=SABANA!$C$14, D151="adicional"),0,_xlfn.DAYS(B151,A151)+1)</f>
        <v>0</v>
      </c>
      <c r="K151" s="527">
        <f t="shared" si="53"/>
        <v>0</v>
      </c>
    </row>
    <row r="152" spans="1:11" x14ac:dyDescent="0.35">
      <c r="A152" s="152">
        <f>IF(
    AND(
        YEAR(B150)=YEAR(DATE(YEAR($E$1),MONTH($E$1)-1,1)),
        MONTH(B150)=MONTH(DATE(YEAR($E$1),MONTH($E$1)-1,1))
    ),
    $E$1,
    IF(
        AND(
            YEAR(B150)=YEAR(DATE(YEAR($K$1),MONTH($K$1)-1,1)),
            MONTH(B150)=MONTH(DATE(YEAR($K$1),MONTH($K$1)-1,1))
        ),
        $K$1,
        IF(
            $E$4="",
            DATE(YEAR(B150),MONTH(B150)+1,1),
            IF(
                AND(
                    YEAR(B150)=YEAR(DATE(YEAR($E$4),MONTH($E$4)-1,1)),
                    MONTH(B150)=MONTH(DATE(YEAR($E$4),MONTH($E$4)-1,1))
                ),
                $E$4,
                DATE(YEAR(B150),MONTH(B150)+1,1)
            )
        )
    )
)</f>
        <v>42887</v>
      </c>
      <c r="B152" s="152">
        <f>IF(
AND(
YEAR(B150)=YEAR(DATE(YEAR($E$2),MONTH($E$2)-1,1)),
MONTH(B150)=MONTH(DATE(YEAR($E$2),MONTH($E$2)-1,1))
),
$E$2,
IF(
$E$3="",
EOMONTH(B150,1),
IF(
AND(
YEAR(B150)=YEAR(DATE(YEAR($E$3),MONTH($E$3)-1,1)),
MONTH(B150)=MONTH(DATE(YEAR($E$3),MONTH($E$3)-1,1))
),
$E$3,
EOMONTH(B150,1)
)))</f>
        <v>42916</v>
      </c>
      <c r="C152" s="471"/>
      <c r="D152" s="149" t="s">
        <v>102</v>
      </c>
      <c r="E152" s="271">
        <f>'CAP POST'!G151</f>
        <v>0</v>
      </c>
      <c r="F152" s="271">
        <f t="shared" si="52"/>
        <v>0</v>
      </c>
      <c r="G152" s="215">
        <v>0.2233</v>
      </c>
      <c r="H152" s="288">
        <f>G152*1.5</f>
        <v>0.33494999999999997</v>
      </c>
      <c r="I152" s="272">
        <f t="shared" si="51"/>
        <v>7.9180327787309324E-4</v>
      </c>
      <c r="J152" s="289">
        <f>IF(OR(A152=SABANA!$C$14, D152="adicional"),0,_xlfn.DAYS(B152,A152)+1)</f>
        <v>30</v>
      </c>
      <c r="K152" s="527">
        <f t="shared" ref="K152" si="62">IF(AND(OR(A152&gt;=$E$4,B152&lt;=$E$3), AND(A151&gt;=$E$1,B151&lt;$E$2)),(F150*I152*H152),0)</f>
        <v>0</v>
      </c>
    </row>
    <row r="153" spans="1:11" x14ac:dyDescent="0.35">
      <c r="A153" s="152">
        <f>IF(
    AND(
        YEAR(B152)=YEAR(DATE(YEAR($E$1),MONTH($E$1)-1,1)),
        MONTH(B152)=MONTH(DATE(YEAR($E$1),MONTH($E$1)-1,1))
    ),
    $E$1,
    IF(
        AND(
            YEAR(B152)=YEAR(DATE(YEAR($K$1),MONTH($K$1)-1,1)),
            MONTH(B152)=MONTH(DATE(YEAR($K$1),MONTH($K$1)-1,1))
        ),
        $K$1,
        IF(
            $E$4="",
            DATE(YEAR(B152),MONTH(B152)+1,1),
            IF(
                AND(
                    YEAR(B152)=YEAR(DATE(YEAR($E$4),MONTH($E$4)-1,1)),
                    MONTH(B152)=MONTH(DATE(YEAR($E$4),MONTH($E$4)-1,1))
                ),
                $E$4,
                DATE(YEAR(B152),MONTH(B152)+1,1)
            )
        )
    )
)</f>
        <v>42917</v>
      </c>
      <c r="B153" s="152">
        <f>IF(
AND(
YEAR(B152)=YEAR(DATE(YEAR($E$2),MONTH($E$2)-1,1)),
MONTH(B152)=MONTH(DATE(YEAR($E$2),MONTH($E$2)-1,1))
),
$E$2,
IF(
$E$3="",
EOMONTH(B152,1),
IF(
AND(
YEAR(B152)=YEAR(DATE(YEAR($E$3),MONTH($E$3)-1,1)),
MONTH(B152)=MONTH(DATE(YEAR($E$3),MONTH($E$3)-1,1))
),
$E$3,
EOMONTH(B152,1)
)))</f>
        <v>42947</v>
      </c>
      <c r="C153" s="471"/>
      <c r="D153" s="149" t="s">
        <v>103</v>
      </c>
      <c r="E153" s="271">
        <f>'CAP POST'!G152</f>
        <v>0</v>
      </c>
      <c r="F153" s="271">
        <f t="shared" si="52"/>
        <v>0</v>
      </c>
      <c r="G153" s="215">
        <v>0.2198</v>
      </c>
      <c r="H153" s="288">
        <f t="shared" si="50"/>
        <v>0.32969999999999999</v>
      </c>
      <c r="I153" s="272">
        <f t="shared" si="51"/>
        <v>7.8099893845218205E-4</v>
      </c>
      <c r="J153" s="289">
        <f>IF(OR(A153=SABANA!$C$14, D153="adicional"),0,_xlfn.DAYS(B153,A153)+1)</f>
        <v>31</v>
      </c>
      <c r="K153" s="527">
        <f t="shared" si="53"/>
        <v>0</v>
      </c>
    </row>
    <row r="154" spans="1:11" x14ac:dyDescent="0.35">
      <c r="A154" s="152">
        <f>IF(
    AND(
        YEAR(B153)=YEAR(DATE(YEAR($E$1),MONTH($E$1)-1,1)),
        MONTH(B153)=MONTH(DATE(YEAR($E$1),MONTH($E$1)-1,1))
    ),
    $E$1,
    IF(
        AND(
            YEAR(B153)=YEAR(DATE(YEAR($K$1),MONTH($K$1)-1,1)),
            MONTH(B153)=MONTH(DATE(YEAR($K$1),MONTH($K$1)-1,1))
        ),
        $K$1,
        IF(
            $E$4="",
            DATE(YEAR(B153),MONTH(B153)+1,1),
            IF(
                AND(
                    YEAR(B153)=YEAR(DATE(YEAR($E$4),MONTH($E$4)-1,1)),
                    MONTH(B153)=MONTH(DATE(YEAR($E$4),MONTH($E$4)-1,1))
                ),
                $E$4,
                DATE(YEAR(B153),MONTH(B153)+1,1)
            )
        )
    )
)</f>
        <v>42948</v>
      </c>
      <c r="B154" s="152">
        <f>IF(
AND(
YEAR(B153)=YEAR(DATE(YEAR($E$2),MONTH($E$2)-1,1)),
MONTH(B153)=MONTH(DATE(YEAR($E$2),MONTH($E$2)-1,1))
),
$E$2,
IF(
$E$3="",
EOMONTH(B153,1),
IF(
AND(
YEAR(B153)=YEAR(DATE(YEAR($E$3),MONTH($E$3)-1,1)),
MONTH(B153)=MONTH(DATE(YEAR($E$3),MONTH($E$3)-1,1))
),
$E$3,
EOMONTH(B153,1)
)))</f>
        <v>42978</v>
      </c>
      <c r="C154" s="471"/>
      <c r="D154" s="149" t="s">
        <v>104</v>
      </c>
      <c r="E154" s="271">
        <f>'CAP POST'!G153</f>
        <v>0</v>
      </c>
      <c r="F154" s="271">
        <f t="shared" si="52"/>
        <v>0</v>
      </c>
      <c r="G154" s="215">
        <v>0.2198</v>
      </c>
      <c r="H154" s="288">
        <f t="shared" si="50"/>
        <v>0.32969999999999999</v>
      </c>
      <c r="I154" s="272">
        <f t="shared" si="51"/>
        <v>7.8099893845218205E-4</v>
      </c>
      <c r="J154" s="289">
        <f>IF(OR(A154=SABANA!$C$14, D154="adicional"),0,_xlfn.DAYS(B154,A154)+1)</f>
        <v>31</v>
      </c>
      <c r="K154" s="527">
        <f t="shared" si="53"/>
        <v>0</v>
      </c>
    </row>
    <row r="155" spans="1:11" x14ac:dyDescent="0.35">
      <c r="A155" s="152">
        <f>IF(
    AND(
        YEAR(B154)=YEAR(DATE(YEAR($E$1),MONTH($E$1)-1,1)),
        MONTH(B154)=MONTH(DATE(YEAR($E$1),MONTH($E$1)-1,1))
    ),
    $E$1,
    IF(
        AND(
            YEAR(B154)=YEAR(DATE(YEAR($K$1),MONTH($K$1)-1,1)),
            MONTH(B154)=MONTH(DATE(YEAR($K$1),MONTH($K$1)-1,1))
        ),
        $K$1,
        IF(
            $E$4="",
            DATE(YEAR(B154),MONTH(B154)+1,1),
            IF(
                AND(
                    YEAR(B154)=YEAR(DATE(YEAR($E$4),MONTH($E$4)-1,1)),
                    MONTH(B154)=MONTH(DATE(YEAR($E$4),MONTH($E$4)-1,1))
                ),
                $E$4,
                DATE(YEAR(B154),MONTH(B154)+1,1)
            )
        )
    )
)</f>
        <v>42979</v>
      </c>
      <c r="B155" s="152">
        <f>IF(
AND(
YEAR(B154)=YEAR(DATE(YEAR($E$2),MONTH($E$2)-1,1)),
MONTH(B154)=MONTH(DATE(YEAR($E$2),MONTH($E$2)-1,1))
),
$E$2,
IF(
$E$3="",
EOMONTH(B154,1),
IF(
AND(
YEAR(B154)=YEAR(DATE(YEAR($E$3),MONTH($E$3)-1,1)),
MONTH(B154)=MONTH(DATE(YEAR($E$3),MONTH($E$3)-1,1))
),
$E$3,
EOMONTH(B154,1)
)))</f>
        <v>43008</v>
      </c>
      <c r="C155" s="471"/>
      <c r="D155" s="149" t="s">
        <v>105</v>
      </c>
      <c r="E155" s="271">
        <f>'CAP POST'!G154</f>
        <v>0</v>
      </c>
      <c r="F155" s="271">
        <f t="shared" si="52"/>
        <v>0</v>
      </c>
      <c r="G155" s="215">
        <v>0.2198</v>
      </c>
      <c r="H155" s="288">
        <f t="shared" si="50"/>
        <v>0.32969999999999999</v>
      </c>
      <c r="I155" s="272">
        <f t="shared" si="51"/>
        <v>7.8099893845218205E-4</v>
      </c>
      <c r="J155" s="289">
        <f>IF(OR(A155=SABANA!$C$14, D155="adicional"),0,_xlfn.DAYS(B155,A155)+1)</f>
        <v>30</v>
      </c>
      <c r="K155" s="527">
        <f t="shared" si="53"/>
        <v>0</v>
      </c>
    </row>
    <row r="156" spans="1:11" x14ac:dyDescent="0.35">
      <c r="A156" s="152">
        <f>IF(
    AND(
        YEAR(B155)=YEAR(DATE(YEAR($E$1),MONTH($E$1)-1,1)),
        MONTH(B155)=MONTH(DATE(YEAR($E$1),MONTH($E$1)-1,1))
    ),
    $E$1,
    IF(
        AND(
            YEAR(B155)=YEAR(DATE(YEAR($K$1),MONTH($K$1)-1,1)),
            MONTH(B155)=MONTH(DATE(YEAR($K$1),MONTH($K$1)-1,1))
        ),
        $K$1,
        IF(
            $E$4="",
            DATE(YEAR(B155),MONTH(B155)+1,1),
            IF(
                AND(
                    YEAR(B155)=YEAR(DATE(YEAR($E$4),MONTH($E$4)-1,1)),
                    MONTH(B155)=MONTH(DATE(YEAR($E$4),MONTH($E$4)-1,1))
                ),
                $E$4,
                DATE(YEAR(B155),MONTH(B155)+1,1)
            )
        )
    )
)</f>
        <v>43009</v>
      </c>
      <c r="B156" s="152">
        <f>IF(
AND(
YEAR(B155)=YEAR(DATE(YEAR($E$2),MONTH($E$2)-1,1)),
MONTH(B155)=MONTH(DATE(YEAR($E$2),MONTH($E$2)-1,1))
),
$E$2,
IF(
$E$3="",
EOMONTH(B155,1),
IF(
AND(
YEAR(B155)=YEAR(DATE(YEAR($E$3),MONTH($E$3)-1,1)),
MONTH(B155)=MONTH(DATE(YEAR($E$3),MONTH($E$3)-1,1))
),
$E$3,
EOMONTH(B155,1)
)))</f>
        <v>43039</v>
      </c>
      <c r="C156" s="471"/>
      <c r="D156" s="149" t="s">
        <v>106</v>
      </c>
      <c r="E156" s="271">
        <f>'CAP POST'!G155</f>
        <v>0</v>
      </c>
      <c r="F156" s="271">
        <f t="shared" si="52"/>
        <v>0</v>
      </c>
      <c r="G156" s="215">
        <v>0.21990000000000001</v>
      </c>
      <c r="H156" s="288">
        <f t="shared" si="50"/>
        <v>0.32985000000000003</v>
      </c>
      <c r="I156" s="272">
        <f t="shared" si="51"/>
        <v>7.8130822380240161E-4</v>
      </c>
      <c r="J156" s="289">
        <f>IF(OR(A156=SABANA!$C$14, D156="adicional"),0,_xlfn.DAYS(B156,A156)+1)</f>
        <v>31</v>
      </c>
      <c r="K156" s="527">
        <f t="shared" si="53"/>
        <v>0</v>
      </c>
    </row>
    <row r="157" spans="1:11" x14ac:dyDescent="0.35">
      <c r="A157" s="152">
        <f>IF(
    AND(
        YEAR(B156)=YEAR(DATE(YEAR($E$1),MONTH($E$1)-1,1)),
        MONTH(B156)=MONTH(DATE(YEAR($E$1),MONTH($E$1)-1,1))
    ),
    $E$1,
    IF(
        AND(
            YEAR(B156)=YEAR(DATE(YEAR($K$1),MONTH($K$1)-1,1)),
            MONTH(B156)=MONTH(DATE(YEAR($K$1),MONTH($K$1)-1,1))
        ),
        $K$1,
        IF(
            $E$4="",
            DATE(YEAR(B156),MONTH(B156)+1,1),
            IF(
                AND(
                    YEAR(B156)=YEAR(DATE(YEAR($E$4),MONTH($E$4)-1,1)),
                    MONTH(B156)=MONTH(DATE(YEAR($E$4),MONTH($E$4)-1,1))
                ),
                $E$4,
                DATE(YEAR(B156),MONTH(B156)+1,1)
            )
        )
    )
)</f>
        <v>43040</v>
      </c>
      <c r="B157" s="152">
        <f>IF(
AND(
YEAR(B156)=YEAR(DATE(YEAR($E$2),MONTH($E$2)-1,1)),
MONTH(B156)=MONTH(DATE(YEAR($E$2),MONTH($E$2)-1,1))
),
$E$2,
IF(
$E$3="",
EOMONTH(B156,1),
IF(
AND(
YEAR(B156)=YEAR(DATE(YEAR($E$3),MONTH($E$3)-1,1)),
MONTH(B156)=MONTH(DATE(YEAR($E$3),MONTH($E$3)-1,1))
),
$E$3,
EOMONTH(B156,1)
)))</f>
        <v>43069</v>
      </c>
      <c r="C157" s="471"/>
      <c r="D157" s="149" t="s">
        <v>107</v>
      </c>
      <c r="E157" s="271">
        <f>'CAP POST'!G156</f>
        <v>0</v>
      </c>
      <c r="F157" s="271">
        <f t="shared" si="52"/>
        <v>0</v>
      </c>
      <c r="G157" s="215">
        <v>0.21990000000000001</v>
      </c>
      <c r="H157" s="288">
        <f>G157*1.5</f>
        <v>0.32985000000000003</v>
      </c>
      <c r="I157" s="272">
        <f t="shared" si="51"/>
        <v>7.8130822380240161E-4</v>
      </c>
      <c r="J157" s="289">
        <f>IF(OR(A157=SABANA!$C$14, D157="adicional"),0,_xlfn.DAYS(B157,A157)+1)</f>
        <v>30</v>
      </c>
      <c r="K157" s="527">
        <f t="shared" si="53"/>
        <v>0</v>
      </c>
    </row>
    <row r="158" spans="1:11" x14ac:dyDescent="0.35">
      <c r="A158" s="156">
        <f t="shared" ref="A158" si="63">A157</f>
        <v>43040</v>
      </c>
      <c r="B158" s="156">
        <f t="shared" ref="B158" si="64">B157</f>
        <v>43069</v>
      </c>
      <c r="C158" s="471"/>
      <c r="D158" s="157" t="s">
        <v>101</v>
      </c>
      <c r="E158" s="274">
        <f>'CAP POST'!G157</f>
        <v>0</v>
      </c>
      <c r="F158" s="271">
        <f t="shared" si="52"/>
        <v>0</v>
      </c>
      <c r="G158" s="275"/>
      <c r="H158" s="292"/>
      <c r="I158" s="276">
        <f t="shared" si="51"/>
        <v>0</v>
      </c>
      <c r="J158" s="289">
        <f>IF(OR(A158=SABANA!$C$14, D158="adicional"),0,_xlfn.DAYS(B158,A158)+1)</f>
        <v>0</v>
      </c>
      <c r="K158" s="527">
        <f t="shared" si="53"/>
        <v>0</v>
      </c>
    </row>
    <row r="159" spans="1:11" ht="15" thickBot="1" x14ac:dyDescent="0.4">
      <c r="A159" s="152">
        <f>IF(
    AND(
        YEAR(B157)=YEAR(DATE(YEAR($E$1),MONTH($E$1)-1,1)),
        MONTH(B157)=MONTH(DATE(YEAR($E$1),MONTH($E$1)-1,1))
    ),
    $E$1,
    IF(
        AND(
            YEAR(B157)=YEAR(DATE(YEAR($K$1),MONTH($K$1)-1,1)),
            MONTH(B157)=MONTH(DATE(YEAR($K$1),MONTH($K$1)-1,1))
        ),
        $K$1,
        IF(
            $E$4="",
            DATE(YEAR(B157),MONTH(B157)+1,1),
            IF(
                AND(
                    YEAR(B157)=YEAR(DATE(YEAR($E$4),MONTH($E$4)-1,1)),
                    MONTH(B157)=MONTH(DATE(YEAR($E$4),MONTH($E$4)-1,1))
                ),
                $E$4,
                DATE(YEAR(B157),MONTH(B157)+1,1)
            )
        )
    )
)</f>
        <v>43070</v>
      </c>
      <c r="B159" s="152">
        <f>IF(
AND(
YEAR(B157)=YEAR(DATE(YEAR($E$2),MONTH($E$2)-1,1)),
MONTH(B157)=MONTH(DATE(YEAR($E$2),MONTH($E$2)-1,1))
),
$E$2,
IF(
$E$3="",
EOMONTH(B157,1),
IF(
AND(
YEAR(B157)=YEAR(DATE(YEAR($E$3),MONTH($E$3)-1,1)),
MONTH(B157)=MONTH(DATE(YEAR($E$3),MONTH($E$3)-1,1))
),
$E$3,
EOMONTH(B157,1)
)))</f>
        <v>43100</v>
      </c>
      <c r="C159" s="471"/>
      <c r="D159" s="149" t="s">
        <v>108</v>
      </c>
      <c r="E159" s="271">
        <f>'CAP POST'!G158</f>
        <v>0</v>
      </c>
      <c r="F159" s="271">
        <f t="shared" si="52"/>
        <v>0</v>
      </c>
      <c r="G159" s="215">
        <v>0.21990000000000001</v>
      </c>
      <c r="H159" s="288">
        <f t="shared" si="50"/>
        <v>0.32985000000000003</v>
      </c>
      <c r="I159" s="272">
        <f t="shared" si="51"/>
        <v>7.8130822380240161E-4</v>
      </c>
      <c r="J159" s="289">
        <f>IF(OR(A159=SABANA!$C$14, D159="adicional"),0,_xlfn.DAYS(B159,A159)+1)</f>
        <v>31</v>
      </c>
      <c r="K159" s="527">
        <f t="shared" ref="K159" si="65">IF(AND(OR(A159&gt;=$E$4,B159&lt;=$E$3), AND(A158&gt;=$E$1,B158&lt;$E$2)),(F157*I159*H159),0)</f>
        <v>0</v>
      </c>
    </row>
    <row r="160" spans="1:11" ht="15" thickBot="1" x14ac:dyDescent="0.4">
      <c r="A160" s="152">
        <f>IF(
    AND(
        YEAR(B159)=YEAR(DATE(YEAR($E$1),MONTH($E$1)-1,1)),
        MONTH(B159)=MONTH(DATE(YEAR($E$1),MONTH($E$1)-1,1))
    ),
    $E$1,
    IF(
        AND(
            YEAR(B159)=YEAR(DATE(YEAR($K$1),MONTH($K$1)-1,1)),
            MONTH(B159)=MONTH(DATE(YEAR($K$1),MONTH($K$1)-1,1))
        ),
        $K$1,
        IF(
            $E$4="",
            DATE(YEAR(B159),MONTH(B159)+1,1),
            IF(
                AND(
                    YEAR(B159)=YEAR(DATE(YEAR($E$4),MONTH($E$4)-1,1)),
                    MONTH(B159)=MONTH(DATE(YEAR($E$4),MONTH($E$4)-1,1))
                ),
                $E$4,
                DATE(YEAR(B159),MONTH(B159)+1,1)
            )
        )
    )
)</f>
        <v>43101</v>
      </c>
      <c r="B160" s="152">
        <f>IF(
AND(
YEAR(B159)=YEAR(DATE(YEAR($E$2),MONTH($E$2)-1,1)),
MONTH(B159)=MONTH(DATE(YEAR($E$2),MONTH($E$2)-1,1))
),
$E$2,
IF(
$E$3="",
EOMONTH(B159,1),
IF(
AND(
YEAR(B159)=YEAR(DATE(YEAR($E$3),MONTH($E$3)-1,1)),
MONTH(B159)=MONTH(DATE(YEAR($E$3),MONTH($E$3)-1,1))
),
$E$3,
EOMONTH(B159,1)
)))</f>
        <v>43131</v>
      </c>
      <c r="C160" s="523">
        <v>2018</v>
      </c>
      <c r="D160" s="149" t="s">
        <v>96</v>
      </c>
      <c r="E160" s="271">
        <f>'CAP POST'!G159</f>
        <v>0</v>
      </c>
      <c r="F160" s="271">
        <f t="shared" si="52"/>
        <v>0</v>
      </c>
      <c r="G160" s="215">
        <v>0.2069</v>
      </c>
      <c r="H160" s="288">
        <f t="shared" si="50"/>
        <v>0.31035000000000001</v>
      </c>
      <c r="I160" s="272">
        <f t="shared" si="51"/>
        <v>7.4080652774299871E-4</v>
      </c>
      <c r="J160" s="289">
        <f>IF(OR(A160=SABANA!$C$14, D160="adicional"),0,_xlfn.DAYS(B160,A160)+1)</f>
        <v>31</v>
      </c>
      <c r="K160" s="527">
        <f t="shared" si="53"/>
        <v>0</v>
      </c>
    </row>
    <row r="161" spans="1:11" ht="15" thickBot="1" x14ac:dyDescent="0.4">
      <c r="A161" s="152">
        <f>IF(
    AND(
        YEAR(B160)=YEAR(DATE(YEAR($E$1),MONTH($E$1)-1,1)),
        MONTH(B160)=MONTH(DATE(YEAR($E$1),MONTH($E$1)-1,1))
    ),
    $E$1,
    IF(
        AND(
            YEAR(B160)=YEAR(DATE(YEAR($K$1),MONTH($K$1)-1,1)),
            MONTH(B160)=MONTH(DATE(YEAR($K$1),MONTH($K$1)-1,1))
        ),
        $K$1,
        IF(
            $E$4="",
            DATE(YEAR(B160),MONTH(B160)+1,1),
            IF(
                AND(
                    YEAR(B160)=YEAR(DATE(YEAR($E$4),MONTH($E$4)-1,1)),
                    MONTH(B160)=MONTH(DATE(YEAR($E$4),MONTH($E$4)-1,1))
                ),
                $E$4,
                DATE(YEAR(B160),MONTH(B160)+1,1)
            )
        )
    )
)</f>
        <v>43132</v>
      </c>
      <c r="B161" s="152">
        <f>IF(
AND(
YEAR(B160)=YEAR(DATE(YEAR($E$2),MONTH($E$2)-1,1)),
MONTH(B160)=MONTH(DATE(YEAR($E$2),MONTH($E$2)-1,1))
),
$E$2,
IF(
$E$3="",
EOMONTH(B160,1),
IF(
AND(
YEAR(B160)=YEAR(DATE(YEAR($E$3),MONTH($E$3)-1,1)),
MONTH(B160)=MONTH(DATE(YEAR($E$3),MONTH($E$3)-1,1))
),
$E$3,
EOMONTH(B160,1)
)))</f>
        <v>43159</v>
      </c>
      <c r="C161" s="523"/>
      <c r="D161" s="149" t="s">
        <v>97</v>
      </c>
      <c r="E161" s="271">
        <f>'CAP POST'!G160</f>
        <v>0</v>
      </c>
      <c r="F161" s="271">
        <f t="shared" si="52"/>
        <v>0</v>
      </c>
      <c r="G161" s="215">
        <v>0.21010000000000001</v>
      </c>
      <c r="H161" s="288">
        <v>0.29519999999999996</v>
      </c>
      <c r="I161" s="272">
        <f t="shared" si="51"/>
        <v>7.0892273793354832E-4</v>
      </c>
      <c r="J161" s="289">
        <f>IF(OR(A161=SABANA!$C$14, D161="adicional"),0,_xlfn.DAYS(B161,A161)+1)</f>
        <v>28</v>
      </c>
      <c r="K161" s="527">
        <f t="shared" si="53"/>
        <v>0</v>
      </c>
    </row>
    <row r="162" spans="1:11" ht="15" thickBot="1" x14ac:dyDescent="0.4">
      <c r="A162" s="152">
        <f>IF(
    AND(
        YEAR(B161)=YEAR(DATE(YEAR($E$1),MONTH($E$1)-1,1)),
        MONTH(B161)=MONTH(DATE(YEAR($E$1),MONTH($E$1)-1,1))
    ),
    $E$1,
    IF(
        AND(
            YEAR(B161)=YEAR(DATE(YEAR($K$1),MONTH($K$1)-1,1)),
            MONTH(B161)=MONTH(DATE(YEAR($K$1),MONTH($K$1)-1,1))
        ),
        $K$1,
        IF(
            $E$4="",
            DATE(YEAR(B161),MONTH(B161)+1,1),
            IF(
                AND(
                    YEAR(B161)=YEAR(DATE(YEAR($E$4),MONTH($E$4)-1,1)),
                    MONTH(B161)=MONTH(DATE(YEAR($E$4),MONTH($E$4)-1,1))
                ),
                $E$4,
                DATE(YEAR(B161),MONTH(B161)+1,1)
            )
        )
    )
)</f>
        <v>43160</v>
      </c>
      <c r="B162" s="152">
        <f>IF(
AND(
YEAR(B161)=YEAR(DATE(YEAR($E$2),MONTH($E$2)-1,1)),
MONTH(B161)=MONTH(DATE(YEAR($E$2),MONTH($E$2)-1,1))
),
$E$2,
IF(
$E$3="",
EOMONTH(B161,1),
IF(
AND(
YEAR(B161)=YEAR(DATE(YEAR($E$3),MONTH($E$3)-1,1)),
MONTH(B161)=MONTH(DATE(YEAR($E$3),MONTH($E$3)-1,1))
),
$E$3,
EOMONTH(B161,1)
)))</f>
        <v>43190</v>
      </c>
      <c r="C162" s="523"/>
      <c r="D162" s="149" t="s">
        <v>98</v>
      </c>
      <c r="E162" s="271">
        <f>'CAP POST'!G161</f>
        <v>0</v>
      </c>
      <c r="F162" s="271">
        <f t="shared" si="52"/>
        <v>0</v>
      </c>
      <c r="G162" s="215">
        <v>0.20680000000000001</v>
      </c>
      <c r="H162" s="288">
        <v>0.29020000000000001</v>
      </c>
      <c r="I162" s="272">
        <f t="shared" si="51"/>
        <v>6.9831835496403372E-4</v>
      </c>
      <c r="J162" s="289">
        <f>IF(OR(A162=SABANA!$C$14, D162="adicional"),0,_xlfn.DAYS(B162,A162)+1)</f>
        <v>31</v>
      </c>
      <c r="K162" s="527">
        <f t="shared" si="53"/>
        <v>0</v>
      </c>
    </row>
    <row r="163" spans="1:11" ht="15" thickBot="1" x14ac:dyDescent="0.4">
      <c r="A163" s="152">
        <f>IF(
    AND(
        YEAR(B162)=YEAR(DATE(YEAR($E$1),MONTH($E$1)-1,1)),
        MONTH(B162)=MONTH(DATE(YEAR($E$1),MONTH($E$1)-1,1))
    ),
    $E$1,
    IF(
        AND(
            YEAR(B162)=YEAR(DATE(YEAR($K$1),MONTH($K$1)-1,1)),
            MONTH(B162)=MONTH(DATE(YEAR($K$1),MONTH($K$1)-1,1))
        ),
        $K$1,
        IF(
            $E$4="",
            DATE(YEAR(B162),MONTH(B162)+1,1),
            IF(
                AND(
                    YEAR(B162)=YEAR(DATE(YEAR($E$4),MONTH($E$4)-1,1)),
                    MONTH(B162)=MONTH(DATE(YEAR($E$4),MONTH($E$4)-1,1))
                ),
                $E$4,
                DATE(YEAR(B162),MONTH(B162)+1,1)
            )
        )
    )
)</f>
        <v>43191</v>
      </c>
      <c r="B163" s="152">
        <f>IF(
AND(
YEAR(B162)=YEAR(DATE(YEAR($E$2),MONTH($E$2)-1,1)),
MONTH(B162)=MONTH(DATE(YEAR($E$2),MONTH($E$2)-1,1))
),
$E$2,
IF(
$E$3="",
EOMONTH(B162,1),
IF(
AND(
YEAR(B162)=YEAR(DATE(YEAR($E$3),MONTH($E$3)-1,1)),
MONTH(B162)=MONTH(DATE(YEAR($E$3),MONTH($E$3)-1,1))
),
$E$3,
EOMONTH(B162,1)
)))</f>
        <v>43220</v>
      </c>
      <c r="C163" s="523"/>
      <c r="D163" s="149" t="s">
        <v>99</v>
      </c>
      <c r="E163" s="271">
        <f>'CAP POST'!G162</f>
        <v>0</v>
      </c>
      <c r="F163" s="271">
        <f t="shared" si="52"/>
        <v>0</v>
      </c>
      <c r="G163" s="215">
        <v>0.20480000000000001</v>
      </c>
      <c r="H163" s="288">
        <v>0.28720000000000001</v>
      </c>
      <c r="I163" s="272">
        <f t="shared" si="51"/>
        <v>6.9193603543982185E-4</v>
      </c>
      <c r="J163" s="289">
        <f>IF(OR(A163=SABANA!$C$14, D163="adicional"),0,_xlfn.DAYS(B163,A163)+1)</f>
        <v>30</v>
      </c>
      <c r="K163" s="527">
        <f t="shared" si="53"/>
        <v>0</v>
      </c>
    </row>
    <row r="164" spans="1:11" ht="15" thickBot="1" x14ac:dyDescent="0.4">
      <c r="A164" s="152">
        <f>IF(
    AND(
        YEAR(B163)=YEAR(DATE(YEAR($E$1),MONTH($E$1)-1,1)),
        MONTH(B163)=MONTH(DATE(YEAR($E$1),MONTH($E$1)-1,1))
    ),
    $E$1,
    IF(
        AND(
            YEAR(B163)=YEAR(DATE(YEAR($K$1),MONTH($K$1)-1,1)),
            MONTH(B163)=MONTH(DATE(YEAR($K$1),MONTH($K$1)-1,1))
        ),
        $K$1,
        IF(
            $E$4="",
            DATE(YEAR(B163),MONTH(B163)+1,1),
            IF(
                AND(
                    YEAR(B163)=YEAR(DATE(YEAR($E$4),MONTH($E$4)-1,1)),
                    MONTH(B163)=MONTH(DATE(YEAR($E$4),MONTH($E$4)-1,1))
                ),
                $E$4,
                DATE(YEAR(B163),MONTH(B163)+1,1)
            )
        )
    )
)</f>
        <v>43221</v>
      </c>
      <c r="B164" s="152">
        <f>IF(
AND(
YEAR(B163)=YEAR(DATE(YEAR($E$2),MONTH($E$2)-1,1)),
MONTH(B163)=MONTH(DATE(YEAR($E$2),MONTH($E$2)-1,1))
),
$E$2,
IF(
$E$3="",
EOMONTH(B163,1),
IF(
AND(
YEAR(B163)=YEAR(DATE(YEAR($E$3),MONTH($E$3)-1,1)),
MONTH(B163)=MONTH(DATE(YEAR($E$3),MONTH($E$3)-1,1))
),
$E$3,
EOMONTH(B163,1)
)))</f>
        <v>43251</v>
      </c>
      <c r="C164" s="523"/>
      <c r="D164" s="149" t="s">
        <v>100</v>
      </c>
      <c r="E164" s="271">
        <f>'CAP POST'!G163</f>
        <v>0</v>
      </c>
      <c r="F164" s="271">
        <f t="shared" si="52"/>
        <v>0</v>
      </c>
      <c r="G164" s="215">
        <v>0.2044</v>
      </c>
      <c r="H164" s="288">
        <v>0.28660000000000002</v>
      </c>
      <c r="I164" s="272">
        <f t="shared" si="51"/>
        <v>6.9065779157884144E-4</v>
      </c>
      <c r="J164" s="289">
        <f>IF(OR(A164=SABANA!$C$14, D164="adicional"),0,_xlfn.DAYS(B164,A164)+1)</f>
        <v>31</v>
      </c>
      <c r="K164" s="527">
        <f t="shared" si="53"/>
        <v>0</v>
      </c>
    </row>
    <row r="165" spans="1:11" ht="15" thickBot="1" x14ac:dyDescent="0.4">
      <c r="A165" s="156">
        <f t="shared" ref="A165" si="66">A166</f>
        <v>43252</v>
      </c>
      <c r="B165" s="156">
        <f t="shared" ref="B165" si="67">B166</f>
        <v>43281</v>
      </c>
      <c r="C165" s="523"/>
      <c r="D165" s="157" t="s">
        <v>101</v>
      </c>
      <c r="E165" s="274">
        <f>'CAP POST'!G164</f>
        <v>0</v>
      </c>
      <c r="F165" s="271">
        <f t="shared" si="52"/>
        <v>0</v>
      </c>
      <c r="G165" s="290"/>
      <c r="H165" s="291"/>
      <c r="I165" s="276">
        <f t="shared" si="51"/>
        <v>0</v>
      </c>
      <c r="J165" s="289">
        <f>IF(OR(A165=SABANA!$C$14, D165="adicional"),0,_xlfn.DAYS(B165,A165)+1)</f>
        <v>0</v>
      </c>
      <c r="K165" s="527">
        <f t="shared" si="53"/>
        <v>0</v>
      </c>
    </row>
    <row r="166" spans="1:11" ht="15" thickBot="1" x14ac:dyDescent="0.4">
      <c r="A166" s="152">
        <f>IF(
    AND(
        YEAR(B164)=YEAR(DATE(YEAR($E$1),MONTH($E$1)-1,1)),
        MONTH(B164)=MONTH(DATE(YEAR($E$1),MONTH($E$1)-1,1))
    ),
    $E$1,
    IF(
        AND(
            YEAR(B164)=YEAR(DATE(YEAR($K$1),MONTH($K$1)-1,1)),
            MONTH(B164)=MONTH(DATE(YEAR($K$1),MONTH($K$1)-1,1))
        ),
        $K$1,
        IF(
            $E$4="",
            DATE(YEAR(B164),MONTH(B164)+1,1),
            IF(
                AND(
                    YEAR(B164)=YEAR(DATE(YEAR($E$4),MONTH($E$4)-1,1)),
                    MONTH(B164)=MONTH(DATE(YEAR($E$4),MONTH($E$4)-1,1))
                ),
                $E$4,
                DATE(YEAR(B164),MONTH(B164)+1,1)
            )
        )
    )
)</f>
        <v>43252</v>
      </c>
      <c r="B166" s="152">
        <f>IF(
AND(
YEAR(B164)=YEAR(DATE(YEAR($E$2),MONTH($E$2)-1,1)),
MONTH(B164)=MONTH(DATE(YEAR($E$2),MONTH($E$2)-1,1))
),
$E$2,
IF(
$E$3="",
EOMONTH(B164,1),
IF(
AND(
YEAR(B164)=YEAR(DATE(YEAR($E$3),MONTH($E$3)-1,1)),
MONTH(B164)=MONTH(DATE(YEAR($E$3),MONTH($E$3)-1,1))
),
$E$3,
EOMONTH(B164,1)
)))</f>
        <v>43281</v>
      </c>
      <c r="C166" s="523"/>
      <c r="D166" s="149" t="s">
        <v>102</v>
      </c>
      <c r="E166" s="271">
        <f>'CAP POST'!G165</f>
        <v>0</v>
      </c>
      <c r="F166" s="271">
        <f t="shared" si="52"/>
        <v>0</v>
      </c>
      <c r="G166" s="215">
        <v>0.20280000000000001</v>
      </c>
      <c r="H166" s="288">
        <v>0.28420000000000001</v>
      </c>
      <c r="I166" s="272">
        <f t="shared" si="51"/>
        <v>6.8553886450595236E-4</v>
      </c>
      <c r="J166" s="289">
        <f>IF(OR(A166=SABANA!$C$14, D166="adicional"),0,_xlfn.DAYS(B166,A166)+1)</f>
        <v>30</v>
      </c>
      <c r="K166" s="527">
        <f t="shared" ref="K166" si="68">IF(AND(OR(A166&gt;=$E$4,B166&lt;=$E$3), AND(A165&gt;=$E$1,B165&lt;$E$2)),(F164*I166*H166),0)</f>
        <v>0</v>
      </c>
    </row>
    <row r="167" spans="1:11" ht="15" thickBot="1" x14ac:dyDescent="0.4">
      <c r="A167" s="152">
        <f>IF(
    AND(
        YEAR(B166)=YEAR(DATE(YEAR($E$1),MONTH($E$1)-1,1)),
        MONTH(B166)=MONTH(DATE(YEAR($E$1),MONTH($E$1)-1,1))
    ),
    $E$1,
    IF(
        AND(
            YEAR(B166)=YEAR(DATE(YEAR($K$1),MONTH($K$1)-1,1)),
            MONTH(B166)=MONTH(DATE(YEAR($K$1),MONTH($K$1)-1,1))
        ),
        $K$1,
        IF(
            $E$4="",
            DATE(YEAR(B166),MONTH(B166)+1,1),
            IF(
                AND(
                    YEAR(B166)=YEAR(DATE(YEAR($E$4),MONTH($E$4)-1,1)),
                    MONTH(B166)=MONTH(DATE(YEAR($E$4),MONTH($E$4)-1,1))
                ),
                $E$4,
                DATE(YEAR(B166),MONTH(B166)+1,1)
            )
        )
    )
)</f>
        <v>43282</v>
      </c>
      <c r="B167" s="152">
        <f>IF(
AND(
YEAR(B166)=YEAR(DATE(YEAR($E$2),MONTH($E$2)-1,1)),
MONTH(B166)=MONTH(DATE(YEAR($E$2),MONTH($E$2)-1,1))
),
$E$2,
IF(
$E$3="",
EOMONTH(B166,1),
IF(
AND(
YEAR(B166)=YEAR(DATE(YEAR($E$3),MONTH($E$3)-1,1)),
MONTH(B166)=MONTH(DATE(YEAR($E$3),MONTH($E$3)-1,1))
),
$E$3,
EOMONTH(B166,1)
)))</f>
        <v>43312</v>
      </c>
      <c r="C167" s="523"/>
      <c r="D167" s="149" t="s">
        <v>103</v>
      </c>
      <c r="E167" s="271">
        <f>'CAP POST'!G166</f>
        <v>0</v>
      </c>
      <c r="F167" s="271">
        <f t="shared" si="52"/>
        <v>0</v>
      </c>
      <c r="G167" s="215">
        <v>0.20030000000000001</v>
      </c>
      <c r="H167" s="288">
        <v>0.28050000000000003</v>
      </c>
      <c r="I167" s="272">
        <f t="shared" si="51"/>
        <v>6.7762846364582963E-4</v>
      </c>
      <c r="J167" s="289">
        <f>IF(OR(A167=SABANA!$C$14, D167="adicional"),0,_xlfn.DAYS(B167,A167)+1)</f>
        <v>31</v>
      </c>
      <c r="K167" s="527">
        <f t="shared" si="53"/>
        <v>0</v>
      </c>
    </row>
    <row r="168" spans="1:11" ht="15" thickBot="1" x14ac:dyDescent="0.4">
      <c r="A168" s="152">
        <f>IF(
    AND(
        YEAR(B167)=YEAR(DATE(YEAR($E$1),MONTH($E$1)-1,1)),
        MONTH(B167)=MONTH(DATE(YEAR($E$1),MONTH($E$1)-1,1))
    ),
    $E$1,
    IF(
        AND(
            YEAR(B167)=YEAR(DATE(YEAR($K$1),MONTH($K$1)-1,1)),
            MONTH(B167)=MONTH(DATE(YEAR($K$1),MONTH($K$1)-1,1))
        ),
        $K$1,
        IF(
            $E$4="",
            DATE(YEAR(B167),MONTH(B167)+1,1),
            IF(
                AND(
                    YEAR(B167)=YEAR(DATE(YEAR($E$4),MONTH($E$4)-1,1)),
                    MONTH(B167)=MONTH(DATE(YEAR($E$4),MONTH($E$4)-1,1))
                ),
                $E$4,
                DATE(YEAR(B167),MONTH(B167)+1,1)
            )
        )
    )
)</f>
        <v>43313</v>
      </c>
      <c r="B168" s="152">
        <f>IF(
AND(
YEAR(B167)=YEAR(DATE(YEAR($E$2),MONTH($E$2)-1,1)),
MONTH(B167)=MONTH(DATE(YEAR($E$2),MONTH($E$2)-1,1))
),
$E$2,
IF(
$E$3="",
EOMONTH(B167,1),
IF(
AND(
YEAR(B167)=YEAR(DATE(YEAR($E$3),MONTH($E$3)-1,1)),
MONTH(B167)=MONTH(DATE(YEAR($E$3),MONTH($E$3)-1,1))
),
$E$3,
EOMONTH(B167,1)
)))</f>
        <v>43343</v>
      </c>
      <c r="C168" s="523"/>
      <c r="D168" s="149" t="s">
        <v>104</v>
      </c>
      <c r="E168" s="271">
        <f>'CAP POST'!G167</f>
        <v>0</v>
      </c>
      <c r="F168" s="271">
        <f t="shared" si="52"/>
        <v>0</v>
      </c>
      <c r="G168" s="215">
        <v>0.19939999999999999</v>
      </c>
      <c r="H168" s="288">
        <v>0.27910000000000001</v>
      </c>
      <c r="I168" s="272">
        <f t="shared" si="51"/>
        <v>6.7462939332840755E-4</v>
      </c>
      <c r="J168" s="289">
        <f>IF(OR(A168=SABANA!$C$14, D168="adicional"),0,_xlfn.DAYS(B168,A168)+1)</f>
        <v>31</v>
      </c>
      <c r="K168" s="527">
        <f t="shared" si="53"/>
        <v>0</v>
      </c>
    </row>
    <row r="169" spans="1:11" ht="15" thickBot="1" x14ac:dyDescent="0.4">
      <c r="A169" s="152">
        <f>IF(
    AND(
        YEAR(B168)=YEAR(DATE(YEAR($E$1),MONTH($E$1)-1,1)),
        MONTH(B168)=MONTH(DATE(YEAR($E$1),MONTH($E$1)-1,1))
    ),
    $E$1,
    IF(
        AND(
            YEAR(B168)=YEAR(DATE(YEAR($K$1),MONTH($K$1)-1,1)),
            MONTH(B168)=MONTH(DATE(YEAR($K$1),MONTH($K$1)-1,1))
        ),
        $K$1,
        IF(
            $E$4="",
            DATE(YEAR(B168),MONTH(B168)+1,1),
            IF(
                AND(
                    YEAR(B168)=YEAR(DATE(YEAR($E$4),MONTH($E$4)-1,1)),
                    MONTH(B168)=MONTH(DATE(YEAR($E$4),MONTH($E$4)-1,1))
                ),
                $E$4,
                DATE(YEAR(B168),MONTH(B168)+1,1)
            )
        )
    )
)</f>
        <v>43344</v>
      </c>
      <c r="B169" s="152">
        <f>IF(
AND(
YEAR(B168)=YEAR(DATE(YEAR($E$2),MONTH($E$2)-1,1)),
MONTH(B168)=MONTH(DATE(YEAR($E$2),MONTH($E$2)-1,1))
),
$E$2,
IF(
$E$3="",
EOMONTH(B168,1),
IF(
AND(
YEAR(B168)=YEAR(DATE(YEAR($E$3),MONTH($E$3)-1,1)),
MONTH(B168)=MONTH(DATE(YEAR($E$3),MONTH($E$3)-1,1))
),
$E$3,
EOMONTH(B168,1)
)))</f>
        <v>43373</v>
      </c>
      <c r="C169" s="523"/>
      <c r="D169" s="149" t="s">
        <v>105</v>
      </c>
      <c r="E169" s="271">
        <f>'CAP POST'!G168</f>
        <v>0</v>
      </c>
      <c r="F169" s="271">
        <f t="shared" si="52"/>
        <v>0</v>
      </c>
      <c r="G169" s="215">
        <v>0.1981</v>
      </c>
      <c r="H169" s="288">
        <v>0.2772</v>
      </c>
      <c r="I169" s="272">
        <f t="shared" si="51"/>
        <v>6.7055398623727669E-4</v>
      </c>
      <c r="J169" s="289">
        <f>IF(OR(A169=SABANA!$C$14, D169="adicional"),0,_xlfn.DAYS(B169,A169)+1)</f>
        <v>30</v>
      </c>
      <c r="K169" s="527">
        <f t="shared" si="53"/>
        <v>0</v>
      </c>
    </row>
    <row r="170" spans="1:11" ht="15" thickBot="1" x14ac:dyDescent="0.4">
      <c r="A170" s="152">
        <f>IF(
    AND(
        YEAR(B169)=YEAR(DATE(YEAR($E$1),MONTH($E$1)-1,1)),
        MONTH(B169)=MONTH(DATE(YEAR($E$1),MONTH($E$1)-1,1))
    ),
    $E$1,
    IF(
        AND(
            YEAR(B169)=YEAR(DATE(YEAR($K$1),MONTH($K$1)-1,1)),
            MONTH(B169)=MONTH(DATE(YEAR($K$1),MONTH($K$1)-1,1))
        ),
        $K$1,
        IF(
            $E$4="",
            DATE(YEAR(B169),MONTH(B169)+1,1),
            IF(
                AND(
                    YEAR(B169)=YEAR(DATE(YEAR($E$4),MONTH($E$4)-1,1)),
                    MONTH(B169)=MONTH(DATE(YEAR($E$4),MONTH($E$4)-1,1))
                ),
                $E$4,
                DATE(YEAR(B169),MONTH(B169)+1,1)
            )
        )
    )
)</f>
        <v>43374</v>
      </c>
      <c r="B170" s="152">
        <f>IF(
AND(
YEAR(B169)=YEAR(DATE(YEAR($E$2),MONTH($E$2)-1,1)),
MONTH(B169)=MONTH(DATE(YEAR($E$2),MONTH($E$2)-1,1))
),
$E$2,
IF(
$E$3="",
EOMONTH(B169,1),
IF(
AND(
YEAR(B169)=YEAR(DATE(YEAR($E$3),MONTH($E$3)-1,1)),
MONTH(B169)=MONTH(DATE(YEAR($E$3),MONTH($E$3)-1,1))
),
$E$3,
EOMONTH(B169,1)
)))</f>
        <v>43404</v>
      </c>
      <c r="C170" s="523"/>
      <c r="D170" s="149" t="s">
        <v>106</v>
      </c>
      <c r="E170" s="271">
        <f>'CAP POST'!G169</f>
        <v>0</v>
      </c>
      <c r="F170" s="271">
        <f t="shared" si="52"/>
        <v>0</v>
      </c>
      <c r="G170" s="215">
        <v>0.1963</v>
      </c>
      <c r="H170" s="288">
        <f>G170*1.5</f>
        <v>0.29444999999999999</v>
      </c>
      <c r="I170" s="272">
        <f t="shared" si="51"/>
        <v>7.073346857742191E-4</v>
      </c>
      <c r="J170" s="289">
        <f>IF(OR(A170=SABANA!$C$14, D170="adicional"),0,_xlfn.DAYS(B170,A170)+1)</f>
        <v>31</v>
      </c>
      <c r="K170" s="527">
        <f t="shared" si="53"/>
        <v>0</v>
      </c>
    </row>
    <row r="171" spans="1:11" ht="15" thickBot="1" x14ac:dyDescent="0.4">
      <c r="A171" s="152">
        <f>IF(
    AND(
        YEAR(B170)=YEAR(DATE(YEAR($E$1),MONTH($E$1)-1,1)),
        MONTH(B170)=MONTH(DATE(YEAR($E$1),MONTH($E$1)-1,1))
    ),
    $E$1,
    IF(
        AND(
            YEAR(B170)=YEAR(DATE(YEAR($K$1),MONTH($K$1)-1,1)),
            MONTH(B170)=MONTH(DATE(YEAR($K$1),MONTH($K$1)-1,1))
        ),
        $K$1,
        IF(
            $E$4="",
            DATE(YEAR(B170),MONTH(B170)+1,1),
            IF(
                AND(
                    YEAR(B170)=YEAR(DATE(YEAR($E$4),MONTH($E$4)-1,1)),
                    MONTH(B170)=MONTH(DATE(YEAR($E$4),MONTH($E$4)-1,1))
                ),
                $E$4,
                DATE(YEAR(B170),MONTH(B170)+1,1)
            )
        )
    )
)</f>
        <v>43405</v>
      </c>
      <c r="B171" s="152">
        <f>IF(
AND(
YEAR(B170)=YEAR(DATE(YEAR($E$2),MONTH($E$2)-1,1)),
MONTH(B170)=MONTH(DATE(YEAR($E$2),MONTH($E$2)-1,1))
),
$E$2,
IF(
$E$3="",
EOMONTH(B170,1),
IF(
AND(
YEAR(B170)=YEAR(DATE(YEAR($E$3),MONTH($E$3)-1,1)),
MONTH(B170)=MONTH(DATE(YEAR($E$3),MONTH($E$3)-1,1))
),
$E$3,
EOMONTH(B170,1)
)))</f>
        <v>43434</v>
      </c>
      <c r="C171" s="523"/>
      <c r="D171" s="149" t="s">
        <v>107</v>
      </c>
      <c r="E171" s="271">
        <f>'CAP POST'!G170</f>
        <v>0</v>
      </c>
      <c r="F171" s="271">
        <f t="shared" si="52"/>
        <v>0</v>
      </c>
      <c r="G171" s="215">
        <v>0.19489999999999999</v>
      </c>
      <c r="H171" s="288">
        <v>0.29239999999999999</v>
      </c>
      <c r="I171" s="272">
        <f t="shared" si="51"/>
        <v>7.0298932362988786E-4</v>
      </c>
      <c r="J171" s="289">
        <f>IF(OR(A171=SABANA!$C$14, D171="adicional"),0,_xlfn.DAYS(B171,A171)+1)</f>
        <v>30</v>
      </c>
      <c r="K171" s="527">
        <f t="shared" si="53"/>
        <v>0</v>
      </c>
    </row>
    <row r="172" spans="1:11" ht="15" thickBot="1" x14ac:dyDescent="0.4">
      <c r="A172" s="156">
        <f t="shared" ref="A172" si="69">A171</f>
        <v>43405</v>
      </c>
      <c r="B172" s="156">
        <f t="shared" ref="B172" si="70">B171</f>
        <v>43434</v>
      </c>
      <c r="C172" s="523"/>
      <c r="D172" s="157" t="s">
        <v>101</v>
      </c>
      <c r="E172" s="274">
        <f>'CAP POST'!G171</f>
        <v>0</v>
      </c>
      <c r="F172" s="271">
        <f t="shared" si="52"/>
        <v>0</v>
      </c>
      <c r="G172" s="275"/>
      <c r="H172" s="292"/>
      <c r="I172" s="276">
        <f t="shared" si="51"/>
        <v>0</v>
      </c>
      <c r="J172" s="289">
        <f>IF(OR(A172=SABANA!$C$14, D172="adicional"),0,_xlfn.DAYS(B172,A172)+1)</f>
        <v>0</v>
      </c>
      <c r="K172" s="527">
        <f t="shared" si="53"/>
        <v>0</v>
      </c>
    </row>
    <row r="173" spans="1:11" ht="15" thickBot="1" x14ac:dyDescent="0.4">
      <c r="A173" s="152">
        <f>IF(
    AND(
        YEAR(B171)=YEAR(DATE(YEAR($E$1),MONTH($E$1)-1,1)),
        MONTH(B171)=MONTH(DATE(YEAR($E$1),MONTH($E$1)-1,1))
    ),
    $E$1,
    IF(
        AND(
            YEAR(B171)=YEAR(DATE(YEAR($K$1),MONTH($K$1)-1,1)),
            MONTH(B171)=MONTH(DATE(YEAR($K$1),MONTH($K$1)-1,1))
        ),
        $K$1,
        IF(
            $E$4="",
            DATE(YEAR(B171),MONTH(B171)+1,1),
            IF(
                AND(
                    YEAR(B171)=YEAR(DATE(YEAR($E$4),MONTH($E$4)-1,1)),
                    MONTH(B171)=MONTH(DATE(YEAR($E$4),MONTH($E$4)-1,1))
                ),
                $E$4,
                DATE(YEAR(B171),MONTH(B171)+1,1)
            )
        )
    )
)</f>
        <v>43435</v>
      </c>
      <c r="B173" s="152">
        <f>IF(
AND(
YEAR(B171)=YEAR(DATE(YEAR($E$2),MONTH($E$2)-1,1)),
MONTH(B171)=MONTH(DATE(YEAR($E$2),MONTH($E$2)-1,1))
),
$E$2,
IF(
$E$3="",
EOMONTH(B171,1),
IF(
AND(
YEAR(B171)=YEAR(DATE(YEAR($E$3),MONTH($E$3)-1,1)),
MONTH(B171)=MONTH(DATE(YEAR($E$3),MONTH($E$3)-1,1))
),
$E$3,
EOMONTH(B171,1)
)))</f>
        <v>43465</v>
      </c>
      <c r="C173" s="523"/>
      <c r="D173" s="149" t="s">
        <v>108</v>
      </c>
      <c r="E173" s="271">
        <f>'CAP POST'!G172</f>
        <v>0</v>
      </c>
      <c r="F173" s="271">
        <f t="shared" si="52"/>
        <v>0</v>
      </c>
      <c r="G173" s="215">
        <v>0.19400000000000001</v>
      </c>
      <c r="H173" s="288">
        <v>0.29099999999999998</v>
      </c>
      <c r="I173" s="272">
        <f t="shared" si="51"/>
        <v>7.0001780740103214E-4</v>
      </c>
      <c r="J173" s="289">
        <f>IF(OR(A173=SABANA!$C$14, D173="adicional"),0,_xlfn.DAYS(B173,A173)+1)</f>
        <v>31</v>
      </c>
      <c r="K173" s="527">
        <f t="shared" ref="K173" si="71">IF(AND(OR(A173&gt;=$E$4,B173&lt;=$E$3), AND(A172&gt;=$E$1,B172&lt;$E$2)),(F171*I173*H173),0)</f>
        <v>0</v>
      </c>
    </row>
    <row r="174" spans="1:11" ht="15" thickBot="1" x14ac:dyDescent="0.4">
      <c r="A174" s="152">
        <f>IF(
    AND(
        YEAR(B173)=YEAR(DATE(YEAR($E$1),MONTH($E$1)-1,1)),
        MONTH(B173)=MONTH(DATE(YEAR($E$1),MONTH($E$1)-1,1))
    ),
    $E$1,
    IF(
        AND(
            YEAR(B173)=YEAR(DATE(YEAR($K$1),MONTH($K$1)-1,1)),
            MONTH(B173)=MONTH(DATE(YEAR($K$1),MONTH($K$1)-1,1))
        ),
        $K$1,
        IF(
            $E$4="",
            DATE(YEAR(B173),MONTH(B173)+1,1),
            IF(
                AND(
                    YEAR(B173)=YEAR(DATE(YEAR($E$4),MONTH($E$4)-1,1)),
                    MONTH(B173)=MONTH(DATE(YEAR($E$4),MONTH($E$4)-1,1))
                ),
                $E$4,
                DATE(YEAR(B173),MONTH(B173)+1,1)
            )
        )
    )
)</f>
        <v>43466</v>
      </c>
      <c r="B174" s="152">
        <f>IF(
AND(
YEAR(B173)=YEAR(DATE(YEAR($E$2),MONTH($E$2)-1,1)),
MONTH(B173)=MONTH(DATE(YEAR($E$2),MONTH($E$2)-1,1))
),
$E$2,
IF(
$E$3="",
EOMONTH(B173,1),
IF(
AND(
YEAR(B173)=YEAR(DATE(YEAR($E$3),MONTH($E$3)-1,1)),
MONTH(B173)=MONTH(DATE(YEAR($E$3),MONTH($E$3)-1,1))
),
$E$3,
EOMONTH(B173,1)
)))</f>
        <v>43496</v>
      </c>
      <c r="C174" s="523">
        <v>2019</v>
      </c>
      <c r="D174" s="149" t="s">
        <v>96</v>
      </c>
      <c r="E174" s="271">
        <f>'CAP POST'!G173</f>
        <v>0</v>
      </c>
      <c r="F174" s="271">
        <f t="shared" si="52"/>
        <v>0</v>
      </c>
      <c r="G174" s="215">
        <v>0.19159999999999999</v>
      </c>
      <c r="H174" s="288">
        <v>0.28739999999999999</v>
      </c>
      <c r="I174" s="272">
        <f t="shared" si="51"/>
        <v>6.9236198468725085E-4</v>
      </c>
      <c r="J174" s="289">
        <f>IF(OR(A174=SABANA!$C$14, D174="adicional"),0,_xlfn.DAYS(B174,A174)+1)</f>
        <v>31</v>
      </c>
      <c r="K174" s="527">
        <f t="shared" si="53"/>
        <v>0</v>
      </c>
    </row>
    <row r="175" spans="1:11" ht="15" thickBot="1" x14ac:dyDescent="0.4">
      <c r="A175" s="152">
        <f>IF(
    AND(
        YEAR(B174)=YEAR(DATE(YEAR($E$1),MONTH($E$1)-1,1)),
        MONTH(B174)=MONTH(DATE(YEAR($E$1),MONTH($E$1)-1,1))
    ),
    $E$1,
    IF(
        AND(
            YEAR(B174)=YEAR(DATE(YEAR($K$1),MONTH($K$1)-1,1)),
            MONTH(B174)=MONTH(DATE(YEAR($K$1),MONTH($K$1)-1,1))
        ),
        $K$1,
        IF(
            $E$4="",
            DATE(YEAR(B174),MONTH(B174)+1,1),
            IF(
                AND(
                    YEAR(B174)=YEAR(DATE(YEAR($E$4),MONTH($E$4)-1,1)),
                    MONTH(B174)=MONTH(DATE(YEAR($E$4),MONTH($E$4)-1,1))
                ),
                $E$4,
                DATE(YEAR(B174),MONTH(B174)+1,1)
            )
        )
    )
)</f>
        <v>43497</v>
      </c>
      <c r="B175" s="152">
        <f>IF(
AND(
YEAR(B174)=YEAR(DATE(YEAR($E$2),MONTH($E$2)-1,1)),
MONTH(B174)=MONTH(DATE(YEAR($E$2),MONTH($E$2)-1,1))
),
$E$2,
IF(
$E$3="",
EOMONTH(B174,1),
IF(
AND(
YEAR(B174)=YEAR(DATE(YEAR($E$3),MONTH($E$3)-1,1)),
MONTH(B174)=MONTH(DATE(YEAR($E$3),MONTH($E$3)-1,1))
),
$E$3,
EOMONTH(B174,1)
)))</f>
        <v>43524</v>
      </c>
      <c r="C175" s="523"/>
      <c r="D175" s="149" t="s">
        <v>97</v>
      </c>
      <c r="E175" s="271">
        <f>'CAP POST'!G174</f>
        <v>0</v>
      </c>
      <c r="F175" s="271">
        <f t="shared" si="52"/>
        <v>0</v>
      </c>
      <c r="G175" s="215">
        <v>0.19700000000000001</v>
      </c>
      <c r="H175" s="288">
        <v>0.29549999999999998</v>
      </c>
      <c r="I175" s="272">
        <f t="shared" si="51"/>
        <v>7.0955770203506852E-4</v>
      </c>
      <c r="J175" s="289">
        <f>IF(OR(A175=SABANA!$C$14, D175="adicional"),0,_xlfn.DAYS(B175,A175)+1)</f>
        <v>28</v>
      </c>
      <c r="K175" s="527">
        <f t="shared" si="53"/>
        <v>0</v>
      </c>
    </row>
    <row r="176" spans="1:11" ht="15" thickBot="1" x14ac:dyDescent="0.4">
      <c r="A176" s="152">
        <f>IF(
    AND(
        YEAR(B175)=YEAR(DATE(YEAR($E$1),MONTH($E$1)-1,1)),
        MONTH(B175)=MONTH(DATE(YEAR($E$1),MONTH($E$1)-1,1))
    ),
    $E$1,
    IF(
        AND(
            YEAR(B175)=YEAR(DATE(YEAR($K$1),MONTH($K$1)-1,1)),
            MONTH(B175)=MONTH(DATE(YEAR($K$1),MONTH($K$1)-1,1))
        ),
        $K$1,
        IF(
            $E$4="",
            DATE(YEAR(B175),MONTH(B175)+1,1),
            IF(
                AND(
                    YEAR(B175)=YEAR(DATE(YEAR($E$4),MONTH($E$4)-1,1)),
                    MONTH(B175)=MONTH(DATE(YEAR($E$4),MONTH($E$4)-1,1))
                ),
                $E$4,
                DATE(YEAR(B175),MONTH(B175)+1,1)
            )
        )
    )
)</f>
        <v>43525</v>
      </c>
      <c r="B176" s="152">
        <f>IF(
AND(
YEAR(B175)=YEAR(DATE(YEAR($E$2),MONTH($E$2)-1,1)),
MONTH(B175)=MONTH(DATE(YEAR($E$2),MONTH($E$2)-1,1))
),
$E$2,
IF(
$E$3="",
EOMONTH(B175,1),
IF(
AND(
YEAR(B175)=YEAR(DATE(YEAR($E$3),MONTH($E$3)-1,1)),
MONTH(B175)=MONTH(DATE(YEAR($E$3),MONTH($E$3)-1,1))
),
$E$3,
EOMONTH(B175,1)
)))</f>
        <v>43555</v>
      </c>
      <c r="C176" s="523"/>
      <c r="D176" s="149" t="s">
        <v>98</v>
      </c>
      <c r="E176" s="271">
        <f>'CAP POST'!G175</f>
        <v>0</v>
      </c>
      <c r="F176" s="271">
        <f t="shared" si="52"/>
        <v>0</v>
      </c>
      <c r="G176" s="215">
        <v>0.19370000000000001</v>
      </c>
      <c r="H176" s="288">
        <v>0.29060000000000002</v>
      </c>
      <c r="I176" s="272">
        <f t="shared" si="51"/>
        <v>6.9916821250104455E-4</v>
      </c>
      <c r="J176" s="289">
        <f>IF(OR(A176=SABANA!$C$14, D176="adicional"),0,_xlfn.DAYS(B176,A176)+1)</f>
        <v>31</v>
      </c>
      <c r="K176" s="527">
        <f t="shared" si="53"/>
        <v>0</v>
      </c>
    </row>
    <row r="177" spans="1:11" ht="15" thickBot="1" x14ac:dyDescent="0.4">
      <c r="A177" s="152">
        <f>IF(
    AND(
        YEAR(B176)=YEAR(DATE(YEAR($E$1),MONTH($E$1)-1,1)),
        MONTH(B176)=MONTH(DATE(YEAR($E$1),MONTH($E$1)-1,1))
    ),
    $E$1,
    IF(
        AND(
            YEAR(B176)=YEAR(DATE(YEAR($K$1),MONTH($K$1)-1,1)),
            MONTH(B176)=MONTH(DATE(YEAR($K$1),MONTH($K$1)-1,1))
        ),
        $K$1,
        IF(
            $E$4="",
            DATE(YEAR(B176),MONTH(B176)+1,1),
            IF(
                AND(
                    YEAR(B176)=YEAR(DATE(YEAR($E$4),MONTH($E$4)-1,1)),
                    MONTH(B176)=MONTH(DATE(YEAR($E$4),MONTH($E$4)-1,1))
                ),
                $E$4,
                DATE(YEAR(B176),MONTH(B176)+1,1)
            )
        )
    )
)</f>
        <v>43556</v>
      </c>
      <c r="B177" s="152">
        <f>IF(
AND(
YEAR(B176)=YEAR(DATE(YEAR($E$2),MONTH($E$2)-1,1)),
MONTH(B176)=MONTH(DATE(YEAR($E$2),MONTH($E$2)-1,1))
),
$E$2,
IF(
$E$3="",
EOMONTH(B176,1),
IF(
AND(
YEAR(B176)=YEAR(DATE(YEAR($E$3),MONTH($E$3)-1,1)),
MONTH(B176)=MONTH(DATE(YEAR($E$3),MONTH($E$3)-1,1))
),
$E$3,
EOMONTH(B176,1)
)))</f>
        <v>43585</v>
      </c>
      <c r="C177" s="523"/>
      <c r="D177" s="149" t="s">
        <v>99</v>
      </c>
      <c r="E177" s="271">
        <f>'CAP POST'!G176</f>
        <v>0</v>
      </c>
      <c r="F177" s="271">
        <f t="shared" si="52"/>
        <v>0</v>
      </c>
      <c r="G177" s="215">
        <v>0.19320000000000001</v>
      </c>
      <c r="H177" s="288">
        <v>0.2898</v>
      </c>
      <c r="I177" s="272">
        <f t="shared" si="51"/>
        <v>6.9746823462724095E-4</v>
      </c>
      <c r="J177" s="289">
        <f>IF(OR(A177=SABANA!$C$14, D177="adicional"),0,_xlfn.DAYS(B177,A177)+1)</f>
        <v>30</v>
      </c>
      <c r="K177" s="527">
        <f t="shared" si="53"/>
        <v>0</v>
      </c>
    </row>
    <row r="178" spans="1:11" ht="15" thickBot="1" x14ac:dyDescent="0.4">
      <c r="A178" s="152">
        <f>IF(
    AND(
        YEAR(B177)=YEAR(DATE(YEAR($E$1),MONTH($E$1)-1,1)),
        MONTH(B177)=MONTH(DATE(YEAR($E$1),MONTH($E$1)-1,1))
    ),
    $E$1,
    IF(
        AND(
            YEAR(B177)=YEAR(DATE(YEAR($K$1),MONTH($K$1)-1,1)),
            MONTH(B177)=MONTH(DATE(YEAR($K$1),MONTH($K$1)-1,1))
        ),
        $K$1,
        IF(
            $E$4="",
            DATE(YEAR(B177),MONTH(B177)+1,1),
            IF(
                AND(
                    YEAR(B177)=YEAR(DATE(YEAR($E$4),MONTH($E$4)-1,1)),
                    MONTH(B177)=MONTH(DATE(YEAR($E$4),MONTH($E$4)-1,1))
                ),
                $E$4,
                DATE(YEAR(B177),MONTH(B177)+1,1)
            )
        )
    )
)</f>
        <v>43586</v>
      </c>
      <c r="B178" s="152">
        <f>IF(
AND(
YEAR(B177)=YEAR(DATE(YEAR($E$2),MONTH($E$2)-1,1)),
MONTH(B177)=MONTH(DATE(YEAR($E$2),MONTH($E$2)-1,1))
),
$E$2,
IF(
$E$3="",
EOMONTH(B177,1),
IF(
AND(
YEAR(B177)=YEAR(DATE(YEAR($E$3),MONTH($E$3)-1,1)),
MONTH(B177)=MONTH(DATE(YEAR($E$3),MONTH($E$3)-1,1))
),
$E$3,
EOMONTH(B177,1)
)))</f>
        <v>43616</v>
      </c>
      <c r="C178" s="523"/>
      <c r="D178" s="149" t="s">
        <v>100</v>
      </c>
      <c r="E178" s="271">
        <f>'CAP POST'!G177</f>
        <v>0</v>
      </c>
      <c r="F178" s="271">
        <f t="shared" si="52"/>
        <v>0</v>
      </c>
      <c r="G178" s="215">
        <v>0.19339999999999999</v>
      </c>
      <c r="H178" s="288">
        <v>0.29010000000000002</v>
      </c>
      <c r="I178" s="272">
        <f t="shared" si="51"/>
        <v>6.9810584952367805E-4</v>
      </c>
      <c r="J178" s="289">
        <f>IF(OR(A178=SABANA!$C$14, D178="adicional"),0,_xlfn.DAYS(B178,A178)+1)</f>
        <v>31</v>
      </c>
      <c r="K178" s="527">
        <f t="shared" si="53"/>
        <v>0</v>
      </c>
    </row>
    <row r="179" spans="1:11" ht="15" thickBot="1" x14ac:dyDescent="0.4">
      <c r="A179" s="156">
        <f t="shared" ref="A179" si="72">A180</f>
        <v>43617</v>
      </c>
      <c r="B179" s="156">
        <f t="shared" ref="B179" si="73">B180</f>
        <v>43646</v>
      </c>
      <c r="C179" s="523"/>
      <c r="D179" s="157" t="s">
        <v>101</v>
      </c>
      <c r="E179" s="274">
        <f>'CAP POST'!G178</f>
        <v>0</v>
      </c>
      <c r="F179" s="271">
        <f t="shared" si="52"/>
        <v>0</v>
      </c>
      <c r="G179" s="290"/>
      <c r="H179" s="291"/>
      <c r="I179" s="276">
        <f t="shared" si="51"/>
        <v>0</v>
      </c>
      <c r="J179" s="289">
        <f>IF(OR(A179=SABANA!$C$14, D179="adicional"),0,_xlfn.DAYS(B179,A179)+1)</f>
        <v>0</v>
      </c>
      <c r="K179" s="527">
        <f t="shared" si="53"/>
        <v>0</v>
      </c>
    </row>
    <row r="180" spans="1:11" ht="15" thickBot="1" x14ac:dyDescent="0.4">
      <c r="A180" s="152">
        <f>IF(
    AND(
        YEAR(B178)=YEAR(DATE(YEAR($E$1),MONTH($E$1)-1,1)),
        MONTH(B178)=MONTH(DATE(YEAR($E$1),MONTH($E$1)-1,1))
    ),
    $E$1,
    IF(
        AND(
            YEAR(B178)=YEAR(DATE(YEAR($K$1),MONTH($K$1)-1,1)),
            MONTH(B178)=MONTH(DATE(YEAR($K$1),MONTH($K$1)-1,1))
        ),
        $K$1,
        IF(
            $E$4="",
            DATE(YEAR(B178),MONTH(B178)+1,1),
            IF(
                AND(
                    YEAR(B178)=YEAR(DATE(YEAR($E$4),MONTH($E$4)-1,1)),
                    MONTH(B178)=MONTH(DATE(YEAR($E$4),MONTH($E$4)-1,1))
                ),
                $E$4,
                DATE(YEAR(B178),MONTH(B178)+1,1)
            )
        )
    )
)</f>
        <v>43617</v>
      </c>
      <c r="B180" s="152">
        <f>IF(
AND(
YEAR(B178)=YEAR(DATE(YEAR($E$2),MONTH($E$2)-1,1)),
MONTH(B178)=MONTH(DATE(YEAR($E$2),MONTH($E$2)-1,1))
),
$E$2,
IF(
$E$3="",
EOMONTH(B178,1),
IF(
AND(
YEAR(B178)=YEAR(DATE(YEAR($E$3),MONTH($E$3)-1,1)),
MONTH(B178)=MONTH(DATE(YEAR($E$3),MONTH($E$3)-1,1))
),
$E$3,
EOMONTH(B178,1)
)))</f>
        <v>43646</v>
      </c>
      <c r="C180" s="523"/>
      <c r="D180" s="149" t="s">
        <v>102</v>
      </c>
      <c r="E180" s="271">
        <f>'CAP POST'!G179</f>
        <v>0</v>
      </c>
      <c r="F180" s="271">
        <f t="shared" si="52"/>
        <v>0</v>
      </c>
      <c r="G180" s="215">
        <v>0.193</v>
      </c>
      <c r="H180" s="288">
        <v>0.28949999999999998</v>
      </c>
      <c r="I180" s="272">
        <f t="shared" si="51"/>
        <v>6.9683047181468005E-4</v>
      </c>
      <c r="J180" s="289">
        <f>IF(OR(A180=SABANA!$C$14, D180="adicional"),0,_xlfn.DAYS(B180,A180)+1)</f>
        <v>30</v>
      </c>
      <c r="K180" s="527">
        <f t="shared" ref="K180" si="74">IF(AND(OR(A180&gt;=$E$4,B180&lt;=$E$3), AND(A179&gt;=$E$1,B179&lt;$E$2)),(F178*I180*H180),0)</f>
        <v>0</v>
      </c>
    </row>
    <row r="181" spans="1:11" ht="15" thickBot="1" x14ac:dyDescent="0.4">
      <c r="A181" s="152">
        <f>IF(
    AND(
        YEAR(B180)=YEAR(DATE(YEAR($E$1),MONTH($E$1)-1,1)),
        MONTH(B180)=MONTH(DATE(YEAR($E$1),MONTH($E$1)-1,1))
    ),
    $E$1,
    IF(
        AND(
            YEAR(B180)=YEAR(DATE(YEAR($K$1),MONTH($K$1)-1,1)),
            MONTH(B180)=MONTH(DATE(YEAR($K$1),MONTH($K$1)-1,1))
        ),
        $K$1,
        IF(
            $E$4="",
            DATE(YEAR(B180),MONTH(B180)+1,1),
            IF(
                AND(
                    YEAR(B180)=YEAR(DATE(YEAR($E$4),MONTH($E$4)-1,1)),
                    MONTH(B180)=MONTH(DATE(YEAR($E$4),MONTH($E$4)-1,1))
                ),
                $E$4,
                DATE(YEAR(B180),MONTH(B180)+1,1)
            )
        )
    )
)</f>
        <v>43647</v>
      </c>
      <c r="B181" s="152">
        <f>IF(
AND(
YEAR(B180)=YEAR(DATE(YEAR($E$2),MONTH($E$2)-1,1)),
MONTH(B180)=MONTH(DATE(YEAR($E$2),MONTH($E$2)-1,1))
),
$E$2,
IF(
$E$3="",
EOMONTH(B180,1),
IF(
AND(
YEAR(B180)=YEAR(DATE(YEAR($E$3),MONTH($E$3)-1,1)),
MONTH(B180)=MONTH(DATE(YEAR($E$3),MONTH($E$3)-1,1))
),
$E$3,
EOMONTH(B180,1)
)))</f>
        <v>43677</v>
      </c>
      <c r="C181" s="523"/>
      <c r="D181" s="149" t="s">
        <v>103</v>
      </c>
      <c r="E181" s="271">
        <f>'CAP POST'!G180</f>
        <v>0</v>
      </c>
      <c r="F181" s="271">
        <f t="shared" si="52"/>
        <v>0</v>
      </c>
      <c r="G181" s="215">
        <v>0.1928</v>
      </c>
      <c r="H181" s="288">
        <v>0.28920000000000001</v>
      </c>
      <c r="I181" s="272">
        <f t="shared" si="51"/>
        <v>6.9619256101671745E-4</v>
      </c>
      <c r="J181" s="289">
        <f>IF(OR(A181=SABANA!$C$14, D181="adicional"),0,_xlfn.DAYS(B181,A181)+1)</f>
        <v>31</v>
      </c>
      <c r="K181" s="527">
        <f t="shared" si="53"/>
        <v>0</v>
      </c>
    </row>
    <row r="182" spans="1:11" ht="15" thickBot="1" x14ac:dyDescent="0.4">
      <c r="A182" s="152">
        <f>IF(
    AND(
        YEAR(B181)=YEAR(DATE(YEAR($E$1),MONTH($E$1)-1,1)),
        MONTH(B181)=MONTH(DATE(YEAR($E$1),MONTH($E$1)-1,1))
    ),
    $E$1,
    IF(
        AND(
            YEAR(B181)=YEAR(DATE(YEAR($K$1),MONTH($K$1)-1,1)),
            MONTH(B181)=MONTH(DATE(YEAR($K$1),MONTH($K$1)-1,1))
        ),
        $K$1,
        IF(
            $E$4="",
            DATE(YEAR(B181),MONTH(B181)+1,1),
            IF(
                AND(
                    YEAR(B181)=YEAR(DATE(YEAR($E$4),MONTH($E$4)-1,1)),
                    MONTH(B181)=MONTH(DATE(YEAR($E$4),MONTH($E$4)-1,1))
                ),
                $E$4,
                DATE(YEAR(B181),MONTH(B181)+1,1)
            )
        )
    )
)</f>
        <v>43678</v>
      </c>
      <c r="B182" s="152">
        <f>IF(
AND(
YEAR(B181)=YEAR(DATE(YEAR($E$2),MONTH($E$2)-1,1)),
MONTH(B181)=MONTH(DATE(YEAR($E$2),MONTH($E$2)-1,1))
),
$E$2,
IF(
$E$3="",
EOMONTH(B181,1),
IF(
AND(
YEAR(B181)=YEAR(DATE(YEAR($E$3),MONTH($E$3)-1,1)),
MONTH(B181)=MONTH(DATE(YEAR($E$3),MONTH($E$3)-1,1))
),
$E$3,
EOMONTH(B181,1)
)))</f>
        <v>43708</v>
      </c>
      <c r="C182" s="523"/>
      <c r="D182" s="149" t="s">
        <v>104</v>
      </c>
      <c r="E182" s="271">
        <f>'CAP POST'!G181</f>
        <v>0</v>
      </c>
      <c r="F182" s="271">
        <f t="shared" si="52"/>
        <v>0</v>
      </c>
      <c r="G182" s="215">
        <v>0.19320000000000001</v>
      </c>
      <c r="H182" s="288">
        <v>0.2898</v>
      </c>
      <c r="I182" s="272">
        <f t="shared" si="51"/>
        <v>6.9746823462724095E-4</v>
      </c>
      <c r="J182" s="289">
        <f>IF(OR(A182=SABANA!$C$14, D182="adicional"),0,_xlfn.DAYS(B182,A182)+1)</f>
        <v>31</v>
      </c>
      <c r="K182" s="527">
        <f t="shared" si="53"/>
        <v>0</v>
      </c>
    </row>
    <row r="183" spans="1:11" ht="15" thickBot="1" x14ac:dyDescent="0.4">
      <c r="A183" s="152">
        <f>IF(
    AND(
        YEAR(B182)=YEAR(DATE(YEAR($E$1),MONTH($E$1)-1,1)),
        MONTH(B182)=MONTH(DATE(YEAR($E$1),MONTH($E$1)-1,1))
    ),
    $E$1,
    IF(
        AND(
            YEAR(B182)=YEAR(DATE(YEAR($K$1),MONTH($K$1)-1,1)),
            MONTH(B182)=MONTH(DATE(YEAR($K$1),MONTH($K$1)-1,1))
        ),
        $K$1,
        IF(
            $E$4="",
            DATE(YEAR(B182),MONTH(B182)+1,1),
            IF(
                AND(
                    YEAR(B182)=YEAR(DATE(YEAR($E$4),MONTH($E$4)-1,1)),
                    MONTH(B182)=MONTH(DATE(YEAR($E$4),MONTH($E$4)-1,1))
                ),
                $E$4,
                DATE(YEAR(B182),MONTH(B182)+1,1)
            )
        )
    )
)</f>
        <v>43709</v>
      </c>
      <c r="B183" s="152">
        <f>IF(
AND(
YEAR(B182)=YEAR(DATE(YEAR($E$2),MONTH($E$2)-1,1)),
MONTH(B182)=MONTH(DATE(YEAR($E$2),MONTH($E$2)-1,1))
),
$E$2,
IF(
$E$3="",
EOMONTH(B182,1),
IF(
AND(
YEAR(B182)=YEAR(DATE(YEAR($E$3),MONTH($E$3)-1,1)),
MONTH(B182)=MONTH(DATE(YEAR($E$3),MONTH($E$3)-1,1))
),
$E$3,
EOMONTH(B182,1)
)))</f>
        <v>43738</v>
      </c>
      <c r="C183" s="523"/>
      <c r="D183" s="149" t="s">
        <v>105</v>
      </c>
      <c r="E183" s="271">
        <f>'CAP POST'!G182</f>
        <v>0</v>
      </c>
      <c r="F183" s="271">
        <f t="shared" si="52"/>
        <v>0</v>
      </c>
      <c r="G183" s="215">
        <v>0.19320000000000001</v>
      </c>
      <c r="H183" s="288">
        <v>0.2898</v>
      </c>
      <c r="I183" s="272">
        <f t="shared" si="51"/>
        <v>6.9746823462724095E-4</v>
      </c>
      <c r="J183" s="289">
        <f>IF(OR(A183=SABANA!$C$14, D183="adicional"),0,_xlfn.DAYS(B183,A183)+1)</f>
        <v>30</v>
      </c>
      <c r="K183" s="527">
        <f t="shared" si="53"/>
        <v>0</v>
      </c>
    </row>
    <row r="184" spans="1:11" ht="15" thickBot="1" x14ac:dyDescent="0.4">
      <c r="A184" s="152">
        <f>IF(
    AND(
        YEAR(B183)=YEAR(DATE(YEAR($E$1),MONTH($E$1)-1,1)),
        MONTH(B183)=MONTH(DATE(YEAR($E$1),MONTH($E$1)-1,1))
    ),
    $E$1,
    IF(
        AND(
            YEAR(B183)=YEAR(DATE(YEAR($K$1),MONTH($K$1)-1,1)),
            MONTH(B183)=MONTH(DATE(YEAR($K$1),MONTH($K$1)-1,1))
        ),
        $K$1,
        IF(
            $E$4="",
            DATE(YEAR(B183),MONTH(B183)+1,1),
            IF(
                AND(
                    YEAR(B183)=YEAR(DATE(YEAR($E$4),MONTH($E$4)-1,1)),
                    MONTH(B183)=MONTH(DATE(YEAR($E$4),MONTH($E$4)-1,1))
                ),
                $E$4,
                DATE(YEAR(B183),MONTH(B183)+1,1)
            )
        )
    )
)</f>
        <v>43739</v>
      </c>
      <c r="B184" s="152">
        <f>IF(
AND(
YEAR(B183)=YEAR(DATE(YEAR($E$2),MONTH($E$2)-1,1)),
MONTH(B183)=MONTH(DATE(YEAR($E$2),MONTH($E$2)-1,1))
),
$E$2,
IF(
$E$3="",
EOMONTH(B183,1),
IF(
AND(
YEAR(B183)=YEAR(DATE(YEAR($E$3),MONTH($E$3)-1,1)),
MONTH(B183)=MONTH(DATE(YEAR($E$3),MONTH($E$3)-1,1))
),
$E$3,
EOMONTH(B183,1)
)))</f>
        <v>43769</v>
      </c>
      <c r="C184" s="523"/>
      <c r="D184" s="149" t="s">
        <v>106</v>
      </c>
      <c r="E184" s="271">
        <f>'CAP POST'!G183</f>
        <v>0</v>
      </c>
      <c r="F184" s="271">
        <f t="shared" si="52"/>
        <v>0</v>
      </c>
      <c r="G184" s="215">
        <v>0.191</v>
      </c>
      <c r="H184" s="288">
        <v>0.28649999999999998</v>
      </c>
      <c r="I184" s="272">
        <f t="shared" si="51"/>
        <v>6.9044469314105683E-4</v>
      </c>
      <c r="J184" s="289">
        <f>IF(OR(A184=SABANA!$C$14, D184="adicional"),0,_xlfn.DAYS(B184,A184)+1)</f>
        <v>31</v>
      </c>
      <c r="K184" s="527">
        <f t="shared" si="53"/>
        <v>0</v>
      </c>
    </row>
    <row r="185" spans="1:11" ht="15" thickBot="1" x14ac:dyDescent="0.4">
      <c r="A185" s="152">
        <f>IF(
    AND(
        YEAR(B184)=YEAR(DATE(YEAR($E$1),MONTH($E$1)-1,1)),
        MONTH(B184)=MONTH(DATE(YEAR($E$1),MONTH($E$1)-1,1))
    ),
    $E$1,
    IF(
        AND(
            YEAR(B184)=YEAR(DATE(YEAR($K$1),MONTH($K$1)-1,1)),
            MONTH(B184)=MONTH(DATE(YEAR($K$1),MONTH($K$1)-1,1))
        ),
        $K$1,
        IF(
            $E$4="",
            DATE(YEAR(B184),MONTH(B184)+1,1),
            IF(
                AND(
                    YEAR(B184)=YEAR(DATE(YEAR($E$4),MONTH($E$4)-1,1)),
                    MONTH(B184)=MONTH(DATE(YEAR($E$4),MONTH($E$4)-1,1))
                ),
                $E$4,
                DATE(YEAR(B184),MONTH(B184)+1,1)
            )
        )
    )
)</f>
        <v>43770</v>
      </c>
      <c r="B185" s="152">
        <f>IF(
AND(
YEAR(B184)=YEAR(DATE(YEAR($E$2),MONTH($E$2)-1,1)),
MONTH(B184)=MONTH(DATE(YEAR($E$2),MONTH($E$2)-1,1))
),
$E$2,
IF(
$E$3="",
EOMONTH(B184,1),
IF(
AND(
YEAR(B184)=YEAR(DATE(YEAR($E$3),MONTH($E$3)-1,1)),
MONTH(B184)=MONTH(DATE(YEAR($E$3),MONTH($E$3)-1,1))
),
$E$3,
EOMONTH(B184,1)
)))</f>
        <v>43799</v>
      </c>
      <c r="C185" s="523"/>
      <c r="D185" s="149" t="s">
        <v>107</v>
      </c>
      <c r="E185" s="271">
        <f>'CAP POST'!G184</f>
        <v>0</v>
      </c>
      <c r="F185" s="271">
        <f t="shared" si="52"/>
        <v>0</v>
      </c>
      <c r="G185" s="215">
        <v>0.1903</v>
      </c>
      <c r="H185" s="288">
        <v>0.28549999999999998</v>
      </c>
      <c r="I185" s="272">
        <f t="shared" si="51"/>
        <v>6.8831279977077386E-4</v>
      </c>
      <c r="J185" s="289">
        <f>IF(OR(A185=SABANA!$C$14, D185="adicional"),0,_xlfn.DAYS(B185,A185)+1)</f>
        <v>30</v>
      </c>
      <c r="K185" s="527">
        <f t="shared" si="53"/>
        <v>0</v>
      </c>
    </row>
    <row r="186" spans="1:11" ht="15" thickBot="1" x14ac:dyDescent="0.4">
      <c r="A186" s="156">
        <f t="shared" ref="A186" si="75">A185</f>
        <v>43770</v>
      </c>
      <c r="B186" s="156">
        <f t="shared" ref="B186" si="76">B185</f>
        <v>43799</v>
      </c>
      <c r="C186" s="523"/>
      <c r="D186" s="157" t="s">
        <v>101</v>
      </c>
      <c r="E186" s="274">
        <f>'CAP POST'!G185</f>
        <v>0</v>
      </c>
      <c r="F186" s="271">
        <f t="shared" si="52"/>
        <v>0</v>
      </c>
      <c r="G186" s="275"/>
      <c r="H186" s="292"/>
      <c r="I186" s="276">
        <f t="shared" si="51"/>
        <v>0</v>
      </c>
      <c r="J186" s="289">
        <f>IF(OR(A186=SABANA!$C$14, D186="adicional"),0,_xlfn.DAYS(B186,A186)+1)</f>
        <v>0</v>
      </c>
      <c r="K186" s="527">
        <f t="shared" si="53"/>
        <v>0</v>
      </c>
    </row>
    <row r="187" spans="1:11" ht="15" thickBot="1" x14ac:dyDescent="0.4">
      <c r="A187" s="152">
        <f>IF(
    AND(
        YEAR(B185)=YEAR(DATE(YEAR($E$1),MONTH($E$1)-1,1)),
        MONTH(B185)=MONTH(DATE(YEAR($E$1),MONTH($E$1)-1,1))
    ),
    $E$1,
    IF(
        AND(
            YEAR(B185)=YEAR(DATE(YEAR($K$1),MONTH($K$1)-1,1)),
            MONTH(B185)=MONTH(DATE(YEAR($K$1),MONTH($K$1)-1,1))
        ),
        $K$1,
        IF(
            $E$4="",
            DATE(YEAR(B185),MONTH(B185)+1,1),
            IF(
                AND(
                    YEAR(B185)=YEAR(DATE(YEAR($E$4),MONTH($E$4)-1,1)),
                    MONTH(B185)=MONTH(DATE(YEAR($E$4),MONTH($E$4)-1,1))
                ),
                $E$4,
                DATE(YEAR(B185),MONTH(B185)+1,1)
            )
        )
    )
)</f>
        <v>43800</v>
      </c>
      <c r="B187" s="152">
        <f>IF(
AND(
YEAR(B185)=YEAR(DATE(YEAR($E$2),MONTH($E$2)-1,1)),
MONTH(B185)=MONTH(DATE(YEAR($E$2),MONTH($E$2)-1,1))
),
$E$2,
IF(
$E$3="",
EOMONTH(B185,1),
IF(
AND(
YEAR(B185)=YEAR(DATE(YEAR($E$3),MONTH($E$3)-1,1)),
MONTH(B185)=MONTH(DATE(YEAR($E$3),MONTH($E$3)-1,1))
),
$E$3,
EOMONTH(B185,1)
)))</f>
        <v>43830</v>
      </c>
      <c r="C187" s="523"/>
      <c r="D187" s="149" t="s">
        <v>108</v>
      </c>
      <c r="E187" s="271">
        <f>'CAP POST'!G186</f>
        <v>0</v>
      </c>
      <c r="F187" s="271">
        <f t="shared" si="52"/>
        <v>0</v>
      </c>
      <c r="G187" s="215">
        <v>0.18909999999999999</v>
      </c>
      <c r="H187" s="288">
        <v>0.28370000000000001</v>
      </c>
      <c r="I187" s="272">
        <f t="shared" si="51"/>
        <v>6.8447122059933641E-4</v>
      </c>
      <c r="J187" s="289">
        <f>IF(OR(A187=SABANA!$C$14, D187="adicional"),0,_xlfn.DAYS(B187,A187)+1)</f>
        <v>31</v>
      </c>
      <c r="K187" s="527">
        <f t="shared" ref="K187" si="77">IF(AND(OR(A187&gt;=$E$4,B187&lt;=$E$3), AND(A186&gt;=$E$1,B186&lt;$E$2)),(F185*I187*H187),0)</f>
        <v>0</v>
      </c>
    </row>
    <row r="188" spans="1:11" x14ac:dyDescent="0.35">
      <c r="A188" s="152">
        <f>IF(
    AND(
        YEAR(B187)=YEAR(DATE(YEAR($E$1),MONTH($E$1)-1,1)),
        MONTH(B187)=MONTH(DATE(YEAR($E$1),MONTH($E$1)-1,1))
    ),
    $E$1,
    IF(
        AND(
            YEAR(B187)=YEAR(DATE(YEAR($K$1),MONTH($K$1)-1,1)),
            MONTH(B187)=MONTH(DATE(YEAR($K$1),MONTH($K$1)-1,1))
        ),
        $K$1,
        IF(
            $E$4="",
            DATE(YEAR(B187),MONTH(B187)+1,1),
            IF(
                AND(
                    YEAR(B187)=YEAR(DATE(YEAR($E$4),MONTH($E$4)-1,1)),
                    MONTH(B187)=MONTH(DATE(YEAR($E$4),MONTH($E$4)-1,1))
                ),
                $E$4,
                DATE(YEAR(B187),MONTH(B187)+1,1)
            )
        )
    )
)</f>
        <v>43831</v>
      </c>
      <c r="B188" s="152">
        <f>IF(
AND(
YEAR(B187)=YEAR(DATE(YEAR($E$2),MONTH($E$2)-1,1)),
MONTH(B187)=MONTH(DATE(YEAR($E$2),MONTH($E$2)-1,1))
),
$E$2,
IF(
$E$3="",
EOMONTH(B187,1),
IF(
AND(
YEAR(B187)=YEAR(DATE(YEAR($E$3),MONTH($E$3)-1,1)),
MONTH(B187)=MONTH(DATE(YEAR($E$3),MONTH($E$3)-1,1))
),
$E$3,
EOMONTH(B187,1)
)))</f>
        <v>43861</v>
      </c>
      <c r="C188" s="524">
        <v>2020</v>
      </c>
      <c r="D188" s="149" t="s">
        <v>96</v>
      </c>
      <c r="E188" s="271">
        <f>'CAP POST'!G187</f>
        <v>0</v>
      </c>
      <c r="F188" s="271">
        <f t="shared" si="52"/>
        <v>0</v>
      </c>
      <c r="G188" s="215">
        <v>0.18770000000000001</v>
      </c>
      <c r="H188" s="288">
        <v>0.28160000000000002</v>
      </c>
      <c r="I188" s="272">
        <f t="shared" si="51"/>
        <v>6.7998258294688085E-4</v>
      </c>
      <c r="J188" s="289">
        <f>IF(OR(A188=SABANA!$C$14, D188="adicional"),0,_xlfn.DAYS(B188,A188)+1)</f>
        <v>31</v>
      </c>
      <c r="K188" s="527">
        <f t="shared" si="53"/>
        <v>0</v>
      </c>
    </row>
    <row r="189" spans="1:11" x14ac:dyDescent="0.35">
      <c r="A189" s="152">
        <f>IF(
    AND(
        YEAR(B188)=YEAR(DATE(YEAR($E$1),MONTH($E$1)-1,1)),
        MONTH(B188)=MONTH(DATE(YEAR($E$1),MONTH($E$1)-1,1))
    ),
    $E$1,
    IF(
        AND(
            YEAR(B188)=YEAR(DATE(YEAR($K$1),MONTH($K$1)-1,1)),
            MONTH(B188)=MONTH(DATE(YEAR($K$1),MONTH($K$1)-1,1))
        ),
        $K$1,
        IF(
            $E$4="",
            DATE(YEAR(B188),MONTH(B188)+1,1),
            IF(
                AND(
                    YEAR(B188)=YEAR(DATE(YEAR($E$4),MONTH($E$4)-1,1)),
                    MONTH(B188)=MONTH(DATE(YEAR($E$4),MONTH($E$4)-1,1))
                ),
                $E$4,
                DATE(YEAR(B188),MONTH(B188)+1,1)
            )
        )
    )
)</f>
        <v>43862</v>
      </c>
      <c r="B189" s="152">
        <f>IF(
AND(
YEAR(B188)=YEAR(DATE(YEAR($E$2),MONTH($E$2)-1,1)),
MONTH(B188)=MONTH(DATE(YEAR($E$2),MONTH($E$2)-1,1))
),
$E$2,
IF(
$E$3="",
EOMONTH(B188,1),
IF(
AND(
YEAR(B188)=YEAR(DATE(YEAR($E$3),MONTH($E$3)-1,1)),
MONTH(B188)=MONTH(DATE(YEAR($E$3),MONTH($E$3)-1,1))
),
$E$3,
EOMONTH(B188,1)
)))</f>
        <v>43890</v>
      </c>
      <c r="C189" s="525"/>
      <c r="D189" s="149" t="s">
        <v>97</v>
      </c>
      <c r="E189" s="271">
        <f>'CAP POST'!G188</f>
        <v>0</v>
      </c>
      <c r="F189" s="271">
        <f t="shared" si="52"/>
        <v>0</v>
      </c>
      <c r="G189" s="215">
        <v>0.19059999999999999</v>
      </c>
      <c r="H189" s="288">
        <v>0.28589999999999999</v>
      </c>
      <c r="I189" s="272">
        <f t="shared" si="51"/>
        <v>6.8916575551658532E-4</v>
      </c>
      <c r="J189" s="289">
        <f>IF(OR(A189=SABANA!$C$14, D189="adicional"),0,_xlfn.DAYS(B189,A189)+1)</f>
        <v>29</v>
      </c>
      <c r="K189" s="527">
        <f t="shared" si="53"/>
        <v>0</v>
      </c>
    </row>
    <row r="190" spans="1:11" x14ac:dyDescent="0.35">
      <c r="A190" s="152">
        <f>IF(
    AND(
        YEAR(B189)=YEAR(DATE(YEAR($E$1),MONTH($E$1)-1,1)),
        MONTH(B189)=MONTH(DATE(YEAR($E$1),MONTH($E$1)-1,1))
    ),
    $E$1,
    IF(
        AND(
            YEAR(B189)=YEAR(DATE(YEAR($K$1),MONTH($K$1)-1,1)),
            MONTH(B189)=MONTH(DATE(YEAR($K$1),MONTH($K$1)-1,1))
        ),
        $K$1,
        IF(
            $E$4="",
            DATE(YEAR(B189),MONTH(B189)+1,1),
            IF(
                AND(
                    YEAR(B189)=YEAR(DATE(YEAR($E$4),MONTH($E$4)-1,1)),
                    MONTH(B189)=MONTH(DATE(YEAR($E$4),MONTH($E$4)-1,1))
                ),
                $E$4,
                DATE(YEAR(B189),MONTH(B189)+1,1)
            )
        )
    )
)</f>
        <v>43891</v>
      </c>
      <c r="B190" s="152">
        <f>IF(
AND(
YEAR(B189)=YEAR(DATE(YEAR($E$2),MONTH($E$2)-1,1)),
MONTH(B189)=MONTH(DATE(YEAR($E$2),MONTH($E$2)-1,1))
),
$E$2,
IF(
$E$3="",
EOMONTH(B189,1),
IF(
AND(
YEAR(B189)=YEAR(DATE(YEAR($E$3),MONTH($E$3)-1,1)),
MONTH(B189)=MONTH(DATE(YEAR($E$3),MONTH($E$3)-1,1))
),
$E$3,
EOMONTH(B189,1)
)))</f>
        <v>43921</v>
      </c>
      <c r="C190" s="525"/>
      <c r="D190" s="149" t="s">
        <v>98</v>
      </c>
      <c r="E190" s="271">
        <f>'CAP POST'!G189</f>
        <v>0</v>
      </c>
      <c r="F190" s="271">
        <f t="shared" si="52"/>
        <v>0</v>
      </c>
      <c r="G190" s="215">
        <v>0.1895</v>
      </c>
      <c r="H190" s="288">
        <v>0.2843</v>
      </c>
      <c r="I190" s="272">
        <f t="shared" si="51"/>
        <v>6.8575234354129044E-4</v>
      </c>
      <c r="J190" s="289">
        <f>IF(OR(A190=SABANA!$C$14, D190="adicional"),0,_xlfn.DAYS(B190,A190)+1)</f>
        <v>31</v>
      </c>
      <c r="K190" s="527">
        <f t="shared" si="53"/>
        <v>0</v>
      </c>
    </row>
    <row r="191" spans="1:11" x14ac:dyDescent="0.35">
      <c r="A191" s="152">
        <f>IF(
    AND(
        YEAR(B190)=YEAR(DATE(YEAR($E$1),MONTH($E$1)-1,1)),
        MONTH(B190)=MONTH(DATE(YEAR($E$1),MONTH($E$1)-1,1))
    ),
    $E$1,
    IF(
        AND(
            YEAR(B190)=YEAR(DATE(YEAR($K$1),MONTH($K$1)-1,1)),
            MONTH(B190)=MONTH(DATE(YEAR($K$1),MONTH($K$1)-1,1))
        ),
        $K$1,
        IF(
            $E$4="",
            DATE(YEAR(B190),MONTH(B190)+1,1),
            IF(
                AND(
                    YEAR(B190)=YEAR(DATE(YEAR($E$4),MONTH($E$4)-1,1)),
                    MONTH(B190)=MONTH(DATE(YEAR($E$4),MONTH($E$4)-1,1))
                ),
                $E$4,
                DATE(YEAR(B190),MONTH(B190)+1,1)
            )
        )
    )
)</f>
        <v>43922</v>
      </c>
      <c r="B191" s="152">
        <f>IF(
AND(
YEAR(B190)=YEAR(DATE(YEAR($E$2),MONTH($E$2)-1,1)),
MONTH(B190)=MONTH(DATE(YEAR($E$2),MONTH($E$2)-1,1))
),
$E$2,
IF(
$E$3="",
EOMONTH(B190,1),
IF(
AND(
YEAR(B190)=YEAR(DATE(YEAR($E$3),MONTH($E$3)-1,1)),
MONTH(B190)=MONTH(DATE(YEAR($E$3),MONTH($E$3)-1,1))
),
$E$3,
EOMONTH(B190,1)
)))</f>
        <v>43951</v>
      </c>
      <c r="C191" s="525"/>
      <c r="D191" s="149" t="s">
        <v>99</v>
      </c>
      <c r="E191" s="271">
        <f>'CAP POST'!G190</f>
        <v>0</v>
      </c>
      <c r="F191" s="271">
        <f t="shared" si="52"/>
        <v>0</v>
      </c>
      <c r="G191" s="215">
        <v>0.18690000000000001</v>
      </c>
      <c r="H191" s="288">
        <v>0.28039999999999998</v>
      </c>
      <c r="I191" s="272">
        <f t="shared" si="51"/>
        <v>6.7741435280566087E-4</v>
      </c>
      <c r="J191" s="289">
        <f>IF(OR(A191=SABANA!$C$14, D191="adicional"),0,_xlfn.DAYS(B191,A191)+1)</f>
        <v>30</v>
      </c>
      <c r="K191" s="527">
        <f t="shared" si="53"/>
        <v>0</v>
      </c>
    </row>
    <row r="192" spans="1:11" x14ac:dyDescent="0.35">
      <c r="A192" s="152">
        <f>IF(
    AND(
        YEAR(B191)=YEAR(DATE(YEAR($E$1),MONTH($E$1)-1,1)),
        MONTH(B191)=MONTH(DATE(YEAR($E$1),MONTH($E$1)-1,1))
    ),
    $E$1,
    IF(
        AND(
            YEAR(B191)=YEAR(DATE(YEAR($K$1),MONTH($K$1)-1,1)),
            MONTH(B191)=MONTH(DATE(YEAR($K$1),MONTH($K$1)-1,1))
        ),
        $K$1,
        IF(
            $E$4="",
            DATE(YEAR(B191),MONTH(B191)+1,1),
            IF(
                AND(
                    YEAR(B191)=YEAR(DATE(YEAR($E$4),MONTH($E$4)-1,1)),
                    MONTH(B191)=MONTH(DATE(YEAR($E$4),MONTH($E$4)-1,1))
                ),
                $E$4,
                DATE(YEAR(B191),MONTH(B191)+1,1)
            )
        )
    )
)</f>
        <v>43952</v>
      </c>
      <c r="B192" s="152">
        <f>IF(
AND(
YEAR(B191)=YEAR(DATE(YEAR($E$2),MONTH($E$2)-1,1)),
MONTH(B191)=MONTH(DATE(YEAR($E$2),MONTH($E$2)-1,1))
),
$E$2,
IF(
$E$3="",
EOMONTH(B191,1),
IF(
AND(
YEAR(B191)=YEAR(DATE(YEAR($E$3),MONTH($E$3)-1,1)),
MONTH(B191)=MONTH(DATE(YEAR($E$3),MONTH($E$3)-1,1))
),
$E$3,
EOMONTH(B191,1)
)))</f>
        <v>43982</v>
      </c>
      <c r="C192" s="525"/>
      <c r="D192" s="149" t="s">
        <v>100</v>
      </c>
      <c r="E192" s="271">
        <f>'CAP POST'!G191</f>
        <v>0</v>
      </c>
      <c r="F192" s="271">
        <f t="shared" si="52"/>
        <v>0</v>
      </c>
      <c r="G192" s="215">
        <v>0.18190000000000001</v>
      </c>
      <c r="H192" s="288">
        <v>0.27289999999999998</v>
      </c>
      <c r="I192" s="272">
        <f t="shared" si="51"/>
        <v>6.61308326610488E-4</v>
      </c>
      <c r="J192" s="289">
        <f>IF(OR(A192=SABANA!$C$14, D192="adicional"),0,_xlfn.DAYS(B192,A192)+1)</f>
        <v>31</v>
      </c>
      <c r="K192" s="527">
        <f t="shared" si="53"/>
        <v>0</v>
      </c>
    </row>
    <row r="193" spans="1:11" x14ac:dyDescent="0.35">
      <c r="A193" s="156">
        <f t="shared" ref="A193" si="78">A194</f>
        <v>43983</v>
      </c>
      <c r="B193" s="156">
        <f t="shared" ref="B193" si="79">B194</f>
        <v>44012</v>
      </c>
      <c r="C193" s="525"/>
      <c r="D193" s="157" t="s">
        <v>101</v>
      </c>
      <c r="E193" s="274">
        <f>'CAP POST'!G192</f>
        <v>0</v>
      </c>
      <c r="F193" s="271">
        <f t="shared" si="52"/>
        <v>0</v>
      </c>
      <c r="G193" s="290"/>
      <c r="H193" s="291"/>
      <c r="I193" s="276">
        <f t="shared" si="51"/>
        <v>0</v>
      </c>
      <c r="J193" s="289">
        <f>IF(OR(A193=SABANA!$C$14, D193="adicional"),0,_xlfn.DAYS(B193,A193)+1)</f>
        <v>0</v>
      </c>
      <c r="K193" s="527">
        <f t="shared" si="53"/>
        <v>0</v>
      </c>
    </row>
    <row r="194" spans="1:11" x14ac:dyDescent="0.35">
      <c r="A194" s="152">
        <f>IF(
    AND(
        YEAR(B192)=YEAR(DATE(YEAR($E$1),MONTH($E$1)-1,1)),
        MONTH(B192)=MONTH(DATE(YEAR($E$1),MONTH($E$1)-1,1))
    ),
    $E$1,
    IF(
        AND(
            YEAR(B192)=YEAR(DATE(YEAR($K$1),MONTH($K$1)-1,1)),
            MONTH(B192)=MONTH(DATE(YEAR($K$1),MONTH($K$1)-1,1))
        ),
        $K$1,
        IF(
            $E$4="",
            DATE(YEAR(B192),MONTH(B192)+1,1),
            IF(
                AND(
                    YEAR(B192)=YEAR(DATE(YEAR($E$4),MONTH($E$4)-1,1)),
                    MONTH(B192)=MONTH(DATE(YEAR($E$4),MONTH($E$4)-1,1))
                ),
                $E$4,
                DATE(YEAR(B192),MONTH(B192)+1,1)
            )
        )
    )
)</f>
        <v>43983</v>
      </c>
      <c r="B194" s="152">
        <f>IF(
AND(
YEAR(B192)=YEAR(DATE(YEAR($E$2),MONTH($E$2)-1,1)),
MONTH(B192)=MONTH(DATE(YEAR($E$2),MONTH($E$2)-1,1))
),
$E$2,
IF(
$E$3="",
EOMONTH(B192,1),
IF(
AND(
YEAR(B192)=YEAR(DATE(YEAR($E$3),MONTH($E$3)-1,1)),
MONTH(B192)=MONTH(DATE(YEAR($E$3),MONTH($E$3)-1,1))
),
$E$3,
EOMONTH(B192,1)
)))</f>
        <v>44012</v>
      </c>
      <c r="C194" s="525"/>
      <c r="D194" s="149" t="s">
        <v>102</v>
      </c>
      <c r="E194" s="271">
        <f>'CAP POST'!G193</f>
        <v>0</v>
      </c>
      <c r="F194" s="271">
        <f t="shared" si="52"/>
        <v>0</v>
      </c>
      <c r="G194" s="215">
        <v>0.1812</v>
      </c>
      <c r="H194" s="288">
        <v>0.27179999999999999</v>
      </c>
      <c r="I194" s="272">
        <f t="shared" si="51"/>
        <v>6.5893815469997286E-4</v>
      </c>
      <c r="J194" s="289">
        <f>IF(OR(A194=SABANA!$C$14, D194="adicional"),0,_xlfn.DAYS(B194,A194)+1)</f>
        <v>30</v>
      </c>
      <c r="K194" s="527">
        <f t="shared" ref="K194" si="80">IF(AND(OR(A194&gt;=$E$4,B194&lt;=$E$3), AND(A193&gt;=$E$1,B193&lt;$E$2)),(F192*I194*H194),0)</f>
        <v>0</v>
      </c>
    </row>
    <row r="195" spans="1:11" x14ac:dyDescent="0.35">
      <c r="A195" s="152">
        <f>IF(
    AND(
        YEAR(B194)=YEAR(DATE(YEAR($E$1),MONTH($E$1)-1,1)),
        MONTH(B194)=MONTH(DATE(YEAR($E$1),MONTH($E$1)-1,1))
    ),
    $E$1,
    IF(
        AND(
            YEAR(B194)=YEAR(DATE(YEAR($K$1),MONTH($K$1)-1,1)),
            MONTH(B194)=MONTH(DATE(YEAR($K$1),MONTH($K$1)-1,1))
        ),
        $K$1,
        IF(
            $E$4="",
            DATE(YEAR(B194),MONTH(B194)+1,1),
            IF(
                AND(
                    YEAR(B194)=YEAR(DATE(YEAR($E$4),MONTH($E$4)-1,1)),
                    MONTH(B194)=MONTH(DATE(YEAR($E$4),MONTH($E$4)-1,1))
                ),
                $E$4,
                DATE(YEAR(B194),MONTH(B194)+1,1)
            )
        )
    )
)</f>
        <v>44013</v>
      </c>
      <c r="B195" s="152">
        <f>IF(
AND(
YEAR(B194)=YEAR(DATE(YEAR($E$2),MONTH($E$2)-1,1)),
MONTH(B194)=MONTH(DATE(YEAR($E$2),MONTH($E$2)-1,1))
),
$E$2,
IF(
$E$3="",
EOMONTH(B194,1),
IF(
AND(
YEAR(B194)=YEAR(DATE(YEAR($E$3),MONTH($E$3)-1,1)),
MONTH(B194)=MONTH(DATE(YEAR($E$3),MONTH($E$3)-1,1))
),
$E$3,
EOMONTH(B194,1)
)))</f>
        <v>44043</v>
      </c>
      <c r="C195" s="525"/>
      <c r="D195" s="149" t="s">
        <v>103</v>
      </c>
      <c r="E195" s="271">
        <f>'CAP POST'!G194</f>
        <v>0</v>
      </c>
      <c r="F195" s="271">
        <f t="shared" si="52"/>
        <v>0</v>
      </c>
      <c r="G195" s="215">
        <v>0.1812</v>
      </c>
      <c r="H195" s="288">
        <v>0.27179999999999999</v>
      </c>
      <c r="I195" s="272">
        <f t="shared" si="51"/>
        <v>6.5893815469997286E-4</v>
      </c>
      <c r="J195" s="289">
        <f>IF(OR(A195=SABANA!$C$14, D195="adicional"),0,_xlfn.DAYS(B195,A195)+1)</f>
        <v>31</v>
      </c>
      <c r="K195" s="527">
        <f t="shared" si="53"/>
        <v>0</v>
      </c>
    </row>
    <row r="196" spans="1:11" x14ac:dyDescent="0.35">
      <c r="A196" s="152">
        <f>IF(
    AND(
        YEAR(B195)=YEAR(DATE(YEAR($E$1),MONTH($E$1)-1,1)),
        MONTH(B195)=MONTH(DATE(YEAR($E$1),MONTH($E$1)-1,1))
    ),
    $E$1,
    IF(
        AND(
            YEAR(B195)=YEAR(DATE(YEAR($K$1),MONTH($K$1)-1,1)),
            MONTH(B195)=MONTH(DATE(YEAR($K$1),MONTH($K$1)-1,1))
        ),
        $K$1,
        IF(
            $E$4="",
            DATE(YEAR(B195),MONTH(B195)+1,1),
            IF(
                AND(
                    YEAR(B195)=YEAR(DATE(YEAR($E$4),MONTH($E$4)-1,1)),
                    MONTH(B195)=MONTH(DATE(YEAR($E$4),MONTH($E$4)-1,1))
                ),
                $E$4,
                DATE(YEAR(B195),MONTH(B195)+1,1)
            )
        )
    )
)</f>
        <v>44044</v>
      </c>
      <c r="B196" s="152">
        <f>IF(
AND(
YEAR(B195)=YEAR(DATE(YEAR($E$2),MONTH($E$2)-1,1)),
MONTH(B195)=MONTH(DATE(YEAR($E$2),MONTH($E$2)-1,1))
),
$E$2,
IF(
$E$3="",
EOMONTH(B195,1),
IF(
AND(
YEAR(B195)=YEAR(DATE(YEAR($E$3),MONTH($E$3)-1,1)),
MONTH(B195)=MONTH(DATE(YEAR($E$3),MONTH($E$3)-1,1))
),
$E$3,
EOMONTH(B195,1)
)))</f>
        <v>44074</v>
      </c>
      <c r="C196" s="525"/>
      <c r="D196" s="149" t="s">
        <v>104</v>
      </c>
      <c r="E196" s="271">
        <f>'CAP POST'!G195</f>
        <v>0</v>
      </c>
      <c r="F196" s="271">
        <f t="shared" si="52"/>
        <v>0</v>
      </c>
      <c r="G196" s="215">
        <v>0.18290000000000001</v>
      </c>
      <c r="H196" s="288">
        <v>0.27439999999999998</v>
      </c>
      <c r="I196" s="272">
        <f t="shared" si="51"/>
        <v>6.6453708950175994E-4</v>
      </c>
      <c r="J196" s="289">
        <f>IF(OR(A196=SABANA!$C$14, D196="adicional"),0,_xlfn.DAYS(B196,A196)+1)</f>
        <v>31</v>
      </c>
      <c r="K196" s="527">
        <f t="shared" si="53"/>
        <v>0</v>
      </c>
    </row>
    <row r="197" spans="1:11" x14ac:dyDescent="0.35">
      <c r="A197" s="152">
        <f>IF(
    AND(
        YEAR(B196)=YEAR(DATE(YEAR($E$1),MONTH($E$1)-1,1)),
        MONTH(B196)=MONTH(DATE(YEAR($E$1),MONTH($E$1)-1,1))
    ),
    $E$1,
    IF(
        AND(
            YEAR(B196)=YEAR(DATE(YEAR($K$1),MONTH($K$1)-1,1)),
            MONTH(B196)=MONTH(DATE(YEAR($K$1),MONTH($K$1)-1,1))
        ),
        $K$1,
        IF(
            $E$4="",
            DATE(YEAR(B196),MONTH(B196)+1,1),
            IF(
                AND(
                    YEAR(B196)=YEAR(DATE(YEAR($E$4),MONTH($E$4)-1,1)),
                    MONTH(B196)=MONTH(DATE(YEAR($E$4),MONTH($E$4)-1,1))
                ),
                $E$4,
                DATE(YEAR(B196),MONTH(B196)+1,1)
            )
        )
    )
)</f>
        <v>44075</v>
      </c>
      <c r="B197" s="152">
        <f>IF(
AND(
YEAR(B196)=YEAR(DATE(YEAR($E$2),MONTH($E$2)-1,1)),
MONTH(B196)=MONTH(DATE(YEAR($E$2),MONTH($E$2)-1,1))
),
$E$2,
IF(
$E$3="",
EOMONTH(B196,1),
IF(
AND(
YEAR(B196)=YEAR(DATE(YEAR($E$3),MONTH($E$3)-1,1)),
MONTH(B196)=MONTH(DATE(YEAR($E$3),MONTH($E$3)-1,1))
),
$E$3,
EOMONTH(B196,1)
)))</f>
        <v>44104</v>
      </c>
      <c r="C197" s="525"/>
      <c r="D197" s="149" t="s">
        <v>105</v>
      </c>
      <c r="E197" s="271">
        <f>'CAP POST'!G196</f>
        <v>0</v>
      </c>
      <c r="F197" s="271">
        <f t="shared" si="52"/>
        <v>0</v>
      </c>
      <c r="G197" s="215">
        <v>0.1835</v>
      </c>
      <c r="H197" s="288">
        <v>0.27529999999999999</v>
      </c>
      <c r="I197" s="272">
        <f t="shared" si="51"/>
        <v>6.6647252857121586E-4</v>
      </c>
      <c r="J197" s="289">
        <f>IF(OR(A197=SABANA!$C$14, D197="adicional"),0,_xlfn.DAYS(B197,A197)+1)</f>
        <v>30</v>
      </c>
      <c r="K197" s="527">
        <f t="shared" si="53"/>
        <v>0</v>
      </c>
    </row>
    <row r="198" spans="1:11" x14ac:dyDescent="0.35">
      <c r="A198" s="152">
        <f>IF(
    AND(
        YEAR(B197)=YEAR(DATE(YEAR($E$1),MONTH($E$1)-1,1)),
        MONTH(B197)=MONTH(DATE(YEAR($E$1),MONTH($E$1)-1,1))
    ),
    $E$1,
    IF(
        AND(
            YEAR(B197)=YEAR(DATE(YEAR($K$1),MONTH($K$1)-1,1)),
            MONTH(B197)=MONTH(DATE(YEAR($K$1),MONTH($K$1)-1,1))
        ),
        $K$1,
        IF(
            $E$4="",
            DATE(YEAR(B197),MONTH(B197)+1,1),
            IF(
                AND(
                    YEAR(B197)=YEAR(DATE(YEAR($E$4),MONTH($E$4)-1,1)),
                    MONTH(B197)=MONTH(DATE(YEAR($E$4),MONTH($E$4)-1,1))
                ),
                $E$4,
                DATE(YEAR(B197),MONTH(B197)+1,1)
            )
        )
    )
)</f>
        <v>44120</v>
      </c>
      <c r="B198" s="152">
        <f>IF(
AND(
YEAR(B197)=YEAR(DATE(YEAR($E$2),MONTH($E$2)-1,1)),
MONTH(B197)=MONTH(DATE(YEAR($E$2),MONTH($E$2)-1,1))
),
$E$2,
IF(
$E$3="",
EOMONTH(B197,1),
IF(
AND(
YEAR(B197)=YEAR(DATE(YEAR($E$3),MONTH($E$3)-1,1)),
MONTH(B197)=MONTH(DATE(YEAR($E$3),MONTH($E$3)-1,1))
),
$E$3,
EOMONTH(B197,1)
)))</f>
        <v>44135</v>
      </c>
      <c r="C198" s="525"/>
      <c r="D198" s="149" t="s">
        <v>106</v>
      </c>
      <c r="E198" s="271">
        <f>'CAP POST'!G197</f>
        <v>1489199.8589980905</v>
      </c>
      <c r="F198" s="271">
        <f t="shared" si="52"/>
        <v>1489199.8589980905</v>
      </c>
      <c r="G198" s="215">
        <v>0.18090000000000001</v>
      </c>
      <c r="H198" s="288">
        <f>G198*1.5</f>
        <v>0.27134999999999998</v>
      </c>
      <c r="I198" s="272">
        <f t="shared" si="51"/>
        <v>6.5796794962613703E-4</v>
      </c>
      <c r="J198" s="289">
        <f>IF(OR(A198=SABANA!$C$14, D198="adicional"),0,_xlfn.DAYS(B198,A198)+1)</f>
        <v>16</v>
      </c>
      <c r="K198" s="527">
        <f t="shared" si="53"/>
        <v>0</v>
      </c>
    </row>
    <row r="199" spans="1:11" x14ac:dyDescent="0.35">
      <c r="A199" s="152">
        <f>IF(
    AND(
        YEAR(B198)=YEAR(DATE(YEAR($E$1),MONTH($E$1)-1,1)),
        MONTH(B198)=MONTH(DATE(YEAR($E$1),MONTH($E$1)-1,1))
    ),
    $E$1,
    IF(
        AND(
            YEAR(B198)=YEAR(DATE(YEAR($K$1),MONTH($K$1)-1,1)),
            MONTH(B198)=MONTH(DATE(YEAR($K$1),MONTH($K$1)-1,1))
        ),
        $K$1,
        IF(
            $E$4="",
            DATE(YEAR(B198),MONTH(B198)+1,1),
            IF(
                AND(
                    YEAR(B198)=YEAR(DATE(YEAR($E$4),MONTH($E$4)-1,1)),
                    MONTH(B198)=MONTH(DATE(YEAR($E$4),MONTH($E$4)-1,1))
                ),
                $E$4,
                DATE(YEAR(B198),MONTH(B198)+1,1)
            )
        )
    )
)</f>
        <v>44136</v>
      </c>
      <c r="B199" s="152">
        <f>IF(
AND(
YEAR(B198)=YEAR(DATE(YEAR($E$2),MONTH($E$2)-1,1)),
MONTH(B198)=MONTH(DATE(YEAR($E$2),MONTH($E$2)-1,1))
),
$E$2,
IF(
$E$3="",
EOMONTH(B198,1),
IF(
AND(
YEAR(B198)=YEAR(DATE(YEAR($E$3),MONTH($E$3)-1,1)),
MONTH(B198)=MONTH(DATE(YEAR($E$3),MONTH($E$3)-1,1))
),
$E$3,
EOMONTH(B198,1)
)))</f>
        <v>44165</v>
      </c>
      <c r="C199" s="525"/>
      <c r="D199" s="149" t="s">
        <v>107</v>
      </c>
      <c r="E199" s="271">
        <f>'CAP POST'!G198</f>
        <v>2978399.717996181</v>
      </c>
      <c r="F199" s="271">
        <f t="shared" si="52"/>
        <v>4467599.5769942719</v>
      </c>
      <c r="G199" s="215">
        <v>0.1784</v>
      </c>
      <c r="H199" s="288">
        <f>G199*1.5</f>
        <v>0.2676</v>
      </c>
      <c r="I199" s="272">
        <f t="shared" ref="I199:I260" si="81">((1+H199)^(1/365)-1)</f>
        <v>6.4986956374091243E-4</v>
      </c>
      <c r="J199" s="289">
        <f>IF(OR(A199=SABANA!$C$14, D199="adicional"),0,_xlfn.DAYS(B199,A199)+1)</f>
        <v>30</v>
      </c>
      <c r="K199" s="527">
        <f t="shared" si="53"/>
        <v>258.97944333587543</v>
      </c>
    </row>
    <row r="200" spans="1:11" x14ac:dyDescent="0.35">
      <c r="A200" s="156">
        <f t="shared" ref="A200" si="82">A199</f>
        <v>44136</v>
      </c>
      <c r="B200" s="156">
        <f t="shared" ref="B200" si="83">B199</f>
        <v>44165</v>
      </c>
      <c r="C200" s="525"/>
      <c r="D200" s="157" t="s">
        <v>101</v>
      </c>
      <c r="E200" s="274">
        <f>'CAP POST'!G199</f>
        <v>3384545.1340865693</v>
      </c>
      <c r="F200" s="271">
        <f t="shared" ref="F200:F260" si="84">IF(AND(A200&gt;=$E$1,B200&lt;=$E$2),(F199+E200),0)</f>
        <v>7852144.7110808417</v>
      </c>
      <c r="G200" s="293"/>
      <c r="H200" s="294"/>
      <c r="I200" s="276">
        <f t="shared" si="81"/>
        <v>0</v>
      </c>
      <c r="J200" s="289">
        <f>IF(OR(A200=SABANA!$C$14, D200="adicional"),0,_xlfn.DAYS(B200,A200)+1)</f>
        <v>0</v>
      </c>
      <c r="K200" s="527">
        <f t="shared" ref="K200:K260" si="85">IF(AND(OR(A200&gt;=$E$4,B200&lt;=$E$3), AND(A199&gt;=$E$1,B199&lt;$E$2)),(F199*I200*H200),0)</f>
        <v>0</v>
      </c>
    </row>
    <row r="201" spans="1:11" ht="15" thickBot="1" x14ac:dyDescent="0.4">
      <c r="A201" s="152">
        <f>IF(
    AND(
        YEAR(B199)=YEAR(DATE(YEAR($E$1),MONTH($E$1)-1,1)),
        MONTH(B199)=MONTH(DATE(YEAR($E$1),MONTH($E$1)-1,1))
    ),
    $E$1,
    IF(
        AND(
            YEAR(B199)=YEAR(DATE(YEAR($K$1),MONTH($K$1)-1,1)),
            MONTH(B199)=MONTH(DATE(YEAR($K$1),MONTH($K$1)-1,1))
        ),
        $K$1,
        IF(
            $E$4="",
            DATE(YEAR(B199),MONTH(B199)+1,1),
            IF(
                AND(
                    YEAR(B199)=YEAR(DATE(YEAR($E$4),MONTH($E$4)-1,1)),
                    MONTH(B199)=MONTH(DATE(YEAR($E$4),MONTH($E$4)-1,1))
                ),
                $E$4,
                DATE(YEAR(B199),MONTH(B199)+1,1)
            )
        )
    )
)</f>
        <v>44166</v>
      </c>
      <c r="B201" s="152">
        <f>IF(
AND(
YEAR(B199)=YEAR(DATE(YEAR($E$2),MONTH($E$2)-1,1)),
MONTH(B199)=MONTH(DATE(YEAR($E$2),MONTH($E$2)-1,1))
),
$E$2,
IF(
$E$3="",
EOMONTH(B199,1),
IF(
AND(
YEAR(B199)=YEAR(DATE(YEAR($E$3),MONTH($E$3)-1,1)),
MONTH(B199)=MONTH(DATE(YEAR($E$3),MONTH($E$3)-1,1))
),
$E$3,
EOMONTH(B199,1)
)))</f>
        <v>44196</v>
      </c>
      <c r="C201" s="526"/>
      <c r="D201" s="149" t="s">
        <v>108</v>
      </c>
      <c r="E201" s="271">
        <f>'CAP POST'!G200</f>
        <v>2978399.717996181</v>
      </c>
      <c r="F201" s="271">
        <f t="shared" si="84"/>
        <v>10830544.429077022</v>
      </c>
      <c r="G201" s="296">
        <v>0.17460000000000001</v>
      </c>
      <c r="H201" s="297">
        <f>G201*1.5</f>
        <v>0.26190000000000002</v>
      </c>
      <c r="I201" s="272">
        <f t="shared" si="81"/>
        <v>6.3751414410861962E-4</v>
      </c>
      <c r="J201" s="289">
        <f>IF(OR(A201=SABANA!$C$14, D201="adicional"),0,_xlfn.DAYS(B201,A201)+1)</f>
        <v>31</v>
      </c>
      <c r="K201" s="527">
        <f t="shared" ref="K201" si="86">IF(AND(OR(A201&gt;=$E$4,B201&lt;=$E$3), AND(A200&gt;=$E$1,B200&lt;$E$2)),(F199*I201*H201),0)</f>
        <v>745.93255939139931</v>
      </c>
    </row>
    <row r="202" spans="1:11" x14ac:dyDescent="0.35">
      <c r="A202" s="152">
        <f>IF(
    AND(
        YEAR(B201)=YEAR(DATE(YEAR($E$1),MONTH($E$1)-1,1)),
        MONTH(B201)=MONTH(DATE(YEAR($E$1),MONTH($E$1)-1,1))
    ),
    $E$1,
    IF(
        AND(
            YEAR(B201)=YEAR(DATE(YEAR($K$1),MONTH($K$1)-1,1)),
            MONTH(B201)=MONTH(DATE(YEAR($K$1),MONTH($K$1)-1,1))
        ),
        $K$1,
        IF(
            $E$4="",
            DATE(YEAR(B201),MONTH(B201)+1,1),
            IF(
                AND(
                    YEAR(B201)=YEAR(DATE(YEAR($E$4),MONTH($E$4)-1,1)),
                    MONTH(B201)=MONTH(DATE(YEAR($E$4),MONTH($E$4)-1,1))
                ),
                $E$4,
                DATE(YEAR(B201),MONTH(B201)+1,1)
            )
        )
    )
)</f>
        <v>44197</v>
      </c>
      <c r="B202" s="152">
        <f>IF(
AND(
YEAR(B201)=YEAR(DATE(YEAR($E$2),MONTH($E$2)-1,1)),
MONTH(B201)=MONTH(DATE(YEAR($E$2),MONTH($E$2)-1,1))
),
$E$2,
IF(
$E$3="",
EOMONTH(B201,1),
IF(
AND(
YEAR(B201)=YEAR(DATE(YEAR($E$3),MONTH($E$3)-1,1)),
MONTH(B201)=MONTH(DATE(YEAR($E$3),MONTH($E$3)-1,1))
),
$E$3,
EOMONTH(B201,1)
)))</f>
        <v>44227</v>
      </c>
      <c r="C202" s="524">
        <v>2021</v>
      </c>
      <c r="D202" s="149" t="s">
        <v>96</v>
      </c>
      <c r="E202" s="271">
        <f>'CAP POST'!G201</f>
        <v>3026351.9534559194</v>
      </c>
      <c r="F202" s="271">
        <f t="shared" si="84"/>
        <v>13856896.382532941</v>
      </c>
      <c r="G202" s="215">
        <v>0.17319999999999999</v>
      </c>
      <c r="H202" s="288">
        <f t="shared" ref="H202:H215" si="87">G202*1.5</f>
        <v>0.25979999999999998</v>
      </c>
      <c r="I202" s="272">
        <f t="shared" si="81"/>
        <v>6.3294811266723094E-4</v>
      </c>
      <c r="J202" s="289">
        <f>IF(OR(A202=SABANA!$C$14, D202="adicional"),0,_xlfn.DAYS(B202,A202)+1)</f>
        <v>31</v>
      </c>
      <c r="K202" s="527">
        <f t="shared" si="85"/>
        <v>1780.9738559100435</v>
      </c>
    </row>
    <row r="203" spans="1:11" x14ac:dyDescent="0.35">
      <c r="A203" s="152">
        <f>IF(
    AND(
        YEAR(B202)=YEAR(DATE(YEAR($E$1),MONTH($E$1)-1,1)),
        MONTH(B202)=MONTH(DATE(YEAR($E$1),MONTH($E$1)-1,1))
    ),
    $E$1,
    IF(
        AND(
            YEAR(B202)=YEAR(DATE(YEAR($K$1),MONTH($K$1)-1,1)),
            MONTH(B202)=MONTH(DATE(YEAR($K$1),MONTH($K$1)-1,1))
        ),
        $K$1,
        IF(
            $E$4="",
            DATE(YEAR(B202),MONTH(B202)+1,1),
            IF(
                AND(
                    YEAR(B202)=YEAR(DATE(YEAR($E$4),MONTH($E$4)-1,1)),
                    MONTH(B202)=MONTH(DATE(YEAR($E$4),MONTH($E$4)-1,1))
                ),
                $E$4,
                DATE(YEAR(B202),MONTH(B202)+1,1)
            )
        )
    )
)</f>
        <v>44228</v>
      </c>
      <c r="B203" s="152">
        <f>IF(
AND(
YEAR(B202)=YEAR(DATE(YEAR($E$2),MONTH($E$2)-1,1)),
MONTH(B202)=MONTH(DATE(YEAR($E$2),MONTH($E$2)-1,1))
),
$E$2,
IF(
$E$3="",
EOMONTH(B202,1),
IF(
AND(
YEAR(B202)=YEAR(DATE(YEAR($E$3),MONTH($E$3)-1,1)),
MONTH(B202)=MONTH(DATE(YEAR($E$3),MONTH($E$3)-1,1))
),
$E$3,
EOMONTH(B202,1)
)))</f>
        <v>44255</v>
      </c>
      <c r="C203" s="525"/>
      <c r="D203" s="149" t="s">
        <v>97</v>
      </c>
      <c r="E203" s="271">
        <f>'CAP POST'!G202</f>
        <v>3026351.9534559194</v>
      </c>
      <c r="F203" s="271">
        <f t="shared" si="84"/>
        <v>16883248.335988861</v>
      </c>
      <c r="G203" s="215">
        <v>0.1754</v>
      </c>
      <c r="H203" s="288">
        <f t="shared" si="87"/>
        <v>0.2631</v>
      </c>
      <c r="I203" s="272">
        <f t="shared" si="81"/>
        <v>6.4011990387169426E-4</v>
      </c>
      <c r="J203" s="289">
        <f>IF(OR(A203=SABANA!$C$14, D203="adicional"),0,_xlfn.DAYS(B203,A203)+1)</f>
        <v>28</v>
      </c>
      <c r="K203" s="527">
        <f t="shared" si="85"/>
        <v>2333.7167799492995</v>
      </c>
    </row>
    <row r="204" spans="1:11" x14ac:dyDescent="0.35">
      <c r="A204" s="152">
        <f>IF(
    AND(
        YEAR(B203)=YEAR(DATE(YEAR($E$1),MONTH($E$1)-1,1)),
        MONTH(B203)=MONTH(DATE(YEAR($E$1),MONTH($E$1)-1,1))
    ),
    $E$1,
    IF(
        AND(
            YEAR(B203)=YEAR(DATE(YEAR($K$1),MONTH($K$1)-1,1)),
            MONTH(B203)=MONTH(DATE(YEAR($K$1),MONTH($K$1)-1,1))
        ),
        $K$1,
        IF(
            $E$4="",
            DATE(YEAR(B203),MONTH(B203)+1,1),
            IF(
                AND(
                    YEAR(B203)=YEAR(DATE(YEAR($E$4),MONTH($E$4)-1,1)),
                    MONTH(B203)=MONTH(DATE(YEAR($E$4),MONTH($E$4)-1,1))
                ),
                $E$4,
                DATE(YEAR(B203),MONTH(B203)+1,1)
            )
        )
    )
)</f>
        <v>44256</v>
      </c>
      <c r="B204" s="152">
        <f>IF(
AND(
YEAR(B203)=YEAR(DATE(YEAR($E$2),MONTH($E$2)-1,1)),
MONTH(B203)=MONTH(DATE(YEAR($E$2),MONTH($E$2)-1,1))
),
$E$2,
IF(
$E$3="",
EOMONTH(B203,1),
IF(
AND(
YEAR(B203)=YEAR(DATE(YEAR($E$3),MONTH($E$3)-1,1)),
MONTH(B203)=MONTH(DATE(YEAR($E$3),MONTH($E$3)-1,1))
),
$E$3,
EOMONTH(B203,1)
)))</f>
        <v>44286</v>
      </c>
      <c r="C204" s="525"/>
      <c r="D204" s="149" t="s">
        <v>98</v>
      </c>
      <c r="E204" s="271">
        <f>'CAP POST'!G203</f>
        <v>3026351.9534559194</v>
      </c>
      <c r="F204" s="271">
        <f t="shared" si="84"/>
        <v>19909600.289444782</v>
      </c>
      <c r="G204" s="215">
        <v>0.1741</v>
      </c>
      <c r="H204" s="288">
        <f t="shared" si="87"/>
        <v>0.26114999999999999</v>
      </c>
      <c r="I204" s="272">
        <f t="shared" si="81"/>
        <v>6.3588428907812578E-4</v>
      </c>
      <c r="J204" s="289">
        <f>IF(OR(A204=SABANA!$C$14, D204="adicional"),0,_xlfn.DAYS(B204,A204)+1)</f>
        <v>31</v>
      </c>
      <c r="K204" s="527">
        <f t="shared" si="85"/>
        <v>2803.6521762398074</v>
      </c>
    </row>
    <row r="205" spans="1:11" x14ac:dyDescent="0.35">
      <c r="A205" s="152">
        <f>IF(
    AND(
        YEAR(B204)=YEAR(DATE(YEAR($E$1),MONTH($E$1)-1,1)),
        MONTH(B204)=MONTH(DATE(YEAR($E$1),MONTH($E$1)-1,1))
    ),
    $E$1,
    IF(
        AND(
            YEAR(B204)=YEAR(DATE(YEAR($K$1),MONTH($K$1)-1,1)),
            MONTH(B204)=MONTH(DATE(YEAR($K$1),MONTH($K$1)-1,1))
        ),
        $K$1,
        IF(
            $E$4="",
            DATE(YEAR(B204),MONTH(B204)+1,1),
            IF(
                AND(
                    YEAR(B204)=YEAR(DATE(YEAR($E$4),MONTH($E$4)-1,1)),
                    MONTH(B204)=MONTH(DATE(YEAR($E$4),MONTH($E$4)-1,1))
                ),
                $E$4,
                DATE(YEAR(B204),MONTH(B204)+1,1)
            )
        )
    )
)</f>
        <v>44287</v>
      </c>
      <c r="B205" s="152">
        <f>IF(
AND(
YEAR(B204)=YEAR(DATE(YEAR($E$2),MONTH($E$2)-1,1)),
MONTH(B204)=MONTH(DATE(YEAR($E$2),MONTH($E$2)-1,1))
),
$E$2,
IF(
$E$3="",
EOMONTH(B204,1),
IF(
AND(
YEAR(B204)=YEAR(DATE(YEAR($E$3),MONTH($E$3)-1,1)),
MONTH(B204)=MONTH(DATE(YEAR($E$3),MONTH($E$3)-1,1))
),
$E$3,
EOMONTH(B204,1)
)))</f>
        <v>44301</v>
      </c>
      <c r="C205" s="525"/>
      <c r="D205" s="149" t="s">
        <v>99</v>
      </c>
      <c r="E205" s="271">
        <f>'CAP POST'!G204</f>
        <v>3026351.9534559194</v>
      </c>
      <c r="F205" s="271">
        <f t="shared" si="84"/>
        <v>22935952.242900699</v>
      </c>
      <c r="G205" s="215">
        <v>0.1731</v>
      </c>
      <c r="H205" s="288">
        <f t="shared" si="87"/>
        <v>0.25964999999999999</v>
      </c>
      <c r="I205" s="272">
        <f t="shared" si="81"/>
        <v>6.326216771728177E-4</v>
      </c>
      <c r="J205" s="289">
        <f>IF(OR(A205=SABANA!$C$14, D205="adicional"),0,_xlfn.DAYS(B205,A205)+1)</f>
        <v>15</v>
      </c>
      <c r="K205" s="527">
        <f t="shared" si="85"/>
        <v>3270.355293352301</v>
      </c>
    </row>
    <row r="206" spans="1:11" x14ac:dyDescent="0.35">
      <c r="A206" s="152">
        <f>IF(
    AND(
        YEAR(B205)=YEAR(DATE(YEAR($E$1),MONTH($E$1)-1,1)),
        MONTH(B205)=MONTH(DATE(YEAR($E$1),MONTH($E$1)-1,1))
    ),
    $E$1,
    IF(
        AND(
            YEAR(B205)=YEAR(DATE(YEAR($K$1),MONTH($K$1)-1,1)),
            MONTH(B205)=MONTH(DATE(YEAR($K$1),MONTH($K$1)-1,1))
        ),
        $K$1,
        IF(
            $E$4="",
            DATE(YEAR(B205),MONTH(B205)+1,1),
            IF(
                AND(
                    YEAR(B205)=YEAR(DATE(YEAR($E$4),MONTH($E$4)-1,1)),
                    MONTH(B205)=MONTH(DATE(YEAR($E$4),MONTH($E$4)-1,1))
                ),
                $E$4,
                DATE(YEAR(B205),MONTH(B205)+1,1)
            )
        )
    )
)</f>
        <v>44317</v>
      </c>
      <c r="B206" s="152">
        <f>IF(
AND(
YEAR(B205)=YEAR(DATE(YEAR($E$2),MONTH($E$2)-1,1)),
MONTH(B205)=MONTH(DATE(YEAR($E$2),MONTH($E$2)-1,1))
),
$E$2,
IF(
$E$3="",
EOMONTH(B205,1),
IF(
AND(
YEAR(B205)=YEAR(DATE(YEAR($E$3),MONTH($E$3)-1,1)),
MONTH(B205)=MONTH(DATE(YEAR($E$3),MONTH($E$3)-1,1))
),
$E$3,
EOMONTH(B205,1)
)))</f>
        <v>44347</v>
      </c>
      <c r="C206" s="525"/>
      <c r="D206" s="149" t="s">
        <v>100</v>
      </c>
      <c r="E206" s="271">
        <f>'CAP POST'!G205</f>
        <v>3026351.9534559194</v>
      </c>
      <c r="F206" s="271">
        <f t="shared" si="84"/>
        <v>25962304.196356617</v>
      </c>
      <c r="G206" s="215">
        <v>0.17219999999999999</v>
      </c>
      <c r="H206" s="288">
        <f t="shared" si="87"/>
        <v>0.25829999999999997</v>
      </c>
      <c r="I206" s="272">
        <f t="shared" si="81"/>
        <v>6.2968201205726437E-4</v>
      </c>
      <c r="J206" s="289">
        <f>IF(OR(A206=SABANA!$C$14, D206="adicional"),0,_xlfn.DAYS(B206,A206)+1)</f>
        <v>31</v>
      </c>
      <c r="K206" s="527">
        <f t="shared" si="85"/>
        <v>0</v>
      </c>
    </row>
    <row r="207" spans="1:11" x14ac:dyDescent="0.35">
      <c r="A207" s="156">
        <f t="shared" ref="A207" si="88">A208</f>
        <v>44348</v>
      </c>
      <c r="B207" s="156">
        <f t="shared" ref="B207" si="89">B208</f>
        <v>44377</v>
      </c>
      <c r="C207" s="525"/>
      <c r="D207" s="157" t="s">
        <v>101</v>
      </c>
      <c r="E207" s="274">
        <f>'CAP POST'!G206</f>
        <v>3439036.3107453631</v>
      </c>
      <c r="F207" s="271">
        <f t="shared" si="84"/>
        <v>29401340.507101979</v>
      </c>
      <c r="G207" s="293"/>
      <c r="H207" s="294"/>
      <c r="I207" s="276">
        <f t="shared" si="81"/>
        <v>0</v>
      </c>
      <c r="J207" s="289">
        <f>IF(OR(A207=SABANA!$C$14, D207="adicional"),0,_xlfn.DAYS(B207,A207)+1)</f>
        <v>0</v>
      </c>
      <c r="K207" s="527">
        <f t="shared" si="85"/>
        <v>0</v>
      </c>
    </row>
    <row r="208" spans="1:11" x14ac:dyDescent="0.35">
      <c r="A208" s="152">
        <f>IF(
    AND(
        YEAR(B206)=YEAR(DATE(YEAR($E$1),MONTH($E$1)-1,1)),
        MONTH(B206)=MONTH(DATE(YEAR($E$1),MONTH($E$1)-1,1))
    ),
    $E$1,
    IF(
        AND(
            YEAR(B206)=YEAR(DATE(YEAR($K$1),MONTH($K$1)-1,1)),
            MONTH(B206)=MONTH(DATE(YEAR($K$1),MONTH($K$1)-1,1))
        ),
        $K$1,
        IF(
            $E$4="",
            DATE(YEAR(B206),MONTH(B206)+1,1),
            IF(
                AND(
                    YEAR(B206)=YEAR(DATE(YEAR($E$4),MONTH($E$4)-1,1)),
                    MONTH(B206)=MONTH(DATE(YEAR($E$4),MONTH($E$4)-1,1))
                ),
                $E$4,
                DATE(YEAR(B206),MONTH(B206)+1,1)
            )
        )
    )
)</f>
        <v>44348</v>
      </c>
      <c r="B208" s="152">
        <f>IF(
AND(
YEAR(B206)=YEAR(DATE(YEAR($E$2),MONTH($E$2)-1,1)),
MONTH(B206)=MONTH(DATE(YEAR($E$2),MONTH($E$2)-1,1))
),
$E$2,
IF(
$E$3="",
EOMONTH(B206,1),
IF(
AND(
YEAR(B206)=YEAR(DATE(YEAR($E$3),MONTH($E$3)-1,1)),
MONTH(B206)=MONTH(DATE(YEAR($E$3),MONTH($E$3)-1,1))
),
$E$3,
EOMONTH(B206,1)
)))</f>
        <v>44377</v>
      </c>
      <c r="C208" s="525"/>
      <c r="D208" s="149" t="s">
        <v>102</v>
      </c>
      <c r="E208" s="271">
        <f>'CAP POST'!G207</f>
        <v>3026351.9534559194</v>
      </c>
      <c r="F208" s="271">
        <f t="shared" si="84"/>
        <v>32427692.4605579</v>
      </c>
      <c r="G208" s="215">
        <v>0.1721</v>
      </c>
      <c r="H208" s="288">
        <f>G208*1.5</f>
        <v>0.25814999999999999</v>
      </c>
      <c r="I208" s="272">
        <f t="shared" si="81"/>
        <v>6.2935518846773952E-4</v>
      </c>
      <c r="J208" s="289">
        <f>IF(OR(A208=SABANA!$C$14, D208="adicional"),0,_xlfn.DAYS(B208,A208)+1)</f>
        <v>30</v>
      </c>
      <c r="K208" s="527">
        <f t="shared" ref="K208" si="90">IF(AND(OR(A208&gt;=$E$4,B208&lt;=$E$3), AND(A207&gt;=$E$1,B207&lt;$E$2)),(F206*I208*H208),0)</f>
        <v>0</v>
      </c>
    </row>
    <row r="209" spans="1:11" x14ac:dyDescent="0.35">
      <c r="A209" s="152">
        <f>IF(
    AND(
        YEAR(B208)=YEAR(DATE(YEAR($E$1),MONTH($E$1)-1,1)),
        MONTH(B208)=MONTH(DATE(YEAR($E$1),MONTH($E$1)-1,1))
    ),
    $E$1,
    IF(
        AND(
            YEAR(B208)=YEAR(DATE(YEAR($K$1),MONTH($K$1)-1,1)),
            MONTH(B208)=MONTH(DATE(YEAR($K$1),MONTH($K$1)-1,1))
        ),
        $K$1,
        IF(
            $E$4="",
            DATE(YEAR(B208),MONTH(B208)+1,1),
            IF(
                AND(
                    YEAR(B208)=YEAR(DATE(YEAR($E$4),MONTH($E$4)-1,1)),
                    MONTH(B208)=MONTH(DATE(YEAR($E$4),MONTH($E$4)-1,1))
                ),
                $E$4,
                DATE(YEAR(B208),MONTH(B208)+1,1)
            )
        )
    )
)</f>
        <v>44392</v>
      </c>
      <c r="B209" s="152">
        <f>IF(
AND(
YEAR(B208)=YEAR(DATE(YEAR($E$2),MONTH($E$2)-1,1)),
MONTH(B208)=MONTH(DATE(YEAR($E$2),MONTH($E$2)-1,1))
),
$E$2,
IF(
$E$3="",
EOMONTH(B208,1),
IF(
AND(
YEAR(B208)=YEAR(DATE(YEAR($E$3),MONTH($E$3)-1,1)),
MONTH(B208)=MONTH(DATE(YEAR($E$3),MONTH($E$3)-1,1))
),
$E$3,
EOMONTH(B208,1)
)))</f>
        <v>44408</v>
      </c>
      <c r="C209" s="525"/>
      <c r="D209" s="149" t="s">
        <v>103</v>
      </c>
      <c r="E209" s="271">
        <f>'CAP POST'!G208</f>
        <v>3026351.9534559194</v>
      </c>
      <c r="F209" s="271">
        <f t="shared" si="84"/>
        <v>35454044.414013818</v>
      </c>
      <c r="G209" s="215">
        <v>0.17180000000000001</v>
      </c>
      <c r="H209" s="288">
        <f t="shared" si="87"/>
        <v>0.25770000000000004</v>
      </c>
      <c r="I209" s="272">
        <f t="shared" si="81"/>
        <v>6.2837448450037137E-4</v>
      </c>
      <c r="J209" s="289">
        <f>IF(OR(A209=SABANA!$C$14, D209="adicional"),0,_xlfn.DAYS(B209,A209)+1)</f>
        <v>17</v>
      </c>
      <c r="K209" s="527">
        <f t="shared" si="85"/>
        <v>5251.0844892673986</v>
      </c>
    </row>
    <row r="210" spans="1:11" x14ac:dyDescent="0.35">
      <c r="A210" s="152">
        <f>IF(
    AND(
        YEAR(B209)=YEAR(DATE(YEAR($E$1),MONTH($E$1)-1,1)),
        MONTH(B209)=MONTH(DATE(YEAR($E$1),MONTH($E$1)-1,1))
    ),
    $E$1,
    IF(
        AND(
            YEAR(B209)=YEAR(DATE(YEAR($K$1),MONTH($K$1)-1,1)),
            MONTH(B209)=MONTH(DATE(YEAR($K$1),MONTH($K$1)-1,1))
        ),
        $K$1,
        IF(
            $E$4="",
            DATE(YEAR(B209),MONTH(B209)+1,1),
            IF(
                AND(
                    YEAR(B209)=YEAR(DATE(YEAR($E$4),MONTH($E$4)-1,1)),
                    MONTH(B209)=MONTH(DATE(YEAR($E$4),MONTH($E$4)-1,1))
                ),
                $E$4,
                DATE(YEAR(B209),MONTH(B209)+1,1)
            )
        )
    )
)</f>
        <v>44424</v>
      </c>
      <c r="B210" s="152">
        <f>IF(
AND(
YEAR(B209)=YEAR(DATE(YEAR($E$2),MONTH($E$2)-1,1)),
MONTH(B209)=MONTH(DATE(YEAR($E$2),MONTH($E$2)-1,1))
),
$E$2,
IF(
$E$3="",
EOMONTH(B209,1),
IF(
AND(
YEAR(B209)=YEAR(DATE(YEAR($E$3),MONTH($E$3)-1,1)),
MONTH(B209)=MONTH(DATE(YEAR($E$3),MONTH($E$3)-1,1))
),
$E$3,
EOMONTH(B209,1)
)))</f>
        <v>44439</v>
      </c>
      <c r="C210" s="525"/>
      <c r="D210" s="149" t="s">
        <v>104</v>
      </c>
      <c r="E210" s="271">
        <f>'CAP POST'!G209</f>
        <v>3026351.9534559194</v>
      </c>
      <c r="F210" s="271">
        <f t="shared" si="84"/>
        <v>38480396.367469735</v>
      </c>
      <c r="G210" s="215">
        <v>0.1724</v>
      </c>
      <c r="H210" s="288">
        <f t="shared" si="87"/>
        <v>0.2586</v>
      </c>
      <c r="I210" s="272">
        <f t="shared" si="81"/>
        <v>6.3033554269220637E-4</v>
      </c>
      <c r="J210" s="289">
        <f>IF(OR(A210=SABANA!$C$14, D210="adicional"),0,_xlfn.DAYS(B210,A210)+1)</f>
        <v>16</v>
      </c>
      <c r="K210" s="527">
        <f t="shared" si="85"/>
        <v>5779.1784027917793</v>
      </c>
    </row>
    <row r="211" spans="1:11" x14ac:dyDescent="0.35">
      <c r="A211" s="152">
        <f>IF(
    AND(
        YEAR(B210)=YEAR(DATE(YEAR($E$1),MONTH($E$1)-1,1)),
        MONTH(B210)=MONTH(DATE(YEAR($E$1),MONTH($E$1)-1,1))
    ),
    $E$1,
    IF(
        AND(
            YEAR(B210)=YEAR(DATE(YEAR($K$1),MONTH($K$1)-1,1)),
            MONTH(B210)=MONTH(DATE(YEAR($K$1),MONTH($K$1)-1,1))
        ),
        $K$1,
        IF(
            $E$4="",
            DATE(YEAR(B210),MONTH(B210)+1,1),
            IF(
                AND(
                    YEAR(B210)=YEAR(DATE(YEAR($E$4),MONTH($E$4)-1,1)),
                    MONTH(B210)=MONTH(DATE(YEAR($E$4),MONTH($E$4)-1,1))
                ),
                $E$4,
                DATE(YEAR(B210),MONTH(B210)+1,1)
            )
        )
    )
)</f>
        <v>44440</v>
      </c>
      <c r="B211" s="152">
        <f>IF(
AND(
YEAR(B210)=YEAR(DATE(YEAR($E$2),MONTH($E$2)-1,1)),
MONTH(B210)=MONTH(DATE(YEAR($E$2),MONTH($E$2)-1,1))
),
$E$2,
IF(
$E$3="",
EOMONTH(B210,1),
IF(
AND(
YEAR(B210)=YEAR(DATE(YEAR($E$3),MONTH($E$3)-1,1)),
MONTH(B210)=MONTH(DATE(YEAR($E$3),MONTH($E$3)-1,1))
),
$E$3,
EOMONTH(B210,1)
)))</f>
        <v>44469</v>
      </c>
      <c r="C211" s="525"/>
      <c r="D211" s="149" t="s">
        <v>105</v>
      </c>
      <c r="E211" s="271">
        <f>'CAP POST'!G210</f>
        <v>3026351.9534559194</v>
      </c>
      <c r="F211" s="271">
        <f t="shared" si="84"/>
        <v>41506748.320925653</v>
      </c>
      <c r="G211" s="215">
        <v>0.1719</v>
      </c>
      <c r="H211" s="288">
        <f t="shared" si="87"/>
        <v>0.25785000000000002</v>
      </c>
      <c r="I211" s="272">
        <f t="shared" si="81"/>
        <v>6.2870142469861889E-4</v>
      </c>
      <c r="J211" s="289">
        <f>IF(OR(A211=SABANA!$C$14, D211="adicional"),0,_xlfn.DAYS(B211,A211)+1)</f>
        <v>30</v>
      </c>
      <c r="K211" s="527">
        <f t="shared" si="85"/>
        <v>6238.0825429496326</v>
      </c>
    </row>
    <row r="212" spans="1:11" x14ac:dyDescent="0.35">
      <c r="A212" s="152">
        <f>IF(
    AND(
        YEAR(B211)=YEAR(DATE(YEAR($E$1),MONTH($E$1)-1,1)),
        MONTH(B211)=MONTH(DATE(YEAR($E$1),MONTH($E$1)-1,1))
    ),
    $E$1,
    IF(
        AND(
            YEAR(B211)=YEAR(DATE(YEAR($K$1),MONTH($K$1)-1,1)),
            MONTH(B211)=MONTH(DATE(YEAR($K$1),MONTH($K$1)-1,1))
        ),
        $K$1,
        IF(
            $E$4="",
            DATE(YEAR(B211),MONTH(B211)+1,1),
            IF(
                AND(
                    YEAR(B211)=YEAR(DATE(YEAR($E$4),MONTH($E$4)-1,1)),
                    MONTH(B211)=MONTH(DATE(YEAR($E$4),MONTH($E$4)-1,1))
                ),
                $E$4,
                DATE(YEAR(B211),MONTH(B211)+1,1)
            )
        )
    )
)</f>
        <v>44470</v>
      </c>
      <c r="B212" s="152">
        <f>IF(
AND(
YEAR(B211)=YEAR(DATE(YEAR($E$2),MONTH($E$2)-1,1)),
MONTH(B211)=MONTH(DATE(YEAR($E$2),MONTH($E$2)-1,1))
),
$E$2,
IF(
$E$3="",
EOMONTH(B211,1),
IF(
AND(
YEAR(B211)=YEAR(DATE(YEAR($E$3),MONTH($E$3)-1,1)),
MONTH(B211)=MONTH(DATE(YEAR($E$3),MONTH($E$3)-1,1))
),
$E$3,
EOMONTH(B211,1)
)))</f>
        <v>44500</v>
      </c>
      <c r="C212" s="525"/>
      <c r="D212" s="149" t="s">
        <v>106</v>
      </c>
      <c r="E212" s="271">
        <f>'CAP POST'!G211</f>
        <v>3026351.9534559194</v>
      </c>
      <c r="F212" s="271">
        <f t="shared" si="84"/>
        <v>44533100.274381571</v>
      </c>
      <c r="G212" s="215">
        <v>0.17080000000000001</v>
      </c>
      <c r="H212" s="288">
        <f t="shared" si="87"/>
        <v>0.25619999999999998</v>
      </c>
      <c r="I212" s="272">
        <f t="shared" si="81"/>
        <v>6.2510294214179751E-4</v>
      </c>
      <c r="J212" s="289">
        <f>IF(OR(A212=SABANA!$C$14, D212="adicional"),0,_xlfn.DAYS(B212,A212)+1)</f>
        <v>31</v>
      </c>
      <c r="K212" s="527">
        <f t="shared" si="85"/>
        <v>6647.3627646011628</v>
      </c>
    </row>
    <row r="213" spans="1:11" x14ac:dyDescent="0.35">
      <c r="A213" s="152">
        <f>IF(
    AND(
        YEAR(B212)=YEAR(DATE(YEAR($E$1),MONTH($E$1)-1,1)),
        MONTH(B212)=MONTH(DATE(YEAR($E$1),MONTH($E$1)-1,1))
    ),
    $E$1,
    IF(
        AND(
            YEAR(B212)=YEAR(DATE(YEAR($K$1),MONTH($K$1)-1,1)),
            MONTH(B212)=MONTH(DATE(YEAR($K$1),MONTH($K$1)-1,1))
        ),
        $K$1,
        IF(
            $E$4="",
            DATE(YEAR(B212),MONTH(B212)+1,1),
            IF(
                AND(
                    YEAR(B212)=YEAR(DATE(YEAR($E$4),MONTH($E$4)-1,1)),
                    MONTH(B212)=MONTH(DATE(YEAR($E$4),MONTH($E$4)-1,1))
                ),
                $E$4,
                DATE(YEAR(B212),MONTH(B212)+1,1)
            )
        )
    )
)</f>
        <v>44501</v>
      </c>
      <c r="B213" s="152">
        <f>IF(
AND(
YEAR(B212)=YEAR(DATE(YEAR($E$2),MONTH($E$2)-1,1)),
MONTH(B212)=MONTH(DATE(YEAR($E$2),MONTH($E$2)-1,1))
),
$E$2,
IF(
$E$3="",
EOMONTH(B212,1),
IF(
AND(
YEAR(B212)=YEAR(DATE(YEAR($E$3),MONTH($E$3)-1,1)),
MONTH(B212)=MONTH(DATE(YEAR($E$3),MONTH($E$3)-1,1))
),
$E$3,
EOMONTH(B212,1)
)))</f>
        <v>44530</v>
      </c>
      <c r="C213" s="525"/>
      <c r="D213" s="149" t="s">
        <v>107</v>
      </c>
      <c r="E213" s="271">
        <f>'CAP POST'!G212</f>
        <v>3026351.9534559194</v>
      </c>
      <c r="F213" s="271">
        <f t="shared" si="84"/>
        <v>47559452.227837488</v>
      </c>
      <c r="G213" s="215">
        <v>0.17269999999999999</v>
      </c>
      <c r="H213" s="288">
        <f t="shared" si="87"/>
        <v>0.25905</v>
      </c>
      <c r="I213" s="272">
        <f t="shared" si="81"/>
        <v>6.3131554742335005E-4</v>
      </c>
      <c r="J213" s="289">
        <f>IF(OR(A213=SABANA!$C$14, D213="adicional"),0,_xlfn.DAYS(B213,A213)+1)</f>
        <v>30</v>
      </c>
      <c r="K213" s="527">
        <f t="shared" si="85"/>
        <v>7283.0453136775659</v>
      </c>
    </row>
    <row r="214" spans="1:11" x14ac:dyDescent="0.35">
      <c r="A214" s="156">
        <f t="shared" ref="A214" si="91">A213</f>
        <v>44501</v>
      </c>
      <c r="B214" s="156">
        <f t="shared" ref="B214" si="92">B213</f>
        <v>44530</v>
      </c>
      <c r="C214" s="525"/>
      <c r="D214" s="157" t="s">
        <v>101</v>
      </c>
      <c r="E214" s="274">
        <f>'CAP POST'!G213</f>
        <v>3439036.3107453631</v>
      </c>
      <c r="F214" s="271">
        <f t="shared" si="84"/>
        <v>50998488.538582854</v>
      </c>
      <c r="G214" s="275"/>
      <c r="H214" s="292"/>
      <c r="I214" s="276">
        <f t="shared" si="81"/>
        <v>0</v>
      </c>
      <c r="J214" s="289">
        <f>IF(OR(A214=SABANA!$C$14, D214="adicional"),0,_xlfn.DAYS(B214,A214)+1)</f>
        <v>0</v>
      </c>
      <c r="K214" s="527">
        <f t="shared" si="85"/>
        <v>0</v>
      </c>
    </row>
    <row r="215" spans="1:11" ht="15" thickBot="1" x14ac:dyDescent="0.4">
      <c r="A215" s="152">
        <f>IF(
    AND(
        YEAR(B213)=YEAR(DATE(YEAR($E$1),MONTH($E$1)-1,1)),
        MONTH(B213)=MONTH(DATE(YEAR($E$1),MONTH($E$1)-1,1))
    ),
    $E$1,
    IF(
        AND(
            YEAR(B213)=YEAR(DATE(YEAR($K$1),MONTH($K$1)-1,1)),
            MONTH(B213)=MONTH(DATE(YEAR($K$1),MONTH($K$1)-1,1))
        ),
        $K$1,
        IF(
            $E$4="",
            DATE(YEAR(B213),MONTH(B213)+1,1),
            IF(
                AND(
                    YEAR(B213)=YEAR(DATE(YEAR($E$4),MONTH($E$4)-1,1)),
                    MONTH(B213)=MONTH(DATE(YEAR($E$4),MONTH($E$4)-1,1))
                ),
                $E$4,
                DATE(YEAR(B213),MONTH(B213)+1,1)
            )
        )
    )
)</f>
        <v>44531</v>
      </c>
      <c r="B215" s="152">
        <f>IF(
AND(
YEAR(B213)=YEAR(DATE(YEAR($E$2),MONTH($E$2)-1,1)),
MONTH(B213)=MONTH(DATE(YEAR($E$2),MONTH($E$2)-1,1))
),
$E$2,
IF(
$E$3="",
EOMONTH(B213,1),
IF(
AND(
YEAR(B213)=YEAR(DATE(YEAR($E$3),MONTH($E$3)-1,1)),
MONTH(B213)=MONTH(DATE(YEAR($E$3),MONTH($E$3)-1,1))
),
$E$3,
EOMONTH(B213,1)
)))</f>
        <v>44561</v>
      </c>
      <c r="C215" s="526"/>
      <c r="D215" s="149" t="s">
        <v>108</v>
      </c>
      <c r="E215" s="271">
        <f>'CAP POST'!G214</f>
        <v>3026351.9534559194</v>
      </c>
      <c r="F215" s="271">
        <f t="shared" si="84"/>
        <v>54024840.492038772</v>
      </c>
      <c r="G215" s="215">
        <v>0.17460000000000001</v>
      </c>
      <c r="H215" s="288">
        <f t="shared" si="87"/>
        <v>0.26190000000000002</v>
      </c>
      <c r="I215" s="272">
        <f t="shared" si="81"/>
        <v>6.3751414410861962E-4</v>
      </c>
      <c r="J215" s="289">
        <f>IF(OR(A215=SABANA!$C$14, D215="adicional"),0,_xlfn.DAYS(B215,A215)+1)</f>
        <v>31</v>
      </c>
      <c r="K215" s="527">
        <f t="shared" ref="K215" si="93">IF(AND(OR(A215&gt;=$E$4,B215&lt;=$E$3), AND(A214&gt;=$E$1,B214&lt;$E$2)),(F213*I215*H215),0)</f>
        <v>7940.7617697536753</v>
      </c>
    </row>
    <row r="216" spans="1:11" x14ac:dyDescent="0.35">
      <c r="A216" s="152">
        <f>IF(
    AND(
        YEAR(B215)=YEAR(DATE(YEAR($E$1),MONTH($E$1)-1,1)),
        MONTH(B215)=MONTH(DATE(YEAR($E$1),MONTH($E$1)-1,1))
    ),
    $E$1,
    IF(
        AND(
            YEAR(B215)=YEAR(DATE(YEAR($K$1),MONTH($K$1)-1,1)),
            MONTH(B215)=MONTH(DATE(YEAR($K$1),MONTH($K$1)-1,1))
        ),
        $K$1,
        IF(
            $E$4="",
            DATE(YEAR(B215),MONTH(B215)+1,1),
            IF(
                AND(
                    YEAR(B215)=YEAR(DATE(YEAR($E$4),MONTH($E$4)-1,1)),
                    MONTH(B215)=MONTH(DATE(YEAR($E$4),MONTH($E$4)-1,1))
                ),
                $E$4,
                DATE(YEAR(B215),MONTH(B215)+1,1)
            )
        )
    )
)</f>
        <v>44562</v>
      </c>
      <c r="B216" s="152">
        <f>IF(
AND(
YEAR(B215)=YEAR(DATE(YEAR($E$2),MONTH($E$2)-1,1)),
MONTH(B215)=MONTH(DATE(YEAR($E$2),MONTH($E$2)-1,1))
),
$E$2,
IF(
$E$3="",
EOMONTH(B215,1),
IF(
AND(
YEAR(B215)=YEAR(DATE(YEAR($E$3),MONTH($E$3)-1,1)),
MONTH(B215)=MONTH(DATE(YEAR($E$3),MONTH($E$3)-1,1))
),
$E$3,
EOMONTH(B215,1)
)))</f>
        <v>44592</v>
      </c>
      <c r="C216" s="468">
        <v>2022</v>
      </c>
      <c r="D216" s="149" t="s">
        <v>96</v>
      </c>
      <c r="E216" s="271">
        <f>'CAP POST'!G215</f>
        <v>3196432.9332401422</v>
      </c>
      <c r="F216" s="271">
        <f t="shared" si="84"/>
        <v>57221273.425278917</v>
      </c>
      <c r="G216" s="215">
        <v>0.17660000000000001</v>
      </c>
      <c r="H216" s="288">
        <f t="shared" ref="H216:H259" si="94">G216*1.5</f>
        <v>0.26490000000000002</v>
      </c>
      <c r="I216" s="272">
        <f t="shared" si="81"/>
        <v>6.4402391816376081E-4</v>
      </c>
      <c r="J216" s="289">
        <f>IF(OR(A216=SABANA!$C$14, D216="adicional"),0,_xlfn.DAYS(B216,A216)+1)</f>
        <v>31</v>
      </c>
      <c r="K216" s="527">
        <f t="shared" si="85"/>
        <v>9216.7423757963934</v>
      </c>
    </row>
    <row r="217" spans="1:11" x14ac:dyDescent="0.35">
      <c r="A217" s="152">
        <f>IF(
    AND(
        YEAR(B216)=YEAR(DATE(YEAR($E$1),MONTH($E$1)-1,1)),
        MONTH(B216)=MONTH(DATE(YEAR($E$1),MONTH($E$1)-1,1))
    ),
    $E$1,
    IF(
        AND(
            YEAR(B216)=YEAR(DATE(YEAR($K$1),MONTH($K$1)-1,1)),
            MONTH(B216)=MONTH(DATE(YEAR($K$1),MONTH($K$1)-1,1))
        ),
        $K$1,
        IF(
            $E$4="",
            DATE(YEAR(B216),MONTH(B216)+1,1),
            IF(
                AND(
                    YEAR(B216)=YEAR(DATE(YEAR($E$4),MONTH($E$4)-1,1)),
                    MONTH(B216)=MONTH(DATE(YEAR($E$4),MONTH($E$4)-1,1))
                ),
                $E$4,
                DATE(YEAR(B216),MONTH(B216)+1,1)
            )
        )
    )
)</f>
        <v>44593</v>
      </c>
      <c r="B217" s="152">
        <f>IF(
AND(
YEAR(B216)=YEAR(DATE(YEAR($E$2),MONTH($E$2)-1,1)),
MONTH(B216)=MONTH(DATE(YEAR($E$2),MONTH($E$2)-1,1))
),
$E$2,
IF(
$E$3="",
EOMONTH(B216,1),
IF(
AND(
YEAR(B216)=YEAR(DATE(YEAR($E$3),MONTH($E$3)-1,1)),
MONTH(B216)=MONTH(DATE(YEAR($E$3),MONTH($E$3)-1,1))
),
$E$3,
EOMONTH(B216,1)
)))</f>
        <v>44620</v>
      </c>
      <c r="C217" s="471"/>
      <c r="D217" s="149" t="s">
        <v>97</v>
      </c>
      <c r="E217" s="271">
        <f>'CAP POST'!G216</f>
        <v>3196432.9332401422</v>
      </c>
      <c r="F217" s="271">
        <f t="shared" si="84"/>
        <v>60417706.358519062</v>
      </c>
      <c r="G217" s="215">
        <v>0.183</v>
      </c>
      <c r="H217" s="288">
        <f t="shared" si="94"/>
        <v>0.27449999999999997</v>
      </c>
      <c r="I217" s="272">
        <f t="shared" si="81"/>
        <v>6.6475220558892545E-4</v>
      </c>
      <c r="J217" s="289">
        <f>IF(OR(A217=SABANA!$C$14, D217="adicional"),0,_xlfn.DAYS(B217,A217)+1)</f>
        <v>28</v>
      </c>
      <c r="K217" s="527">
        <f t="shared" si="85"/>
        <v>10441.422138058777</v>
      </c>
    </row>
    <row r="218" spans="1:11" x14ac:dyDescent="0.35">
      <c r="A218" s="152">
        <f>IF(
    AND(
        YEAR(B217)=YEAR(DATE(YEAR($E$1),MONTH($E$1)-1,1)),
        MONTH(B217)=MONTH(DATE(YEAR($E$1),MONTH($E$1)-1,1))
    ),
    $E$1,
    IF(
        AND(
            YEAR(B217)=YEAR(DATE(YEAR($K$1),MONTH($K$1)-1,1)),
            MONTH(B217)=MONTH(DATE(YEAR($K$1),MONTH($K$1)-1,1))
        ),
        $K$1,
        IF(
            $E$4="",
            DATE(YEAR(B217),MONTH(B217)+1,1),
            IF(
                AND(
                    YEAR(B217)=YEAR(DATE(YEAR($E$4),MONTH($E$4)-1,1)),
                    MONTH(B217)=MONTH(DATE(YEAR($E$4),MONTH($E$4)-1,1))
                ),
                $E$4,
                DATE(YEAR(B217),MONTH(B217)+1,1)
            )
        )
    )
)</f>
        <v>44621</v>
      </c>
      <c r="B218" s="152">
        <f>IF(
AND(
YEAR(B217)=YEAR(DATE(YEAR($E$2),MONTH($E$2)-1,1)),
MONTH(B217)=MONTH(DATE(YEAR($E$2),MONTH($E$2)-1,1))
),
$E$2,
IF(
$E$3="",
EOMONTH(B217,1),
IF(
AND(
YEAR(B217)=YEAR(DATE(YEAR($E$3),MONTH($E$3)-1,1)),
MONTH(B217)=MONTH(DATE(YEAR($E$3),MONTH($E$3)-1,1))
),
$E$3,
EOMONTH(B217,1)
)))</f>
        <v>44634</v>
      </c>
      <c r="C218" s="471"/>
      <c r="D218" s="149" t="s">
        <v>98</v>
      </c>
      <c r="E218" s="271">
        <f>'CAP POST'!G217</f>
        <v>1598216.4666200711</v>
      </c>
      <c r="F218" s="271">
        <f t="shared" si="84"/>
        <v>62015922.825139135</v>
      </c>
      <c r="G218" s="215">
        <v>0.1847</v>
      </c>
      <c r="H218" s="288">
        <f t="shared" si="94"/>
        <v>0.27705000000000002</v>
      </c>
      <c r="I218" s="272">
        <f t="shared" si="81"/>
        <v>6.7023198611315671E-4</v>
      </c>
      <c r="J218" s="289">
        <f>IF(OR(A218=SABANA!$C$14, D218="adicional"),0,_xlfn.DAYS(B218,A218)+1)</f>
        <v>14</v>
      </c>
      <c r="K218" s="527">
        <f t="shared" si="85"/>
        <v>11218.829268119323</v>
      </c>
    </row>
    <row r="219" spans="1:11" x14ac:dyDescent="0.35">
      <c r="A219" s="152">
        <f>IF(
    AND(
        YEAR(B218)=YEAR(DATE(YEAR($E$1),MONTH($E$1)-1,1)),
        MONTH(B218)=MONTH(DATE(YEAR($E$1),MONTH($E$1)-1,1))
    ),
    $E$1,
    IF(
        AND(
            YEAR(B218)=YEAR(DATE(YEAR($K$1),MONTH($K$1)-1,1)),
            MONTH(B218)=MONTH(DATE(YEAR($K$1),MONTH($K$1)-1,1))
        ),
        $K$1,
        IF(
            $E$4="",
            DATE(YEAR(B218),MONTH(B218)+1,1),
            IF(
                AND(
                    YEAR(B218)=YEAR(DATE(YEAR($E$4),MONTH($E$4)-1,1)),
                    MONTH(B218)=MONTH(DATE(YEAR($E$4),MONTH($E$4)-1,1))
                ),
                $E$4,
                DATE(YEAR(B218),MONTH(B218)+1,1)
            )
        )
    )
)</f>
        <v>44652</v>
      </c>
      <c r="B219" s="152">
        <f>IF(
AND(
YEAR(B218)=YEAR(DATE(YEAR($E$2),MONTH($E$2)-1,1)),
MONTH(B218)=MONTH(DATE(YEAR($E$2),MONTH($E$2)-1,1))
),
$E$2,
IF(
$E$3="",
EOMONTH(B218,1),
IF(
AND(
YEAR(B218)=YEAR(DATE(YEAR($E$3),MONTH($E$3)-1,1)),
MONTH(B218)=MONTH(DATE(YEAR($E$3),MONTH($E$3)-1,1))
),
$E$3,
EOMONTH(B218,1)
)))</f>
        <v>44681</v>
      </c>
      <c r="C219" s="471"/>
      <c r="D219" s="149" t="s">
        <v>99</v>
      </c>
      <c r="E219" s="271">
        <f>'CAP POST'!G218</f>
        <v>0</v>
      </c>
      <c r="F219" s="271">
        <f t="shared" si="84"/>
        <v>0</v>
      </c>
      <c r="G219" s="215">
        <v>0.1905</v>
      </c>
      <c r="H219" s="288">
        <f t="shared" si="94"/>
        <v>0.28575</v>
      </c>
      <c r="I219" s="272">
        <f t="shared" si="81"/>
        <v>6.8884592812357148E-4</v>
      </c>
      <c r="J219" s="289">
        <f>IF(OR(A219=SABANA!$C$14, D219="adicional"),0,_xlfn.DAYS(B219,A219)+1)</f>
        <v>30</v>
      </c>
      <c r="K219" s="527">
        <f t="shared" si="85"/>
        <v>0</v>
      </c>
    </row>
    <row r="220" spans="1:11" x14ac:dyDescent="0.35">
      <c r="A220" s="152">
        <f>IF(
    AND(
        YEAR(B219)=YEAR(DATE(YEAR($E$1),MONTH($E$1)-1,1)),
        MONTH(B219)=MONTH(DATE(YEAR($E$1),MONTH($E$1)-1,1))
    ),
    $E$1,
    IF(
        AND(
            YEAR(B219)=YEAR(DATE(YEAR($K$1),MONTH($K$1)-1,1)),
            MONTH(B219)=MONTH(DATE(YEAR($K$1),MONTH($K$1)-1,1))
        ),
        $K$1,
        IF(
            $E$4="",
            DATE(YEAR(B219),MONTH(B219)+1,1),
            IF(
                AND(
                    YEAR(B219)=YEAR(DATE(YEAR($E$4),MONTH($E$4)-1,1)),
                    MONTH(B219)=MONTH(DATE(YEAR($E$4),MONTH($E$4)-1,1))
                ),
                $E$4,
                DATE(YEAR(B219),MONTH(B219)+1,1)
            )
        )
    )
)</f>
        <v>44682</v>
      </c>
      <c r="B220" s="152">
        <f>IF(
AND(
YEAR(B219)=YEAR(DATE(YEAR($E$2),MONTH($E$2)-1,1)),
MONTH(B219)=MONTH(DATE(YEAR($E$2),MONTH($E$2)-1,1))
),
$E$2,
IF(
$E$3="",
EOMONTH(B219,1),
IF(
AND(
YEAR(B219)=YEAR(DATE(YEAR($E$3),MONTH($E$3)-1,1)),
MONTH(B219)=MONTH(DATE(YEAR($E$3),MONTH($E$3)-1,1))
),
$E$3,
EOMONTH(B219,1)
)))</f>
        <v>44712</v>
      </c>
      <c r="C220" s="471"/>
      <c r="D220" s="149" t="s">
        <v>100</v>
      </c>
      <c r="E220" s="271">
        <f>'CAP POST'!G219</f>
        <v>0</v>
      </c>
      <c r="F220" s="271">
        <f t="shared" si="84"/>
        <v>0</v>
      </c>
      <c r="G220" s="215">
        <v>0.1971</v>
      </c>
      <c r="H220" s="288">
        <f t="shared" si="94"/>
        <v>0.29564999999999997</v>
      </c>
      <c r="I220" s="272">
        <f t="shared" si="81"/>
        <v>7.0987512909947981E-4</v>
      </c>
      <c r="J220" s="289">
        <f>IF(OR(A220=SABANA!$C$14, D220="adicional"),0,_xlfn.DAYS(B220,A220)+1)</f>
        <v>31</v>
      </c>
      <c r="K220" s="527">
        <f t="shared" si="85"/>
        <v>0</v>
      </c>
    </row>
    <row r="221" spans="1:11" x14ac:dyDescent="0.35">
      <c r="A221" s="156">
        <f t="shared" ref="A221" si="95">A222</f>
        <v>44713</v>
      </c>
      <c r="B221" s="156">
        <f t="shared" ref="B221" si="96">B222</f>
        <v>44742</v>
      </c>
      <c r="C221" s="471"/>
      <c r="D221" s="157" t="s">
        <v>101</v>
      </c>
      <c r="E221" s="274">
        <f>'CAP POST'!G220</f>
        <v>0</v>
      </c>
      <c r="F221" s="271">
        <f t="shared" si="84"/>
        <v>0</v>
      </c>
      <c r="G221" s="298"/>
      <c r="H221" s="298"/>
      <c r="I221" s="276">
        <f t="shared" si="81"/>
        <v>0</v>
      </c>
      <c r="J221" s="299">
        <f>IF(OR(A221=SABANA!$C$14, D221="adicional"),0,_xlfn.DAYS(B221,A221)+1)</f>
        <v>0</v>
      </c>
      <c r="K221" s="527">
        <f t="shared" si="85"/>
        <v>0</v>
      </c>
    </row>
    <row r="222" spans="1:11" x14ac:dyDescent="0.35">
      <c r="A222" s="152">
        <f>IF(
    AND(
        YEAR(B220)=YEAR(DATE(YEAR($E$1),MONTH($E$1)-1,1)),
        MONTH(B220)=MONTH(DATE(YEAR($E$1),MONTH($E$1)-1,1))
    ),
    $E$1,
    IF(
        AND(
            YEAR(B220)=YEAR(DATE(YEAR($K$1),MONTH($K$1)-1,1)),
            MONTH(B220)=MONTH(DATE(YEAR($K$1),MONTH($K$1)-1,1))
        ),
        $K$1,
        IF(
            $E$4="",
            DATE(YEAR(B220),MONTH(B220)+1,1),
            IF(
                AND(
                    YEAR(B220)=YEAR(DATE(YEAR($E$4),MONTH($E$4)-1,1)),
                    MONTH(B220)=MONTH(DATE(YEAR($E$4),MONTH($E$4)-1,1))
                ),
                $E$4,
                DATE(YEAR(B220),MONTH(B220)+1,1)
            )
        )
    )
)</f>
        <v>44713</v>
      </c>
      <c r="B222" s="152">
        <f>IF(
AND(
YEAR(B220)=YEAR(DATE(YEAR($E$2),MONTH($E$2)-1,1)),
MONTH(B220)=MONTH(DATE(YEAR($E$2),MONTH($E$2)-1,1))
),
$E$2,
IF(
$E$3="",
EOMONTH(B220,1),
IF(
AND(
YEAR(B220)=YEAR(DATE(YEAR($E$3),MONTH($E$3)-1,1)),
MONTH(B220)=MONTH(DATE(YEAR($E$3),MONTH($E$3)-1,1))
),
$E$3,
EOMONTH(B220,1)
)))</f>
        <v>44742</v>
      </c>
      <c r="C222" s="471"/>
      <c r="D222" s="149" t="s">
        <v>102</v>
      </c>
      <c r="E222" s="271">
        <f>'CAP POST'!G221</f>
        <v>0</v>
      </c>
      <c r="F222" s="271">
        <f t="shared" si="84"/>
        <v>0</v>
      </c>
      <c r="G222" s="215">
        <v>0.20399999999999999</v>
      </c>
      <c r="H222" s="288">
        <f>G222*1.5</f>
        <v>0.30599999999999999</v>
      </c>
      <c r="I222" s="272">
        <f t="shared" si="81"/>
        <v>7.3168955664093538E-4</v>
      </c>
      <c r="J222" s="289">
        <f>IF(OR(A222=SABANA!$C$14, D222="adicional"),0,_xlfn.DAYS(B222,A222)+1)</f>
        <v>30</v>
      </c>
      <c r="K222" s="527">
        <f t="shared" ref="K222" si="97">IF(AND(OR(A222&gt;=$E$4,B222&lt;=$E$3), AND(A221&gt;=$E$1,B221&lt;$E$2)),(F220*I222*H222),0)</f>
        <v>0</v>
      </c>
    </row>
    <row r="223" spans="1:11" x14ac:dyDescent="0.35">
      <c r="A223" s="152">
        <f>IF(
    AND(
        YEAR(B222)=YEAR(DATE(YEAR($E$1),MONTH($E$1)-1,1)),
        MONTH(B222)=MONTH(DATE(YEAR($E$1),MONTH($E$1)-1,1))
    ),
    $E$1,
    IF(
        AND(
            YEAR(B222)=YEAR(DATE(YEAR($K$1),MONTH($K$1)-1,1)),
            MONTH(B222)=MONTH(DATE(YEAR($K$1),MONTH($K$1)-1,1))
        ),
        $K$1,
        IF(
            $E$4="",
            DATE(YEAR(B222),MONTH(B222)+1,1),
            IF(
                AND(
                    YEAR(B222)=YEAR(DATE(YEAR($E$4),MONTH($E$4)-1,1)),
                    MONTH(B222)=MONTH(DATE(YEAR($E$4),MONTH($E$4)-1,1))
                ),
                $E$4,
                DATE(YEAR(B222),MONTH(B222)+1,1)
            )
        )
    )
)</f>
        <v>44743</v>
      </c>
      <c r="B223" s="152">
        <f>IF(
AND(
YEAR(B222)=YEAR(DATE(YEAR($E$2),MONTH($E$2)-1,1)),
MONTH(B222)=MONTH(DATE(YEAR($E$2),MONTH($E$2)-1,1))
),
$E$2,
IF(
$E$3="",
EOMONTH(B222,1),
IF(
AND(
YEAR(B222)=YEAR(DATE(YEAR($E$3),MONTH($E$3)-1,1)),
MONTH(B222)=MONTH(DATE(YEAR($E$3),MONTH($E$3)-1,1))
),
$E$3,
EOMONTH(B222,1)
)))</f>
        <v>44773</v>
      </c>
      <c r="C223" s="471"/>
      <c r="D223" s="149" t="s">
        <v>103</v>
      </c>
      <c r="E223" s="271">
        <f>'CAP POST'!G222</f>
        <v>0</v>
      </c>
      <c r="F223" s="271">
        <f t="shared" si="84"/>
        <v>0</v>
      </c>
      <c r="G223" s="215">
        <v>0.21279999999999999</v>
      </c>
      <c r="H223" s="288">
        <f t="shared" si="94"/>
        <v>0.31919999999999998</v>
      </c>
      <c r="I223" s="272">
        <f t="shared" si="81"/>
        <v>7.5926204501630679E-4</v>
      </c>
      <c r="J223" s="289">
        <f>IF(OR(A223=SABANA!$C$14, D223="adicional"),0,_xlfn.DAYS(B223,A223)+1)</f>
        <v>31</v>
      </c>
      <c r="K223" s="527">
        <f t="shared" si="85"/>
        <v>0</v>
      </c>
    </row>
    <row r="224" spans="1:11" x14ac:dyDescent="0.35">
      <c r="A224" s="152">
        <f>IF(
    AND(
        YEAR(B223)=YEAR(DATE(YEAR($E$1),MONTH($E$1)-1,1)),
        MONTH(B223)=MONTH(DATE(YEAR($E$1),MONTH($E$1)-1,1))
    ),
    $E$1,
    IF(
        AND(
            YEAR(B223)=YEAR(DATE(YEAR($K$1),MONTH($K$1)-1,1)),
            MONTH(B223)=MONTH(DATE(YEAR($K$1),MONTH($K$1)-1,1))
        ),
        $K$1,
        IF(
            $E$4="",
            DATE(YEAR(B223),MONTH(B223)+1,1),
            IF(
                AND(
                    YEAR(B223)=YEAR(DATE(YEAR($E$4),MONTH($E$4)-1,1)),
                    MONTH(B223)=MONTH(DATE(YEAR($E$4),MONTH($E$4)-1,1))
                ),
                $E$4,
                DATE(YEAR(B223),MONTH(B223)+1,1)
            )
        )
    )
)</f>
        <v>44774</v>
      </c>
      <c r="B224" s="152">
        <f>IF(
AND(
YEAR(B223)=YEAR(DATE(YEAR($E$2),MONTH($E$2)-1,1)),
MONTH(B223)=MONTH(DATE(YEAR($E$2),MONTH($E$2)-1,1))
),
$E$2,
IF(
$E$3="",
EOMONTH(B223,1),
IF(
AND(
YEAR(B223)=YEAR(DATE(YEAR($E$3),MONTH($E$3)-1,1)),
MONTH(B223)=MONTH(DATE(YEAR($E$3),MONTH($E$3)-1,1))
),
$E$3,
EOMONTH(B223,1)
)))</f>
        <v>44804</v>
      </c>
      <c r="C224" s="471"/>
      <c r="D224" s="149" t="s">
        <v>104</v>
      </c>
      <c r="E224" s="271">
        <f>'CAP POST'!G223</f>
        <v>0</v>
      </c>
      <c r="F224" s="271">
        <f t="shared" si="84"/>
        <v>0</v>
      </c>
      <c r="G224" s="215">
        <v>0.22209999999999999</v>
      </c>
      <c r="H224" s="288">
        <f t="shared" si="94"/>
        <v>0.33315</v>
      </c>
      <c r="I224" s="272">
        <f t="shared" si="81"/>
        <v>7.8810371394433254E-4</v>
      </c>
      <c r="J224" s="289">
        <f>IF(OR(A224=SABANA!$C$14, D224="adicional"),0,_xlfn.DAYS(B224,A224)+1)</f>
        <v>31</v>
      </c>
      <c r="K224" s="527">
        <f t="shared" si="85"/>
        <v>0</v>
      </c>
    </row>
    <row r="225" spans="1:11" x14ac:dyDescent="0.35">
      <c r="A225" s="152">
        <f>IF(
    AND(
        YEAR(B224)=YEAR(DATE(YEAR($E$1),MONTH($E$1)-1,1)),
        MONTH(B224)=MONTH(DATE(YEAR($E$1),MONTH($E$1)-1,1))
    ),
    $E$1,
    IF(
        AND(
            YEAR(B224)=YEAR(DATE(YEAR($K$1),MONTH($K$1)-1,1)),
            MONTH(B224)=MONTH(DATE(YEAR($K$1),MONTH($K$1)-1,1))
        ),
        $K$1,
        IF(
            $E$4="",
            DATE(YEAR(B224),MONTH(B224)+1,1),
            IF(
                AND(
                    YEAR(B224)=YEAR(DATE(YEAR($E$4),MONTH($E$4)-1,1)),
                    MONTH(B224)=MONTH(DATE(YEAR($E$4),MONTH($E$4)-1,1))
                ),
                $E$4,
                DATE(YEAR(B224),MONTH(B224)+1,1)
            )
        )
    )
)</f>
        <v>44805</v>
      </c>
      <c r="B225" s="152">
        <f>IF(
AND(
YEAR(B224)=YEAR(DATE(YEAR($E$2),MONTH($E$2)-1,1)),
MONTH(B224)=MONTH(DATE(YEAR($E$2),MONTH($E$2)-1,1))
),
$E$2,
IF(
$E$3="",
EOMONTH(B224,1),
IF(
AND(
YEAR(B224)=YEAR(DATE(YEAR($E$3),MONTH($E$3)-1,1)),
MONTH(B224)=MONTH(DATE(YEAR($E$3),MONTH($E$3)-1,1))
),
$E$3,
EOMONTH(B224,1)
)))</f>
        <v>44834</v>
      </c>
      <c r="C225" s="471"/>
      <c r="D225" s="149" t="s">
        <v>105</v>
      </c>
      <c r="E225" s="271">
        <f>'CAP POST'!G224</f>
        <v>0</v>
      </c>
      <c r="F225" s="271">
        <f t="shared" si="84"/>
        <v>0</v>
      </c>
      <c r="G225" s="215">
        <v>0.23499999999999999</v>
      </c>
      <c r="H225" s="288">
        <f t="shared" si="94"/>
        <v>0.35249999999999998</v>
      </c>
      <c r="I225" s="272">
        <f t="shared" si="81"/>
        <v>8.2761552252574866E-4</v>
      </c>
      <c r="J225" s="289">
        <f>IF(OR(A225=SABANA!$C$14, D225="adicional"),0,_xlfn.DAYS(B225,A225)+1)</f>
        <v>30</v>
      </c>
      <c r="K225" s="527">
        <f t="shared" si="85"/>
        <v>0</v>
      </c>
    </row>
    <row r="226" spans="1:11" x14ac:dyDescent="0.35">
      <c r="A226" s="152">
        <f>IF(
    AND(
        YEAR(B225)=YEAR(DATE(YEAR($E$1),MONTH($E$1)-1,1)),
        MONTH(B225)=MONTH(DATE(YEAR($E$1),MONTH($E$1)-1,1))
    ),
    $E$1,
    IF(
        AND(
            YEAR(B225)=YEAR(DATE(YEAR($K$1),MONTH($K$1)-1,1)),
            MONTH(B225)=MONTH(DATE(YEAR($K$1),MONTH($K$1)-1,1))
        ),
        $K$1,
        IF(
            $E$4="",
            DATE(YEAR(B225),MONTH(B225)+1,1),
            IF(
                AND(
                    YEAR(B225)=YEAR(DATE(YEAR($E$4),MONTH($E$4)-1,1)),
                    MONTH(B225)=MONTH(DATE(YEAR($E$4),MONTH($E$4)-1,1))
                ),
                $E$4,
                DATE(YEAR(B225),MONTH(B225)+1,1)
            )
        )
    )
)</f>
        <v>44835</v>
      </c>
      <c r="B226" s="152">
        <f>IF(
AND(
YEAR(B225)=YEAR(DATE(YEAR($E$2),MONTH($E$2)-1,1)),
MONTH(B225)=MONTH(DATE(YEAR($E$2),MONTH($E$2)-1,1))
),
$E$2,
IF(
$E$3="",
EOMONTH(B225,1),
IF(
AND(
YEAR(B225)=YEAR(DATE(YEAR($E$3),MONTH($E$3)-1,1)),
MONTH(B225)=MONTH(DATE(YEAR($E$3),MONTH($E$3)-1,1))
),
$E$3,
EOMONTH(B225,1)
)))</f>
        <v>44865</v>
      </c>
      <c r="C226" s="471"/>
      <c r="D226" s="149" t="s">
        <v>106</v>
      </c>
      <c r="E226" s="271">
        <f>'CAP POST'!G225</f>
        <v>0</v>
      </c>
      <c r="F226" s="271">
        <f t="shared" si="84"/>
        <v>0</v>
      </c>
      <c r="G226" s="215">
        <v>0.24610000000000001</v>
      </c>
      <c r="H226" s="288">
        <f t="shared" si="94"/>
        <v>0.36915000000000003</v>
      </c>
      <c r="I226" s="272">
        <f t="shared" si="81"/>
        <v>8.611654102768096E-4</v>
      </c>
      <c r="J226" s="289">
        <f>IF(OR(A226=SABANA!$C$14, D226="adicional"),0,_xlfn.DAYS(B226,A226)+1)</f>
        <v>31</v>
      </c>
      <c r="K226" s="527">
        <f t="shared" si="85"/>
        <v>0</v>
      </c>
    </row>
    <row r="227" spans="1:11" x14ac:dyDescent="0.35">
      <c r="A227" s="152">
        <f>IF(
    AND(
        YEAR(B226)=YEAR(DATE(YEAR($E$1),MONTH($E$1)-1,1)),
        MONTH(B226)=MONTH(DATE(YEAR($E$1),MONTH($E$1)-1,1))
    ),
    $E$1,
    IF(
        AND(
            YEAR(B226)=YEAR(DATE(YEAR($K$1),MONTH($K$1)-1,1)),
            MONTH(B226)=MONTH(DATE(YEAR($K$1),MONTH($K$1)-1,1))
        ),
        $K$1,
        IF(
            $E$4="",
            DATE(YEAR(B226),MONTH(B226)+1,1),
            IF(
                AND(
                    YEAR(B226)=YEAR(DATE(YEAR($E$4),MONTH($E$4)-1,1)),
                    MONTH(B226)=MONTH(DATE(YEAR($E$4),MONTH($E$4)-1,1))
                ),
                $E$4,
                DATE(YEAR(B226),MONTH(B226)+1,1)
            )
        )
    )
)</f>
        <v>44866</v>
      </c>
      <c r="B227" s="152">
        <f>IF(
AND(
YEAR(B226)=YEAR(DATE(YEAR($E$2),MONTH($E$2)-1,1)),
MONTH(B226)=MONTH(DATE(YEAR($E$2),MONTH($E$2)-1,1))
),
$E$2,
IF(
$E$3="",
EOMONTH(B226,1),
IF(
AND(
YEAR(B226)=YEAR(DATE(YEAR($E$3),MONTH($E$3)-1,1)),
MONTH(B226)=MONTH(DATE(YEAR($E$3),MONTH($E$3)-1,1))
),
$E$3,
EOMONTH(B226,1)
)))</f>
        <v>44895</v>
      </c>
      <c r="C227" s="471"/>
      <c r="D227" s="149" t="s">
        <v>107</v>
      </c>
      <c r="E227" s="271">
        <f>'CAP POST'!G226</f>
        <v>0</v>
      </c>
      <c r="F227" s="271">
        <f t="shared" si="84"/>
        <v>0</v>
      </c>
      <c r="G227" s="215">
        <v>0.25779999999999997</v>
      </c>
      <c r="H227" s="288">
        <f t="shared" si="94"/>
        <v>0.38669999999999993</v>
      </c>
      <c r="I227" s="272">
        <f t="shared" si="81"/>
        <v>8.9609117817124329E-4</v>
      </c>
      <c r="J227" s="289">
        <f>IF(OR(A227=SABANA!$C$14, D227="adicional"),0,_xlfn.DAYS(B227,A227)+1)</f>
        <v>30</v>
      </c>
      <c r="K227" s="527">
        <f t="shared" si="85"/>
        <v>0</v>
      </c>
    </row>
    <row r="228" spans="1:11" x14ac:dyDescent="0.35">
      <c r="A228" s="156">
        <f t="shared" ref="A228" si="98">A227</f>
        <v>44866</v>
      </c>
      <c r="B228" s="156">
        <f t="shared" ref="B228" si="99">B227</f>
        <v>44895</v>
      </c>
      <c r="C228" s="471"/>
      <c r="D228" s="157" t="s">
        <v>101</v>
      </c>
      <c r="E228" s="274">
        <f>'CAP POST'!G227</f>
        <v>0</v>
      </c>
      <c r="F228" s="271">
        <f t="shared" si="84"/>
        <v>0</v>
      </c>
      <c r="G228" s="275"/>
      <c r="H228" s="292"/>
      <c r="I228" s="276">
        <f t="shared" si="81"/>
        <v>0</v>
      </c>
      <c r="J228" s="289">
        <f>IF(OR(A228=SABANA!$C$14, D228="adicional"),0,_xlfn.DAYS(B228,A228)+1)</f>
        <v>0</v>
      </c>
      <c r="K228" s="527">
        <f t="shared" si="85"/>
        <v>0</v>
      </c>
    </row>
    <row r="229" spans="1:11" x14ac:dyDescent="0.35">
      <c r="A229" s="152">
        <f>IF(
    AND(
        YEAR(B227)=YEAR(DATE(YEAR($E$1),MONTH($E$1)-1,1)),
        MONTH(B227)=MONTH(DATE(YEAR($E$1),MONTH($E$1)-1,1))
    ),
    $E$1,
    IF(
        AND(
            YEAR(B227)=YEAR(DATE(YEAR($K$1),MONTH($K$1)-1,1)),
            MONTH(B227)=MONTH(DATE(YEAR($K$1),MONTH($K$1)-1,1))
        ),
        $K$1,
        IF(
            $E$4="",
            DATE(YEAR(B227),MONTH(B227)+1,1),
            IF(
                AND(
                    YEAR(B227)=YEAR(DATE(YEAR($E$4),MONTH($E$4)-1,1)),
                    MONTH(B227)=MONTH(DATE(YEAR($E$4),MONTH($E$4)-1,1))
                ),
                $E$4,
                DATE(YEAR(B227),MONTH(B227)+1,1)
            )
        )
    )
)</f>
        <v>44896</v>
      </c>
      <c r="B229" s="152">
        <f>IF(
AND(
YEAR(B227)=YEAR(DATE(YEAR($E$2),MONTH($E$2)-1,1)),
MONTH(B227)=MONTH(DATE(YEAR($E$2),MONTH($E$2)-1,1))
),
$E$2,
IF(
$E$3="",
EOMONTH(B227,1),
IF(
AND(
YEAR(B227)=YEAR(DATE(YEAR($E$3),MONTH($E$3)-1,1)),
MONTH(B227)=MONTH(DATE(YEAR($E$3),MONTH($E$3)-1,1))
),
$E$3,
EOMONTH(B227,1)
)))</f>
        <v>44926</v>
      </c>
      <c r="C229" s="472"/>
      <c r="D229" s="149" t="s">
        <v>108</v>
      </c>
      <c r="E229" s="271">
        <f>'CAP POST'!G228</f>
        <v>0</v>
      </c>
      <c r="F229" s="271">
        <f t="shared" si="84"/>
        <v>0</v>
      </c>
      <c r="G229" s="215">
        <v>0.27639999999999998</v>
      </c>
      <c r="H229" s="288">
        <f t="shared" si="94"/>
        <v>0.41459999999999997</v>
      </c>
      <c r="I229" s="272">
        <f t="shared" si="81"/>
        <v>9.5071686592063109E-4</v>
      </c>
      <c r="J229" s="289">
        <f>IF(OR(A229=SABANA!$C$14, D229="adicional"),0,_xlfn.DAYS(B229,A229)+1)</f>
        <v>31</v>
      </c>
      <c r="K229" s="527">
        <f t="shared" ref="K229" si="100">IF(AND(OR(A229&gt;=$E$4,B229&lt;=$E$3), AND(A228&gt;=$E$1,B228&lt;$E$2)),(F227*I229*H229),0)</f>
        <v>0</v>
      </c>
    </row>
    <row r="230" spans="1:11" x14ac:dyDescent="0.35">
      <c r="A230" s="152">
        <f>IF(
    AND(
        YEAR(B229)=YEAR(DATE(YEAR($E$1),MONTH($E$1)-1,1)),
        MONTH(B229)=MONTH(DATE(YEAR($E$1),MONTH($E$1)-1,1))
    ),
    $E$1,
    IF(
        AND(
            YEAR(B229)=YEAR(DATE(YEAR($K$1),MONTH($K$1)-1,1)),
            MONTH(B229)=MONTH(DATE(YEAR($K$1),MONTH($K$1)-1,1))
        ),
        $K$1,
        IF(
            $E$4="",
            DATE(YEAR(B229),MONTH(B229)+1,1),
            IF(
                AND(
                    YEAR(B229)=YEAR(DATE(YEAR($E$4),MONTH($E$4)-1,1)),
                    MONTH(B229)=MONTH(DATE(YEAR($E$4),MONTH($E$4)-1,1))
                ),
                $E$4,
                DATE(YEAR(B229),MONTH(B229)+1,1)
            )
        )
    )
)</f>
        <v>44927</v>
      </c>
      <c r="B230" s="152">
        <f>IF(
AND(
YEAR(B229)=YEAR(DATE(YEAR($E$2),MONTH($E$2)-1,1)),
MONTH(B229)=MONTH(DATE(YEAR($E$2),MONTH($E$2)-1,1))
),
$E$2,
IF(
$E$3="",
EOMONTH(B229,1),
IF(
AND(
YEAR(B229)=YEAR(DATE(YEAR($E$3),MONTH($E$3)-1,1)),
MONTH(B229)=MONTH(DATE(YEAR($E$3),MONTH($E$3)-1,1))
),
$E$3,
EOMONTH(B229,1)
)))</f>
        <v>44957</v>
      </c>
      <c r="C230" s="468">
        <v>2023</v>
      </c>
      <c r="D230" s="149" t="s">
        <v>96</v>
      </c>
      <c r="E230" s="271">
        <f>'CAP POST'!G229</f>
        <v>0</v>
      </c>
      <c r="F230" s="271">
        <f t="shared" si="84"/>
        <v>0</v>
      </c>
      <c r="G230" s="215">
        <v>0.28839999999999999</v>
      </c>
      <c r="H230" s="288">
        <f t="shared" si="94"/>
        <v>0.43259999999999998</v>
      </c>
      <c r="I230" s="272">
        <f t="shared" si="81"/>
        <v>9.8539196132163553E-4</v>
      </c>
      <c r="J230" s="289">
        <f>IF(OR(A230=SABANA!$C$14, D230="adicional"),0,_xlfn.DAYS(B230,A230)+1)</f>
        <v>31</v>
      </c>
      <c r="K230" s="527">
        <f t="shared" si="85"/>
        <v>0</v>
      </c>
    </row>
    <row r="231" spans="1:11" x14ac:dyDescent="0.35">
      <c r="A231" s="152">
        <f>IF(
    AND(
        YEAR(B230)=YEAR(DATE(YEAR($E$1),MONTH($E$1)-1,1)),
        MONTH(B230)=MONTH(DATE(YEAR($E$1),MONTH($E$1)-1,1))
    ),
    $E$1,
    IF(
        AND(
            YEAR(B230)=YEAR(DATE(YEAR($K$1),MONTH($K$1)-1,1)),
            MONTH(B230)=MONTH(DATE(YEAR($K$1),MONTH($K$1)-1,1))
        ),
        $K$1,
        IF(
            $E$4="",
            DATE(YEAR(B230),MONTH(B230)+1,1),
            IF(
                AND(
                    YEAR(B230)=YEAR(DATE(YEAR($E$4),MONTH($E$4)-1,1)),
                    MONTH(B230)=MONTH(DATE(YEAR($E$4),MONTH($E$4)-1,1))
                ),
                $E$4,
                DATE(YEAR(B230),MONTH(B230)+1,1)
            )
        )
    )
)</f>
        <v>44958</v>
      </c>
      <c r="B231" s="152">
        <f>IF(
AND(
YEAR(B230)=YEAR(DATE(YEAR($E$2),MONTH($E$2)-1,1)),
MONTH(B230)=MONTH(DATE(YEAR($E$2),MONTH($E$2)-1,1))
),
$E$2,
IF(
$E$3="",
EOMONTH(B230,1),
IF(
AND(
YEAR(B230)=YEAR(DATE(YEAR($E$3),MONTH($E$3)-1,1)),
MONTH(B230)=MONTH(DATE(YEAR($E$3),MONTH($E$3)-1,1))
),
$E$3,
EOMONTH(B230,1)
)))</f>
        <v>44985</v>
      </c>
      <c r="C231" s="471"/>
      <c r="D231" s="149" t="s">
        <v>97</v>
      </c>
      <c r="E231" s="271">
        <f>'CAP POST'!G230</f>
        <v>0</v>
      </c>
      <c r="F231" s="271">
        <f t="shared" si="84"/>
        <v>0</v>
      </c>
      <c r="G231" s="215">
        <v>0.30180000000000001</v>
      </c>
      <c r="H231" s="288">
        <f t="shared" si="94"/>
        <v>0.45269999999999999</v>
      </c>
      <c r="I231" s="272">
        <f t="shared" si="81"/>
        <v>1.0236026853662761E-3</v>
      </c>
      <c r="J231" s="289">
        <f>IF(OR(A231=SABANA!$C$14, D231="adicional"),0,_xlfn.DAYS(B231,A231)+1)</f>
        <v>28</v>
      </c>
      <c r="K231" s="527">
        <f t="shared" si="85"/>
        <v>0</v>
      </c>
    </row>
    <row r="232" spans="1:11" x14ac:dyDescent="0.35">
      <c r="A232" s="152">
        <f>IF(
    AND(
        YEAR(B231)=YEAR(DATE(YEAR($E$1),MONTH($E$1)-1,1)),
        MONTH(B231)=MONTH(DATE(YEAR($E$1),MONTH($E$1)-1,1))
    ),
    $E$1,
    IF(
        AND(
            YEAR(B231)=YEAR(DATE(YEAR($K$1),MONTH($K$1)-1,1)),
            MONTH(B231)=MONTH(DATE(YEAR($K$1),MONTH($K$1)-1,1))
        ),
        $K$1,
        IF(
            $E$4="",
            DATE(YEAR(B231),MONTH(B231)+1,1),
            IF(
                AND(
                    YEAR(B231)=YEAR(DATE(YEAR($E$4),MONTH($E$4)-1,1)),
                    MONTH(B231)=MONTH(DATE(YEAR($E$4),MONTH($E$4)-1,1))
                ),
                $E$4,
                DATE(YEAR(B231),MONTH(B231)+1,1)
            )
        )
    )
)</f>
        <v>44986</v>
      </c>
      <c r="B232" s="152">
        <f>IF(
AND(
YEAR(B231)=YEAR(DATE(YEAR($E$2),MONTH($E$2)-1,1)),
MONTH(B231)=MONTH(DATE(YEAR($E$2),MONTH($E$2)-1,1))
),
$E$2,
IF(
$E$3="",
EOMONTH(B231,1),
IF(
AND(
YEAR(B231)=YEAR(DATE(YEAR($E$3),MONTH($E$3)-1,1)),
MONTH(B231)=MONTH(DATE(YEAR($E$3),MONTH($E$3)-1,1))
),
$E$3,
EOMONTH(B231,1)
)))</f>
        <v>45016</v>
      </c>
      <c r="C232" s="471"/>
      <c r="D232" s="149" t="s">
        <v>98</v>
      </c>
      <c r="E232" s="271">
        <f>'CAP POST'!G231</f>
        <v>0</v>
      </c>
      <c r="F232" s="271">
        <f t="shared" si="84"/>
        <v>0</v>
      </c>
      <c r="G232" s="215">
        <v>0.30840000000000001</v>
      </c>
      <c r="H232" s="288">
        <f t="shared" si="94"/>
        <v>0.46260000000000001</v>
      </c>
      <c r="I232" s="272">
        <f t="shared" si="81"/>
        <v>1.0422295217955568E-3</v>
      </c>
      <c r="J232" s="289">
        <f>IF(OR(A232=SABANA!$C$14, D232="adicional"),0,_xlfn.DAYS(B232,A232)+1)</f>
        <v>31</v>
      </c>
      <c r="K232" s="527">
        <f t="shared" si="85"/>
        <v>0</v>
      </c>
    </row>
    <row r="233" spans="1:11" x14ac:dyDescent="0.35">
      <c r="A233" s="152">
        <f>IF(
    AND(
        YEAR(B232)=YEAR(DATE(YEAR($E$1),MONTH($E$1)-1,1)),
        MONTH(B232)=MONTH(DATE(YEAR($E$1),MONTH($E$1)-1,1))
    ),
    $E$1,
    IF(
        AND(
            YEAR(B232)=YEAR(DATE(YEAR($K$1),MONTH($K$1)-1,1)),
            MONTH(B232)=MONTH(DATE(YEAR($K$1),MONTH($K$1)-1,1))
        ),
        $K$1,
        IF(
            $E$4="",
            DATE(YEAR(B232),MONTH(B232)+1,1),
            IF(
                AND(
                    YEAR(B232)=YEAR(DATE(YEAR($E$4),MONTH($E$4)-1,1)),
                    MONTH(B232)=MONTH(DATE(YEAR($E$4),MONTH($E$4)-1,1))
                ),
                $E$4,
                DATE(YEAR(B232),MONTH(B232)+1,1)
            )
        )
    )
)</f>
        <v>45017</v>
      </c>
      <c r="B233" s="152">
        <f>IF(
AND(
YEAR(B232)=YEAR(DATE(YEAR($E$2),MONTH($E$2)-1,1)),
MONTH(B232)=MONTH(DATE(YEAR($E$2),MONTH($E$2)-1,1))
),
$E$2,
IF(
$E$3="",
EOMONTH(B232,1),
IF(
AND(
YEAR(B232)=YEAR(DATE(YEAR($E$3),MONTH($E$3)-1,1)),
MONTH(B232)=MONTH(DATE(YEAR($E$3),MONTH($E$3)-1,1))
),
$E$3,
EOMONTH(B232,1)
)))</f>
        <v>45046</v>
      </c>
      <c r="C233" s="471"/>
      <c r="D233" s="149" t="s">
        <v>99</v>
      </c>
      <c r="E233" s="271">
        <f>'CAP POST'!G232</f>
        <v>0</v>
      </c>
      <c r="F233" s="271">
        <f t="shared" si="84"/>
        <v>0</v>
      </c>
      <c r="G233" s="215">
        <v>0.31390000000000001</v>
      </c>
      <c r="H233" s="288">
        <f t="shared" si="94"/>
        <v>0.47084999999999999</v>
      </c>
      <c r="I233" s="272">
        <f t="shared" si="81"/>
        <v>1.0576560884423269E-3</v>
      </c>
      <c r="J233" s="289">
        <f>IF(OR(A233=SABANA!$C$14, D233="adicional"),0,_xlfn.DAYS(B233,A233)+1)</f>
        <v>30</v>
      </c>
      <c r="K233" s="527">
        <f t="shared" si="85"/>
        <v>0</v>
      </c>
    </row>
    <row r="234" spans="1:11" x14ac:dyDescent="0.35">
      <c r="A234" s="152">
        <f>IF(
    AND(
        YEAR(B233)=YEAR(DATE(YEAR($E$1),MONTH($E$1)-1,1)),
        MONTH(B233)=MONTH(DATE(YEAR($E$1),MONTH($E$1)-1,1))
    ),
    $E$1,
    IF(
        AND(
            YEAR(B233)=YEAR(DATE(YEAR($K$1),MONTH($K$1)-1,1)),
            MONTH(B233)=MONTH(DATE(YEAR($K$1),MONTH($K$1)-1,1))
        ),
        $K$1,
        IF(
            $E$4="",
            DATE(YEAR(B233),MONTH(B233)+1,1),
            IF(
                AND(
                    YEAR(B233)=YEAR(DATE(YEAR($E$4),MONTH($E$4)-1,1)),
                    MONTH(B233)=MONTH(DATE(YEAR($E$4),MONTH($E$4)-1,1))
                ),
                $E$4,
                DATE(YEAR(B233),MONTH(B233)+1,1)
            )
        )
    )
)</f>
        <v>45047</v>
      </c>
      <c r="B234" s="152">
        <f>IF(
AND(
YEAR(B233)=YEAR(DATE(YEAR($E$2),MONTH($E$2)-1,1)),
MONTH(B233)=MONTH(DATE(YEAR($E$2),MONTH($E$2)-1,1))
),
$E$2,
IF(
$E$3="",
EOMONTH(B233,1),
IF(
AND(
YEAR(B233)=YEAR(DATE(YEAR($E$3),MONTH($E$3)-1,1)),
MONTH(B233)=MONTH(DATE(YEAR($E$3),MONTH($E$3)-1,1))
),
$E$3,
EOMONTH(B233,1)
)))</f>
        <v>45077</v>
      </c>
      <c r="C234" s="471"/>
      <c r="D234" s="149" t="s">
        <v>100</v>
      </c>
      <c r="E234" s="271">
        <f>'CAP POST'!G233</f>
        <v>0</v>
      </c>
      <c r="F234" s="271">
        <f t="shared" si="84"/>
        <v>0</v>
      </c>
      <c r="G234" s="215">
        <v>0.30270000000000002</v>
      </c>
      <c r="H234" s="288">
        <f t="shared" si="94"/>
        <v>0.45405000000000006</v>
      </c>
      <c r="I234" s="272">
        <f t="shared" si="81"/>
        <v>1.0261501497454972E-3</v>
      </c>
      <c r="J234" s="289">
        <f>IF(OR(A234=SABANA!$C$14, D234="adicional"),0,_xlfn.DAYS(B234,A234)+1)</f>
        <v>31</v>
      </c>
      <c r="K234" s="527">
        <f t="shared" si="85"/>
        <v>0</v>
      </c>
    </row>
    <row r="235" spans="1:11" x14ac:dyDescent="0.35">
      <c r="A235" s="156">
        <f t="shared" ref="A235" si="101">A236</f>
        <v>45078</v>
      </c>
      <c r="B235" s="156">
        <f t="shared" ref="B235" si="102">B236</f>
        <v>45107</v>
      </c>
      <c r="C235" s="471"/>
      <c r="D235" s="157" t="s">
        <v>101</v>
      </c>
      <c r="E235" s="274">
        <f>'CAP POST'!G234</f>
        <v>0</v>
      </c>
      <c r="F235" s="271">
        <f t="shared" si="84"/>
        <v>0</v>
      </c>
      <c r="G235" s="298"/>
      <c r="H235" s="298"/>
      <c r="I235" s="276">
        <f t="shared" si="81"/>
        <v>0</v>
      </c>
      <c r="J235" s="289">
        <f>IF(OR(A235=SABANA!$C$14, D235="adicional"),0,_xlfn.DAYS(B235,A235)+1)</f>
        <v>0</v>
      </c>
      <c r="K235" s="527">
        <f t="shared" si="85"/>
        <v>0</v>
      </c>
    </row>
    <row r="236" spans="1:11" x14ac:dyDescent="0.35">
      <c r="A236" s="152">
        <f>IF(
    AND(
        YEAR(B234)=YEAR(DATE(YEAR($E$1),MONTH($E$1)-1,1)),
        MONTH(B234)=MONTH(DATE(YEAR($E$1),MONTH($E$1)-1,1))
    ),
    $E$1,
    IF(
        AND(
            YEAR(B234)=YEAR(DATE(YEAR($K$1),MONTH($K$1)-1,1)),
            MONTH(B234)=MONTH(DATE(YEAR($K$1),MONTH($K$1)-1,1))
        ),
        $K$1,
        IF(
            $E$4="",
            DATE(YEAR(B234),MONTH(B234)+1,1),
            IF(
                AND(
                    YEAR(B234)=YEAR(DATE(YEAR($E$4),MONTH($E$4)-1,1)),
                    MONTH(B234)=MONTH(DATE(YEAR($E$4),MONTH($E$4)-1,1))
                ),
                $E$4,
                DATE(YEAR(B234),MONTH(B234)+1,1)
            )
        )
    )
)</f>
        <v>45078</v>
      </c>
      <c r="B236" s="152">
        <f>IF(
AND(
YEAR(B234)=YEAR(DATE(YEAR($E$2),MONTH($E$2)-1,1)),
MONTH(B234)=MONTH(DATE(YEAR($E$2),MONTH($E$2)-1,1))
),
$E$2,
IF(
$E$3="",
EOMONTH(B234,1),
IF(
AND(
YEAR(B234)=YEAR(DATE(YEAR($E$3),MONTH($E$3)-1,1)),
MONTH(B234)=MONTH(DATE(YEAR($E$3),MONTH($E$3)-1,1))
),
$E$3,
EOMONTH(B234,1)
)))</f>
        <v>45107</v>
      </c>
      <c r="C236" s="471"/>
      <c r="D236" s="149" t="s">
        <v>102</v>
      </c>
      <c r="E236" s="271">
        <f>'CAP POST'!G235</f>
        <v>0</v>
      </c>
      <c r="F236" s="271">
        <f t="shared" si="84"/>
        <v>0</v>
      </c>
      <c r="G236" s="215">
        <v>0.29759999999999998</v>
      </c>
      <c r="H236" s="288">
        <f>G236*1.5</f>
        <v>0.44639999999999996</v>
      </c>
      <c r="I236" s="272">
        <f t="shared" si="81"/>
        <v>1.0116832165891765E-3</v>
      </c>
      <c r="J236" s="289">
        <f>IF(OR(A236=SABANA!$C$14, D236="adicional"),0,_xlfn.DAYS(B236,A236)+1)</f>
        <v>30</v>
      </c>
      <c r="K236" s="527">
        <f t="shared" ref="K236" si="103">IF(AND(OR(A236&gt;=$E$4,B236&lt;=$E$3), AND(A235&gt;=$E$1,B235&lt;$E$2)),(F234*I236*H236),0)</f>
        <v>0</v>
      </c>
    </row>
    <row r="237" spans="1:11" x14ac:dyDescent="0.35">
      <c r="A237" s="152">
        <f>IF(
    AND(
        YEAR(B236)=YEAR(DATE(YEAR($E$1),MONTH($E$1)-1,1)),
        MONTH(B236)=MONTH(DATE(YEAR($E$1),MONTH($E$1)-1,1))
    ),
    $E$1,
    IF(
        AND(
            YEAR(B236)=YEAR(DATE(YEAR($K$1),MONTH($K$1)-1,1)),
            MONTH(B236)=MONTH(DATE(YEAR($K$1),MONTH($K$1)-1,1))
        ),
        $K$1,
        IF(
            $E$4="",
            DATE(YEAR(B236),MONTH(B236)+1,1),
            IF(
                AND(
                    YEAR(B236)=YEAR(DATE(YEAR($E$4),MONTH($E$4)-1,1)),
                    MONTH(B236)=MONTH(DATE(YEAR($E$4),MONTH($E$4)-1,1))
                ),
                $E$4,
                DATE(YEAR(B236),MONTH(B236)+1,1)
            )
        )
    )
)</f>
        <v>45108</v>
      </c>
      <c r="B237" s="152">
        <f>IF(
AND(
YEAR(B236)=YEAR(DATE(YEAR($E$2),MONTH($E$2)-1,1)),
MONTH(B236)=MONTH(DATE(YEAR($E$2),MONTH($E$2)-1,1))
),
$E$2,
IF(
$E$3="",
EOMONTH(B236,1),
IF(
AND(
YEAR(B236)=YEAR(DATE(YEAR($E$3),MONTH($E$3)-1,1)),
MONTH(B236)=MONTH(DATE(YEAR($E$3),MONTH($E$3)-1,1))
),
$E$3,
EOMONTH(B236,1)
)))</f>
        <v>45138</v>
      </c>
      <c r="C237" s="471"/>
      <c r="D237" s="149" t="s">
        <v>103</v>
      </c>
      <c r="E237" s="271">
        <f>'CAP POST'!G236</f>
        <v>0</v>
      </c>
      <c r="F237" s="271">
        <f t="shared" si="84"/>
        <v>0</v>
      </c>
      <c r="G237" s="215">
        <v>0.29360000000000003</v>
      </c>
      <c r="H237" s="288">
        <f t="shared" si="94"/>
        <v>0.44040000000000001</v>
      </c>
      <c r="I237" s="272">
        <f t="shared" si="81"/>
        <v>1.0002831081175056E-3</v>
      </c>
      <c r="J237" s="289">
        <f>IF(OR(A237=SABANA!$C$14, D237="adicional"),0,_xlfn.DAYS(B237,A237)+1)</f>
        <v>31</v>
      </c>
      <c r="K237" s="527">
        <f t="shared" si="85"/>
        <v>0</v>
      </c>
    </row>
    <row r="238" spans="1:11" x14ac:dyDescent="0.35">
      <c r="A238" s="152">
        <f>IF(
    AND(
        YEAR(B237)=YEAR(DATE(YEAR($E$1),MONTH($E$1)-1,1)),
        MONTH(B237)=MONTH(DATE(YEAR($E$1),MONTH($E$1)-1,1))
    ),
    $E$1,
    IF(
        AND(
            YEAR(B237)=YEAR(DATE(YEAR($K$1),MONTH($K$1)-1,1)),
            MONTH(B237)=MONTH(DATE(YEAR($K$1),MONTH($K$1)-1,1))
        ),
        $K$1,
        IF(
            $E$4="",
            DATE(YEAR(B237),MONTH(B237)+1,1),
            IF(
                AND(
                    YEAR(B237)=YEAR(DATE(YEAR($E$4),MONTH($E$4)-1,1)),
                    MONTH(B237)=MONTH(DATE(YEAR($E$4),MONTH($E$4)-1,1))
                ),
                $E$4,
                DATE(YEAR(B237),MONTH(B237)+1,1)
            )
        )
    )
)</f>
        <v>45139</v>
      </c>
      <c r="B238" s="152">
        <f>IF(
AND(
YEAR(B237)=YEAR(DATE(YEAR($E$2),MONTH($E$2)-1,1)),
MONTH(B237)=MONTH(DATE(YEAR($E$2),MONTH($E$2)-1,1))
),
$E$2,
IF(
$E$3="",
EOMONTH(B237,1),
IF(
AND(
YEAR(B237)=YEAR(DATE(YEAR($E$3),MONTH($E$3)-1,1)),
MONTH(B237)=MONTH(DATE(YEAR($E$3),MONTH($E$3)-1,1))
),
$E$3,
EOMONTH(B237,1)
)))</f>
        <v>45169</v>
      </c>
      <c r="C238" s="471"/>
      <c r="D238" s="149" t="s">
        <v>104</v>
      </c>
      <c r="E238" s="271">
        <f>'CAP POST'!G237</f>
        <v>0</v>
      </c>
      <c r="F238" s="271">
        <f t="shared" si="84"/>
        <v>0</v>
      </c>
      <c r="G238" s="215">
        <v>0.28749999999999998</v>
      </c>
      <c r="H238" s="288">
        <f t="shared" si="94"/>
        <v>0.43124999999999997</v>
      </c>
      <c r="I238" s="272">
        <f t="shared" si="81"/>
        <v>9.8280644166792719E-4</v>
      </c>
      <c r="J238" s="289">
        <f>IF(OR(A238=SABANA!$C$14, D238="adicional"),0,_xlfn.DAYS(B238,A238)+1)</f>
        <v>31</v>
      </c>
      <c r="K238" s="527">
        <f t="shared" si="85"/>
        <v>0</v>
      </c>
    </row>
    <row r="239" spans="1:11" x14ac:dyDescent="0.35">
      <c r="A239" s="152">
        <f>IF(
    AND(
        YEAR(B238)=YEAR(DATE(YEAR($E$1),MONTH($E$1)-1,1)),
        MONTH(B238)=MONTH(DATE(YEAR($E$1),MONTH($E$1)-1,1))
    ),
    $E$1,
    IF(
        AND(
            YEAR(B238)=YEAR(DATE(YEAR($K$1),MONTH($K$1)-1,1)),
            MONTH(B238)=MONTH(DATE(YEAR($K$1),MONTH($K$1)-1,1))
        ),
        $K$1,
        IF(
            $E$4="",
            DATE(YEAR(B238),MONTH(B238)+1,1),
            IF(
                AND(
                    YEAR(B238)=YEAR(DATE(YEAR($E$4),MONTH($E$4)-1,1)),
                    MONTH(B238)=MONTH(DATE(YEAR($E$4),MONTH($E$4)-1,1))
                ),
                $E$4,
                DATE(YEAR(B238),MONTH(B238)+1,1)
            )
        )
    )
)</f>
        <v>45170</v>
      </c>
      <c r="B239" s="152">
        <f>IF(
AND(
YEAR(B238)=YEAR(DATE(YEAR($E$2),MONTH($E$2)-1,1)),
MONTH(B238)=MONTH(DATE(YEAR($E$2),MONTH($E$2)-1,1))
),
$E$2,
IF(
$E$3="",
EOMONTH(B238,1),
IF(
AND(
YEAR(B238)=YEAR(DATE(YEAR($E$3),MONTH($E$3)-1,1)),
MONTH(B238)=MONTH(DATE(YEAR($E$3),MONTH($E$3)-1,1))
),
$E$3,
EOMONTH(B238,1)
)))</f>
        <v>45199</v>
      </c>
      <c r="C239" s="471"/>
      <c r="D239" s="149" t="s">
        <v>105</v>
      </c>
      <c r="E239" s="271">
        <f>'CAP POST'!G238</f>
        <v>0</v>
      </c>
      <c r="F239" s="271">
        <f t="shared" si="84"/>
        <v>0</v>
      </c>
      <c r="G239" s="215">
        <v>0.28029999999999999</v>
      </c>
      <c r="H239" s="288">
        <f t="shared" si="94"/>
        <v>0.42044999999999999</v>
      </c>
      <c r="I239" s="272">
        <f t="shared" si="81"/>
        <v>9.6203430176178273E-4</v>
      </c>
      <c r="J239" s="289">
        <f>IF(OR(A239=SABANA!$C$14, D239="adicional"),0,_xlfn.DAYS(B239,A239)+1)</f>
        <v>30</v>
      </c>
      <c r="K239" s="527">
        <f t="shared" si="85"/>
        <v>0</v>
      </c>
    </row>
    <row r="240" spans="1:11" x14ac:dyDescent="0.35">
      <c r="A240" s="152">
        <f>IF(
    AND(
        YEAR(B239)=YEAR(DATE(YEAR($E$1),MONTH($E$1)-1,1)),
        MONTH(B239)=MONTH(DATE(YEAR($E$1),MONTH($E$1)-1,1))
    ),
    $E$1,
    IF(
        AND(
            YEAR(B239)=YEAR(DATE(YEAR($K$1),MONTH($K$1)-1,1)),
            MONTH(B239)=MONTH(DATE(YEAR($K$1),MONTH($K$1)-1,1))
        ),
        $K$1,
        IF(
            $E$4="",
            DATE(YEAR(B239),MONTH(B239)+1,1),
            IF(
                AND(
                    YEAR(B239)=YEAR(DATE(YEAR($E$4),MONTH($E$4)-1,1)),
                    MONTH(B239)=MONTH(DATE(YEAR($E$4),MONTH($E$4)-1,1))
                ),
                $E$4,
                DATE(YEAR(B239),MONTH(B239)+1,1)
            )
        )
    )
)</f>
        <v>45200</v>
      </c>
      <c r="B240" s="152">
        <f>IF(
AND(
YEAR(B239)=YEAR(DATE(YEAR($E$2),MONTH($E$2)-1,1)),
MONTH(B239)=MONTH(DATE(YEAR($E$2),MONTH($E$2)-1,1))
),
$E$2,
IF(
$E$3="",
EOMONTH(B239,1),
IF(
AND(
YEAR(B239)=YEAR(DATE(YEAR($E$3),MONTH($E$3)-1,1)),
MONTH(B239)=MONTH(DATE(YEAR($E$3),MONTH($E$3)-1,1))
),
$E$3,
EOMONTH(B239,1)
)))</f>
        <v>45230</v>
      </c>
      <c r="C240" s="471"/>
      <c r="D240" s="149" t="s">
        <v>106</v>
      </c>
      <c r="E240" s="271">
        <f>'CAP POST'!G239</f>
        <v>0</v>
      </c>
      <c r="F240" s="271">
        <f t="shared" si="84"/>
        <v>0</v>
      </c>
      <c r="G240" s="215">
        <v>0.26529999999999998</v>
      </c>
      <c r="H240" s="288">
        <f t="shared" si="94"/>
        <v>0.39794999999999997</v>
      </c>
      <c r="I240" s="272">
        <f t="shared" si="81"/>
        <v>9.1824839459819785E-4</v>
      </c>
      <c r="J240" s="289">
        <f>IF(OR(A240=SABANA!$C$14, D240="adicional"),0,_xlfn.DAYS(B240,A240)+1)</f>
        <v>31</v>
      </c>
      <c r="K240" s="527">
        <f t="shared" si="85"/>
        <v>0</v>
      </c>
    </row>
    <row r="241" spans="1:11" x14ac:dyDescent="0.35">
      <c r="A241" s="152">
        <f>IF(
    AND(
        YEAR(B240)=YEAR(DATE(YEAR($E$1),MONTH($E$1)-1,1)),
        MONTH(B240)=MONTH(DATE(YEAR($E$1),MONTH($E$1)-1,1))
    ),
    $E$1,
    IF(
        AND(
            YEAR(B240)=YEAR(DATE(YEAR($K$1),MONTH($K$1)-1,1)),
            MONTH(B240)=MONTH(DATE(YEAR($K$1),MONTH($K$1)-1,1))
        ),
        $K$1,
        IF(
            $E$4="",
            DATE(YEAR(B240),MONTH(B240)+1,1),
            IF(
                AND(
                    YEAR(B240)=YEAR(DATE(YEAR($E$4),MONTH($E$4)-1,1)),
                    MONTH(B240)=MONTH(DATE(YEAR($E$4),MONTH($E$4)-1,1))
                ),
                $E$4,
                DATE(YEAR(B240),MONTH(B240)+1,1)
            )
        )
    )
)</f>
        <v>45231</v>
      </c>
      <c r="B241" s="152">
        <f>IF(
AND(
YEAR(B240)=YEAR(DATE(YEAR($E$2),MONTH($E$2)-1,1)),
MONTH(B240)=MONTH(DATE(YEAR($E$2),MONTH($E$2)-1,1))
),
$E$2,
IF(
$E$3="",
EOMONTH(B240,1),
IF(
AND(
YEAR(B240)=YEAR(DATE(YEAR($E$3),MONTH($E$3)-1,1)),
MONTH(B240)=MONTH(DATE(YEAR($E$3),MONTH($E$3)-1,1))
),
$E$3,
EOMONTH(B240,1)
)))</f>
        <v>45260</v>
      </c>
      <c r="C241" s="471"/>
      <c r="D241" s="149" t="s">
        <v>107</v>
      </c>
      <c r="E241" s="271">
        <f>'CAP POST'!G240</f>
        <v>0</v>
      </c>
      <c r="F241" s="271">
        <f t="shared" si="84"/>
        <v>0</v>
      </c>
      <c r="G241" s="215">
        <v>0.25519999999999998</v>
      </c>
      <c r="H241" s="288">
        <f t="shared" si="94"/>
        <v>0.38279999999999997</v>
      </c>
      <c r="I241" s="272">
        <f t="shared" si="81"/>
        <v>8.8836814369663841E-4</v>
      </c>
      <c r="J241" s="289">
        <f>IF(OR(A241=SABANA!$C$14, D241="adicional"),0,_xlfn.DAYS(B241,A241)+1)</f>
        <v>30</v>
      </c>
      <c r="K241" s="527">
        <f t="shared" si="85"/>
        <v>0</v>
      </c>
    </row>
    <row r="242" spans="1:11" x14ac:dyDescent="0.35">
      <c r="A242" s="156">
        <f t="shared" ref="A242" si="104">A241</f>
        <v>45231</v>
      </c>
      <c r="B242" s="156">
        <f t="shared" ref="B242" si="105">B241</f>
        <v>45260</v>
      </c>
      <c r="C242" s="471"/>
      <c r="D242" s="157" t="s">
        <v>101</v>
      </c>
      <c r="E242" s="274">
        <f>'CAP POST'!G241</f>
        <v>0</v>
      </c>
      <c r="F242" s="271">
        <f t="shared" si="84"/>
        <v>0</v>
      </c>
      <c r="G242" s="275"/>
      <c r="H242" s="292"/>
      <c r="I242" s="276">
        <f t="shared" si="81"/>
        <v>0</v>
      </c>
      <c r="J242" s="289">
        <f>IF(OR(A242=SABANA!$C$14, D242="adicional"),0,_xlfn.DAYS(B242,A242)+1)</f>
        <v>0</v>
      </c>
      <c r="K242" s="527">
        <f t="shared" si="85"/>
        <v>0</v>
      </c>
    </row>
    <row r="243" spans="1:11" x14ac:dyDescent="0.35">
      <c r="A243" s="152">
        <f>IF(
    AND(
        YEAR(B241)=YEAR(DATE(YEAR($E$1),MONTH($E$1)-1,1)),
        MONTH(B241)=MONTH(DATE(YEAR($E$1),MONTH($E$1)-1,1))
    ),
    $E$1,
    IF(
        AND(
            YEAR(B241)=YEAR(DATE(YEAR($K$1),MONTH($K$1)-1,1)),
            MONTH(B241)=MONTH(DATE(YEAR($K$1),MONTH($K$1)-1,1))
        ),
        $K$1,
        IF(
            $E$4="",
            DATE(YEAR(B241),MONTH(B241)+1,1),
            IF(
                AND(
                    YEAR(B241)=YEAR(DATE(YEAR($E$4),MONTH($E$4)-1,1)),
                    MONTH(B241)=MONTH(DATE(YEAR($E$4),MONTH($E$4)-1,1))
                ),
                $E$4,
                DATE(YEAR(B241),MONTH(B241)+1,1)
            )
        )
    )
)</f>
        <v>45261</v>
      </c>
      <c r="B243" s="152">
        <f>IF(
AND(
YEAR(B241)=YEAR(DATE(YEAR($E$2),MONTH($E$2)-1,1)),
MONTH(B241)=MONTH(DATE(YEAR($E$2),MONTH($E$2)-1,1))
),
$E$2,
IF(
$E$3="",
EOMONTH(B241,1),
IF(
AND(
YEAR(B241)=YEAR(DATE(YEAR($E$3),MONTH($E$3)-1,1)),
MONTH(B241)=MONTH(DATE(YEAR($E$3),MONTH($E$3)-1,1))
),
$E$3,
EOMONTH(B241,1)
)))</f>
        <v>45291</v>
      </c>
      <c r="C243" s="472"/>
      <c r="D243" s="149" t="s">
        <v>108</v>
      </c>
      <c r="E243" s="271">
        <f>'CAP POST'!G242</f>
        <v>0</v>
      </c>
      <c r="F243" s="271">
        <f t="shared" si="84"/>
        <v>0</v>
      </c>
      <c r="G243" s="215">
        <v>0.25040000000000001</v>
      </c>
      <c r="H243" s="288">
        <f t="shared" si="94"/>
        <v>0.37560000000000004</v>
      </c>
      <c r="I243" s="272">
        <f t="shared" si="81"/>
        <v>8.7405299359555322E-4</v>
      </c>
      <c r="J243" s="289">
        <f>IF(OR(A243=SABANA!$C$14, D243="adicional"),0,_xlfn.DAYS(B243,A243)+1)</f>
        <v>31</v>
      </c>
      <c r="K243" s="527">
        <f t="shared" ref="K243" si="106">IF(AND(OR(A243&gt;=$E$4,B243&lt;=$E$3), AND(A242&gt;=$E$1,B242&lt;$E$2)),(F241*I243*H243),0)</f>
        <v>0</v>
      </c>
    </row>
    <row r="244" spans="1:11" x14ac:dyDescent="0.35">
      <c r="A244" s="152">
        <f>IF(
    AND(
        YEAR(B243)=YEAR(DATE(YEAR($E$1),MONTH($E$1)-1,1)),
        MONTH(B243)=MONTH(DATE(YEAR($E$1),MONTH($E$1)-1,1))
    ),
    $E$1,
    IF(
        AND(
            YEAR(B243)=YEAR(DATE(YEAR($K$1),MONTH($K$1)-1,1)),
            MONTH(B243)=MONTH(DATE(YEAR($K$1),MONTH($K$1)-1,1))
        ),
        $K$1,
        IF(
            $E$4="",
            DATE(YEAR(B243),MONTH(B243)+1,1),
            IF(
                AND(
                    YEAR(B243)=YEAR(DATE(YEAR($E$4),MONTH($E$4)-1,1)),
                    MONTH(B243)=MONTH(DATE(YEAR($E$4),MONTH($E$4)-1,1))
                ),
                $E$4,
                DATE(YEAR(B243),MONTH(B243)+1,1)
            )
        )
    )
)</f>
        <v>45292</v>
      </c>
      <c r="B244" s="152">
        <f>IF(
AND(
YEAR(B243)=YEAR(DATE(YEAR($E$2),MONTH($E$2)-1,1)),
MONTH(B243)=MONTH(DATE(YEAR($E$2),MONTH($E$2)-1,1))
),
$E$2,
IF(
$E$3="",
EOMONTH(B243,1),
IF(
AND(
YEAR(B243)=YEAR(DATE(YEAR($E$3),MONTH($E$3)-1,1)),
MONTH(B243)=MONTH(DATE(YEAR($E$3),MONTH($E$3)-1,1))
),
$E$3,
EOMONTH(B243,1)
)))</f>
        <v>45322</v>
      </c>
      <c r="C244" s="468">
        <v>2024</v>
      </c>
      <c r="D244" s="149" t="s">
        <v>96</v>
      </c>
      <c r="E244" s="271">
        <f>'CAP POST'!G243</f>
        <v>0</v>
      </c>
      <c r="F244" s="271">
        <f t="shared" si="84"/>
        <v>0</v>
      </c>
      <c r="G244" s="215">
        <v>0.23319999999999999</v>
      </c>
      <c r="H244" s="288">
        <f t="shared" si="94"/>
        <v>0.3498</v>
      </c>
      <c r="I244" s="272">
        <f t="shared" si="81"/>
        <v>8.2213621633542289E-4</v>
      </c>
      <c r="J244" s="289">
        <f>IF(OR(A244=SABANA!$C$14, D244="adicional"),0,_xlfn.DAYS(B244,A244)+1)</f>
        <v>31</v>
      </c>
      <c r="K244" s="527">
        <f t="shared" si="85"/>
        <v>0</v>
      </c>
    </row>
    <row r="245" spans="1:11" x14ac:dyDescent="0.35">
      <c r="A245" s="152">
        <f>IF(
    AND(
        YEAR(B244)=YEAR(DATE(YEAR($E$1),MONTH($E$1)-1,1)),
        MONTH(B244)=MONTH(DATE(YEAR($E$1),MONTH($E$1)-1,1))
    ),
    $E$1,
    IF(
        AND(
            YEAR(B244)=YEAR(DATE(YEAR($K$1),MONTH($K$1)-1,1)),
            MONTH(B244)=MONTH(DATE(YEAR($K$1),MONTH($K$1)-1,1))
        ),
        $K$1,
        IF(
            $E$4="",
            DATE(YEAR(B244),MONTH(B244)+1,1),
            IF(
                AND(
                    YEAR(B244)=YEAR(DATE(YEAR($E$4),MONTH($E$4)-1,1)),
                    MONTH(B244)=MONTH(DATE(YEAR($E$4),MONTH($E$4)-1,1))
                ),
                $E$4,
                DATE(YEAR(B244),MONTH(B244)+1,1)
            )
        )
    )
)</f>
        <v>45323</v>
      </c>
      <c r="B245" s="152">
        <f>IF(
AND(
YEAR(B244)=YEAR(DATE(YEAR($E$2),MONTH($E$2)-1,1)),
MONTH(B244)=MONTH(DATE(YEAR($E$2),MONTH($E$2)-1,1))
),
$E$2,
IF(
$E$3="",
EOMONTH(B244,1),
IF(
AND(
YEAR(B244)=YEAR(DATE(YEAR($E$3),MONTH($E$3)-1,1)),
MONTH(B244)=MONTH(DATE(YEAR($E$3),MONTH($E$3)-1,1))
),
$E$3,
EOMONTH(B244,1)
)))</f>
        <v>45351</v>
      </c>
      <c r="C245" s="471"/>
      <c r="D245" s="149" t="s">
        <v>97</v>
      </c>
      <c r="E245" s="271">
        <f>'CAP POST'!G244</f>
        <v>0</v>
      </c>
      <c r="F245" s="271">
        <f t="shared" si="84"/>
        <v>0</v>
      </c>
      <c r="G245" s="215">
        <v>0.2331</v>
      </c>
      <c r="H245" s="288">
        <f t="shared" si="94"/>
        <v>0.34965000000000002</v>
      </c>
      <c r="I245" s="272">
        <f t="shared" si="81"/>
        <v>8.2183149003478562E-4</v>
      </c>
      <c r="J245" s="289">
        <f>IF(OR(A245=SABANA!$C$14, D245="adicional"),0,_xlfn.DAYS(B245,A245)+1)</f>
        <v>29</v>
      </c>
      <c r="K245" s="527">
        <f t="shared" si="85"/>
        <v>0</v>
      </c>
    </row>
    <row r="246" spans="1:11" x14ac:dyDescent="0.35">
      <c r="A246" s="152">
        <f>IF(
    AND(
        YEAR(B245)=YEAR(DATE(YEAR($E$1),MONTH($E$1)-1,1)),
        MONTH(B245)=MONTH(DATE(YEAR($E$1),MONTH($E$1)-1,1))
    ),
    $E$1,
    IF(
        AND(
            YEAR(B245)=YEAR(DATE(YEAR($K$1),MONTH($K$1)-1,1)),
            MONTH(B245)=MONTH(DATE(YEAR($K$1),MONTH($K$1)-1,1))
        ),
        $K$1,
        IF(
            $E$4="",
            DATE(YEAR(B245),MONTH(B245)+1,1),
            IF(
                AND(
                    YEAR(B245)=YEAR(DATE(YEAR($E$4),MONTH($E$4)-1,1)),
                    MONTH(B245)=MONTH(DATE(YEAR($E$4),MONTH($E$4)-1,1))
                ),
                $E$4,
                DATE(YEAR(B245),MONTH(B245)+1,1)
            )
        )
    )
)</f>
        <v>45352</v>
      </c>
      <c r="B246" s="152">
        <f>IF(
AND(
YEAR(B245)=YEAR(DATE(YEAR($E$2),MONTH($E$2)-1,1)),
MONTH(B245)=MONTH(DATE(YEAR($E$2),MONTH($E$2)-1,1))
),
$E$2,
IF(
$E$3="",
EOMONTH(B245,1),
IF(
AND(
YEAR(B245)=YEAR(DATE(YEAR($E$3),MONTH($E$3)-1,1)),
MONTH(B245)=MONTH(DATE(YEAR($E$3),MONTH($E$3)-1,1))
),
$E$3,
EOMONTH(B245,1)
)))</f>
        <v>45382</v>
      </c>
      <c r="C246" s="471"/>
      <c r="D246" s="149" t="s">
        <v>98</v>
      </c>
      <c r="E246" s="271">
        <f>'CAP POST'!G245</f>
        <v>0</v>
      </c>
      <c r="F246" s="271">
        <f t="shared" si="84"/>
        <v>0</v>
      </c>
      <c r="G246" s="215">
        <v>0.222</v>
      </c>
      <c r="H246" s="288">
        <f t="shared" si="94"/>
        <v>0.33300000000000002</v>
      </c>
      <c r="I246" s="272">
        <f t="shared" si="81"/>
        <v>7.8779519212868188E-4</v>
      </c>
      <c r="J246" s="289">
        <f>IF(OR(A246=SABANA!$C$14, D246="adicional"),0,_xlfn.DAYS(B246,A246)+1)</f>
        <v>31</v>
      </c>
      <c r="K246" s="527">
        <f t="shared" si="85"/>
        <v>0</v>
      </c>
    </row>
    <row r="247" spans="1:11" x14ac:dyDescent="0.35">
      <c r="A247" s="152">
        <f>IF(
    AND(
        YEAR(B246)=YEAR(DATE(YEAR($E$1),MONTH($E$1)-1,1)),
        MONTH(B246)=MONTH(DATE(YEAR($E$1),MONTH($E$1)-1,1))
    ),
    $E$1,
    IF(
        AND(
            YEAR(B246)=YEAR(DATE(YEAR($K$1),MONTH($K$1)-1,1)),
            MONTH(B246)=MONTH(DATE(YEAR($K$1),MONTH($K$1)-1,1))
        ),
        $K$1,
        IF(
            $E$4="",
            DATE(YEAR(B246),MONTH(B246)+1,1),
            IF(
                AND(
                    YEAR(B246)=YEAR(DATE(YEAR($E$4),MONTH($E$4)-1,1)),
                    MONTH(B246)=MONTH(DATE(YEAR($E$4),MONTH($E$4)-1,1))
                ),
                $E$4,
                DATE(YEAR(B246),MONTH(B246)+1,1)
            )
        )
    )
)</f>
        <v>45383</v>
      </c>
      <c r="B247" s="152">
        <f>IF(
AND(
YEAR(B246)=YEAR(DATE(YEAR($E$2),MONTH($E$2)-1,1)),
MONTH(B246)=MONTH(DATE(YEAR($E$2),MONTH($E$2)-1,1))
),
$E$2,
IF(
$E$3="",
EOMONTH(B246,1),
IF(
AND(
YEAR(B246)=YEAR(DATE(YEAR($E$3),MONTH($E$3)-1,1)),
MONTH(B246)=MONTH(DATE(YEAR($E$3),MONTH($E$3)-1,1))
),
$E$3,
EOMONTH(B246,1)
)))</f>
        <v>45412</v>
      </c>
      <c r="C247" s="471"/>
      <c r="D247" s="149" t="s">
        <v>99</v>
      </c>
      <c r="E247" s="271">
        <f>'CAP POST'!G246</f>
        <v>0</v>
      </c>
      <c r="F247" s="271">
        <f t="shared" si="84"/>
        <v>0</v>
      </c>
      <c r="G247" s="215">
        <v>0.22059999999999999</v>
      </c>
      <c r="H247" s="288">
        <f t="shared" si="94"/>
        <v>0.33089999999999997</v>
      </c>
      <c r="I247" s="272">
        <f t="shared" si="81"/>
        <v>7.8347224762276291E-4</v>
      </c>
      <c r="J247" s="289">
        <f>IF(OR(A247=SABANA!$C$14, D247="adicional"),0,_xlfn.DAYS(B247,A247)+1)</f>
        <v>30</v>
      </c>
      <c r="K247" s="527">
        <f t="shared" si="85"/>
        <v>0</v>
      </c>
    </row>
    <row r="248" spans="1:11" x14ac:dyDescent="0.35">
      <c r="A248" s="152">
        <f>IF(
    AND(
        YEAR(B247)=YEAR(DATE(YEAR($E$1),MONTH($E$1)-1,1)),
        MONTH(B247)=MONTH(DATE(YEAR($E$1),MONTH($E$1)-1,1))
    ),
    $E$1,
    IF(
        AND(
            YEAR(B247)=YEAR(DATE(YEAR($K$1),MONTH($K$1)-1,1)),
            MONTH(B247)=MONTH(DATE(YEAR($K$1),MONTH($K$1)-1,1))
        ),
        $K$1,
        IF(
            $E$4="",
            DATE(YEAR(B247),MONTH(B247)+1,1),
            IF(
                AND(
                    YEAR(B247)=YEAR(DATE(YEAR($E$4),MONTH($E$4)-1,1)),
                    MONTH(B247)=MONTH(DATE(YEAR($E$4),MONTH($E$4)-1,1))
                ),
                $E$4,
                DATE(YEAR(B247),MONTH(B247)+1,1)
            )
        )
    )
)</f>
        <v>45413</v>
      </c>
      <c r="B248" s="152">
        <f>IF(
AND(
YEAR(B247)=YEAR(DATE(YEAR($E$2),MONTH($E$2)-1,1)),
MONTH(B247)=MONTH(DATE(YEAR($E$2),MONTH($E$2)-1,1))
),
$E$2,
IF(
$E$3="",
EOMONTH(B247,1),
IF(
AND(
YEAR(B247)=YEAR(DATE(YEAR($E$3),MONTH($E$3)-1,1)),
MONTH(B247)=MONTH(DATE(YEAR($E$3),MONTH($E$3)-1,1))
),
$E$3,
EOMONTH(B247,1)
)))</f>
        <v>45443</v>
      </c>
      <c r="C248" s="471"/>
      <c r="D248" s="149" t="s">
        <v>100</v>
      </c>
      <c r="E248" s="271">
        <f>'CAP POST'!G247</f>
        <v>0</v>
      </c>
      <c r="F248" s="271">
        <f t="shared" si="84"/>
        <v>0</v>
      </c>
      <c r="G248" s="215">
        <v>0.2102</v>
      </c>
      <c r="H248" s="288">
        <f t="shared" si="94"/>
        <v>0.31530000000000002</v>
      </c>
      <c r="I248" s="272">
        <f t="shared" si="81"/>
        <v>7.5114436909107241E-4</v>
      </c>
      <c r="J248" s="289">
        <f>IF(OR(A248=SABANA!$C$14, D248="adicional"),0,_xlfn.DAYS(B248,A248)+1)</f>
        <v>31</v>
      </c>
      <c r="K248" s="527">
        <f t="shared" si="85"/>
        <v>0</v>
      </c>
    </row>
    <row r="249" spans="1:11" x14ac:dyDescent="0.35">
      <c r="A249" s="156">
        <f t="shared" ref="A249" si="107">A250</f>
        <v>45444</v>
      </c>
      <c r="B249" s="156">
        <f t="shared" ref="B249" si="108">B250</f>
        <v>45473</v>
      </c>
      <c r="C249" s="471"/>
      <c r="D249" s="157" t="s">
        <v>101</v>
      </c>
      <c r="E249" s="274">
        <f>'CAP POST'!G248</f>
        <v>0</v>
      </c>
      <c r="F249" s="271">
        <f t="shared" si="84"/>
        <v>0</v>
      </c>
      <c r="G249" s="298"/>
      <c r="H249" s="298"/>
      <c r="I249" s="276">
        <f t="shared" si="81"/>
        <v>0</v>
      </c>
      <c r="J249" s="289">
        <f>IF(OR(A249=SABANA!$C$14, D249="adicional"),0,_xlfn.DAYS(B249,A249)+1)</f>
        <v>0</v>
      </c>
      <c r="K249" s="527">
        <f t="shared" si="85"/>
        <v>0</v>
      </c>
    </row>
    <row r="250" spans="1:11" x14ac:dyDescent="0.35">
      <c r="A250" s="152">
        <f>IF(
    AND(
        YEAR(B248)=YEAR(DATE(YEAR($E$1),MONTH($E$1)-1,1)),
        MONTH(B248)=MONTH(DATE(YEAR($E$1),MONTH($E$1)-1,1))
    ),
    $E$1,
    IF(
        AND(
            YEAR(B248)=YEAR(DATE(YEAR($K$1),MONTH($K$1)-1,1)),
            MONTH(B248)=MONTH(DATE(YEAR($K$1),MONTH($K$1)-1,1))
        ),
        $K$1,
        IF(
            $E$4="",
            DATE(YEAR(B248),MONTH(B248)+1,1),
            IF(
                AND(
                    YEAR(B248)=YEAR(DATE(YEAR($E$4),MONTH($E$4)-1,1)),
                    MONTH(B248)=MONTH(DATE(YEAR($E$4),MONTH($E$4)-1,1))
                ),
                $E$4,
                DATE(YEAR(B248),MONTH(B248)+1,1)
            )
        )
    )
)</f>
        <v>45444</v>
      </c>
      <c r="B250" s="152">
        <f>IF(
AND(
YEAR(B248)=YEAR(DATE(YEAR($E$2),MONTH($E$2)-1,1)),
MONTH(B248)=MONTH(DATE(YEAR($E$2),MONTH($E$2)-1,1))
),
$E$2,
IF(
$E$3="",
EOMONTH(B248,1),
IF(
AND(
YEAR(B248)=YEAR(DATE(YEAR($E$3),MONTH($E$3)-1,1)),
MONTH(B248)=MONTH(DATE(YEAR($E$3),MONTH($E$3)-1,1))
),
$E$3,
EOMONTH(B248,1)
)))</f>
        <v>45473</v>
      </c>
      <c r="C250" s="471"/>
      <c r="D250" s="149" t="s">
        <v>102</v>
      </c>
      <c r="E250" s="300">
        <f>'CAP POST'!G249</f>
        <v>0</v>
      </c>
      <c r="F250" s="271">
        <f t="shared" si="84"/>
        <v>0</v>
      </c>
      <c r="G250" s="215">
        <v>0.2056</v>
      </c>
      <c r="H250" s="288">
        <f>G250*1.5</f>
        <v>0.30840000000000001</v>
      </c>
      <c r="I250" s="272">
        <f t="shared" si="81"/>
        <v>7.3672334792984628E-4</v>
      </c>
      <c r="J250" s="289">
        <f>IF(OR(A250=SABANA!$C$14, D250="adicional"),0,_xlfn.DAYS(B250,A250)+1)</f>
        <v>30</v>
      </c>
      <c r="K250" s="527">
        <f t="shared" ref="K250" si="109">IF(AND(OR(A250&gt;=$E$4,B250&lt;=$E$3), AND(A249&gt;=$E$1,B249&lt;$E$2)),(F248*I250*H250),0)</f>
        <v>0</v>
      </c>
    </row>
    <row r="251" spans="1:11" x14ac:dyDescent="0.35">
      <c r="A251" s="152">
        <f>IF(
    AND(
        YEAR(B250)=YEAR(DATE(YEAR($E$1),MONTH($E$1)-1,1)),
        MONTH(B250)=MONTH(DATE(YEAR($E$1),MONTH($E$1)-1,1))
    ),
    $E$1,
    IF(
        AND(
            YEAR(B250)=YEAR(DATE(YEAR($K$1),MONTH($K$1)-1,1)),
            MONTH(B250)=MONTH(DATE(YEAR($K$1),MONTH($K$1)-1,1))
        ),
        $K$1,
        IF(
            $E$4="",
            DATE(YEAR(B250),MONTH(B250)+1,1),
            IF(
                AND(
                    YEAR(B250)=YEAR(DATE(YEAR($E$4),MONTH($E$4)-1,1)),
                    MONTH(B250)=MONTH(DATE(YEAR($E$4),MONTH($E$4)-1,1))
                ),
                $E$4,
                DATE(YEAR(B250),MONTH(B250)+1,1)
            )
        )
    )
)</f>
        <v>45474</v>
      </c>
      <c r="B251" s="152">
        <f>IF(
AND(
YEAR(B250)=YEAR(DATE(YEAR($E$2),MONTH($E$2)-1,1)),
MONTH(B250)=MONTH(DATE(YEAR($E$2),MONTH($E$2)-1,1))
),
$E$2,
IF(
$E$3="",
EOMONTH(B250,1),
IF(
AND(
YEAR(B250)=YEAR(DATE(YEAR($E$3),MONTH($E$3)-1,1)),
MONTH(B250)=MONTH(DATE(YEAR($E$3),MONTH($E$3)-1,1))
),
$E$3,
EOMONTH(B250,1)
)))</f>
        <v>45504</v>
      </c>
      <c r="C251" s="471"/>
      <c r="D251" s="149" t="s">
        <v>103</v>
      </c>
      <c r="E251" s="271">
        <f>'CAP POST'!G250</f>
        <v>0</v>
      </c>
      <c r="F251" s="271">
        <f t="shared" si="84"/>
        <v>0</v>
      </c>
      <c r="G251" s="215">
        <v>0.1966</v>
      </c>
      <c r="H251" s="288">
        <f t="shared" si="94"/>
        <v>0.2949</v>
      </c>
      <c r="I251" s="272">
        <f t="shared" si="81"/>
        <v>7.0828762714469917E-4</v>
      </c>
      <c r="J251" s="289">
        <f>IF(OR(A251=SABANA!$C$14, D251="adicional"),0,_xlfn.DAYS(B251,A251)+1)</f>
        <v>31</v>
      </c>
      <c r="K251" s="527">
        <f t="shared" si="85"/>
        <v>0</v>
      </c>
    </row>
    <row r="252" spans="1:11" x14ac:dyDescent="0.35">
      <c r="A252" s="152">
        <f>IF(
    AND(
        YEAR(B251)=YEAR(DATE(YEAR($E$1),MONTH($E$1)-1,1)),
        MONTH(B251)=MONTH(DATE(YEAR($E$1),MONTH($E$1)-1,1))
    ),
    $E$1,
    IF(
        AND(
            YEAR(B251)=YEAR(DATE(YEAR($K$1),MONTH($K$1)-1,1)),
            MONTH(B251)=MONTH(DATE(YEAR($K$1),MONTH($K$1)-1,1))
        ),
        $K$1,
        IF(
            $E$4="",
            DATE(YEAR(B251),MONTH(B251)+1,1),
            IF(
                AND(
                    YEAR(B251)=YEAR(DATE(YEAR($E$4),MONTH($E$4)-1,1)),
                    MONTH(B251)=MONTH(DATE(YEAR($E$4),MONTH($E$4)-1,1))
                ),
                $E$4,
                DATE(YEAR(B251),MONTH(B251)+1,1)
            )
        )
    )
)</f>
        <v>45505</v>
      </c>
      <c r="B252" s="152">
        <f>IF(
AND(
YEAR(B251)=YEAR(DATE(YEAR($E$2),MONTH($E$2)-1,1)),
MONTH(B251)=MONTH(DATE(YEAR($E$2),MONTH($E$2)-1,1))
),
$E$2,
IF(
$E$3="",
EOMONTH(B251,1),
IF(
AND(
YEAR(B251)=YEAR(DATE(YEAR($E$3),MONTH($E$3)-1,1)),
MONTH(B251)=MONTH(DATE(YEAR($E$3),MONTH($E$3)-1,1))
),
$E$3,
EOMONTH(B251,1)
)))</f>
        <v>45535</v>
      </c>
      <c r="C252" s="471"/>
      <c r="D252" s="149" t="s">
        <v>104</v>
      </c>
      <c r="E252" s="271">
        <f>'CAP POST'!G251</f>
        <v>0</v>
      </c>
      <c r="F252" s="271">
        <f t="shared" si="84"/>
        <v>0</v>
      </c>
      <c r="G252" s="215">
        <v>0.19470000000000001</v>
      </c>
      <c r="H252" s="288">
        <f t="shared" si="94"/>
        <v>0.29205000000000003</v>
      </c>
      <c r="I252" s="272">
        <f t="shared" si="81"/>
        <v>7.0224674562768818E-4</v>
      </c>
      <c r="J252" s="289">
        <f>IF(OR(A252=SABANA!$C$14, D252="adicional"),0,_xlfn.DAYS(B252,A252)+1)</f>
        <v>31</v>
      </c>
      <c r="K252" s="527">
        <f t="shared" si="85"/>
        <v>0</v>
      </c>
    </row>
    <row r="253" spans="1:11" x14ac:dyDescent="0.35">
      <c r="A253" s="152">
        <f>IF(
    AND(
        YEAR(B252)=YEAR(DATE(YEAR($E$1),MONTH($E$1)-1,1)),
        MONTH(B252)=MONTH(DATE(YEAR($E$1),MONTH($E$1)-1,1))
    ),
    $E$1,
    IF(
        AND(
            YEAR(B252)=YEAR(DATE(YEAR($K$1),MONTH($K$1)-1,1)),
            MONTH(B252)=MONTH(DATE(YEAR($K$1),MONTH($K$1)-1,1))
        ),
        $K$1,
        IF(
            $E$4="",
            DATE(YEAR(B252),MONTH(B252)+1,1),
            IF(
                AND(
                    YEAR(B252)=YEAR(DATE(YEAR($E$4),MONTH($E$4)-1,1)),
                    MONTH(B252)=MONTH(DATE(YEAR($E$4),MONTH($E$4)-1,1))
                ),
                $E$4,
                DATE(YEAR(B252),MONTH(B252)+1,1)
            )
        )
    )
)</f>
        <v>45536</v>
      </c>
      <c r="B253" s="152">
        <f>IF(
AND(
YEAR(B252)=YEAR(DATE(YEAR($E$2),MONTH($E$2)-1,1)),
MONTH(B252)=MONTH(DATE(YEAR($E$2),MONTH($E$2)-1,1))
),
$E$2,
IF(
$E$3="",
EOMONTH(B252,1),
IF(
AND(
YEAR(B252)=YEAR(DATE(YEAR($E$3),MONTH($E$3)-1,1)),
MONTH(B252)=MONTH(DATE(YEAR($E$3),MONTH($E$3)-1,1))
),
$E$3,
EOMONTH(B252,1)
)))</f>
        <v>45565</v>
      </c>
      <c r="C253" s="471"/>
      <c r="D253" s="149" t="s">
        <v>105</v>
      </c>
      <c r="E253" s="271">
        <f>'CAP POST'!G252</f>
        <v>0</v>
      </c>
      <c r="F253" s="271">
        <f t="shared" si="84"/>
        <v>0</v>
      </c>
      <c r="G253" s="215">
        <v>0.1923</v>
      </c>
      <c r="H253" s="288">
        <f t="shared" si="94"/>
        <v>0.28844999999999998</v>
      </c>
      <c r="I253" s="272">
        <f t="shared" si="81"/>
        <v>6.9459713613584384E-4</v>
      </c>
      <c r="J253" s="289">
        <f>IF(OR(A253=SABANA!$C$14, D253="adicional"),0,_xlfn.DAYS(B253,A253)+1)</f>
        <v>30</v>
      </c>
      <c r="K253" s="527">
        <f t="shared" si="85"/>
        <v>0</v>
      </c>
    </row>
    <row r="254" spans="1:11" x14ac:dyDescent="0.35">
      <c r="A254" s="152">
        <f>IF(
    AND(
        YEAR(B253)=YEAR(DATE(YEAR($E$1),MONTH($E$1)-1,1)),
        MONTH(B253)=MONTH(DATE(YEAR($E$1),MONTH($E$1)-1,1))
    ),
    $E$1,
    IF(
        AND(
            YEAR(B253)=YEAR(DATE(YEAR($K$1),MONTH($K$1)-1,1)),
            MONTH(B253)=MONTH(DATE(YEAR($K$1),MONTH($K$1)-1,1))
        ),
        $K$1,
        IF(
            $E$4="",
            DATE(YEAR(B253),MONTH(B253)+1,1),
            IF(
                AND(
                    YEAR(B253)=YEAR(DATE(YEAR($E$4),MONTH($E$4)-1,1)),
                    MONTH(B253)=MONTH(DATE(YEAR($E$4),MONTH($E$4)-1,1))
                ),
                $E$4,
                DATE(YEAR(B253),MONTH(B253)+1,1)
            )
        )
    )
)</f>
        <v>45566</v>
      </c>
      <c r="B254" s="152">
        <f>IF(
AND(
YEAR(B253)=YEAR(DATE(YEAR($E$2),MONTH($E$2)-1,1)),
MONTH(B253)=MONTH(DATE(YEAR($E$2),MONTH($E$2)-1,1))
),
$E$2,
IF(
$E$3="",
EOMONTH(B253,1),
IF(
AND(
YEAR(B253)=YEAR(DATE(YEAR($E$3),MONTH($E$3)-1,1)),
MONTH(B253)=MONTH(DATE(YEAR($E$3),MONTH($E$3)-1,1))
),
$E$3,
EOMONTH(B253,1)
)))</f>
        <v>45596</v>
      </c>
      <c r="C254" s="471"/>
      <c r="D254" s="149" t="s">
        <v>106</v>
      </c>
      <c r="E254" s="271">
        <f>'CAP POST'!G253</f>
        <v>0</v>
      </c>
      <c r="F254" s="271">
        <f t="shared" si="84"/>
        <v>0</v>
      </c>
      <c r="G254" s="215">
        <v>0.18779999999999999</v>
      </c>
      <c r="H254" s="288">
        <f t="shared" si="94"/>
        <v>0.28170000000000001</v>
      </c>
      <c r="I254" s="272">
        <f t="shared" si="81"/>
        <v>6.8019649386563685E-4</v>
      </c>
      <c r="J254" s="289">
        <f>IF(OR(A254=SABANA!$C$14, D254="adicional"),0,_xlfn.DAYS(B254,A254)+1)</f>
        <v>31</v>
      </c>
      <c r="K254" s="527">
        <f t="shared" si="85"/>
        <v>0</v>
      </c>
    </row>
    <row r="255" spans="1:11" x14ac:dyDescent="0.35">
      <c r="A255" s="152">
        <f>IF(
    AND(
        YEAR(B254)=YEAR(DATE(YEAR($E$1),MONTH($E$1)-1,1)),
        MONTH(B254)=MONTH(DATE(YEAR($E$1),MONTH($E$1)-1,1))
    ),
    $E$1,
    IF(
        AND(
            YEAR(B254)=YEAR(DATE(YEAR($K$1),MONTH($K$1)-1,1)),
            MONTH(B254)=MONTH(DATE(YEAR($K$1),MONTH($K$1)-1,1))
        ),
        $K$1,
        IF(
            $E$4="",
            DATE(YEAR(B254),MONTH(B254)+1,1),
            IF(
                AND(
                    YEAR(B254)=YEAR(DATE(YEAR($E$4),MONTH($E$4)-1,1)),
                    MONTH(B254)=MONTH(DATE(YEAR($E$4),MONTH($E$4)-1,1))
                ),
                $E$4,
                DATE(YEAR(B254),MONTH(B254)+1,1)
            )
        )
    )
)</f>
        <v>45597</v>
      </c>
      <c r="B255" s="152">
        <f>IF(
AND(
YEAR(B254)=YEAR(DATE(YEAR($E$2),MONTH($E$2)-1,1)),
MONTH(B254)=MONTH(DATE(YEAR($E$2),MONTH($E$2)-1,1))
),
$E$2,
IF(
$E$3="",
EOMONTH(B254,1),
IF(
AND(
YEAR(B254)=YEAR(DATE(YEAR($E$3),MONTH($E$3)-1,1)),
MONTH(B254)=MONTH(DATE(YEAR($E$3),MONTH($E$3)-1,1))
),
$E$3,
EOMONTH(B254,1)
)))</f>
        <v>45626</v>
      </c>
      <c r="C255" s="471"/>
      <c r="D255" s="149" t="s">
        <v>107</v>
      </c>
      <c r="E255" s="271">
        <f>'CAP POST'!G254</f>
        <v>0</v>
      </c>
      <c r="F255" s="271">
        <f t="shared" si="84"/>
        <v>0</v>
      </c>
      <c r="G255" s="215">
        <v>0.186</v>
      </c>
      <c r="H255" s="288">
        <f t="shared" si="94"/>
        <v>0.27900000000000003</v>
      </c>
      <c r="I255" s="272">
        <f t="shared" si="81"/>
        <v>6.7441504877296943E-4</v>
      </c>
      <c r="J255" s="289">
        <f>IF(OR(A255=SABANA!$C$14, D255="adicional"),0,_xlfn.DAYS(B255,A255)+1)</f>
        <v>30</v>
      </c>
      <c r="K255" s="527">
        <f t="shared" si="85"/>
        <v>0</v>
      </c>
    </row>
    <row r="256" spans="1:11" x14ac:dyDescent="0.35">
      <c r="A256" s="156">
        <f t="shared" ref="A256" si="110">A255</f>
        <v>45597</v>
      </c>
      <c r="B256" s="156">
        <f t="shared" ref="B256" si="111">B255</f>
        <v>45626</v>
      </c>
      <c r="C256" s="471"/>
      <c r="D256" s="157" t="s">
        <v>101</v>
      </c>
      <c r="E256" s="274">
        <f>'CAP POST'!G255</f>
        <v>0</v>
      </c>
      <c r="F256" s="271">
        <f t="shared" si="84"/>
        <v>0</v>
      </c>
      <c r="G256" s="275"/>
      <c r="H256" s="292"/>
      <c r="I256" s="276">
        <f t="shared" si="81"/>
        <v>0</v>
      </c>
      <c r="J256" s="289">
        <f>IF(OR(A256=SABANA!$C$14, D256="adicional"),0,_xlfn.DAYS(B256,A256)+1)</f>
        <v>0</v>
      </c>
      <c r="K256" s="527">
        <f t="shared" si="85"/>
        <v>0</v>
      </c>
    </row>
    <row r="257" spans="1:11" x14ac:dyDescent="0.35">
      <c r="A257" s="152">
        <f>IF(
    AND(
        YEAR(B255)=YEAR(DATE(YEAR($E$1),MONTH($E$1)-1,1)),
        MONTH(B255)=MONTH(DATE(YEAR($E$1),MONTH($E$1)-1,1))
    ),
    $E$1,
    IF(
        AND(
            YEAR(B255)=YEAR(DATE(YEAR($K$1),MONTH($K$1)-1,1)),
            MONTH(B255)=MONTH(DATE(YEAR($K$1),MONTH($K$1)-1,1))
        ),
        $K$1,
        IF(
            $E$4="",
            DATE(YEAR(B255),MONTH(B255)+1,1),
            IF(
                AND(
                    YEAR(B255)=YEAR(DATE(YEAR($E$4),MONTH($E$4)-1,1)),
                    MONTH(B255)=MONTH(DATE(YEAR($E$4),MONTH($E$4)-1,1))
                ),
                $E$4,
                DATE(YEAR(B255),MONTH(B255)+1,1)
            )
        )
    )
)</f>
        <v>45627</v>
      </c>
      <c r="B257" s="152">
        <f>IF(
AND(
YEAR(B255)=YEAR(DATE(YEAR($E$2),MONTH($E$2)-1,1)),
MONTH(B255)=MONTH(DATE(YEAR($E$2),MONTH($E$2)-1,1))
),
$E$2,
IF(
$E$3="",
EOMONTH(B255,1),
IF(
AND(
YEAR(B255)=YEAR(DATE(YEAR($E$3),MONTH($E$3)-1,1)),
MONTH(B255)=MONTH(DATE(YEAR($E$3),MONTH($E$3)-1,1))
),
$E$3,
EOMONTH(B255,1)
)))</f>
        <v>45657</v>
      </c>
      <c r="C257" s="472"/>
      <c r="D257" s="149" t="s">
        <v>108</v>
      </c>
      <c r="E257" s="271">
        <f>'CAP POST'!G256</f>
        <v>0</v>
      </c>
      <c r="F257" s="271">
        <f t="shared" si="84"/>
        <v>0</v>
      </c>
      <c r="G257" s="215">
        <v>0.1759</v>
      </c>
      <c r="H257" s="288">
        <f t="shared" si="94"/>
        <v>0.26385000000000003</v>
      </c>
      <c r="I257" s="272">
        <f t="shared" si="81"/>
        <v>6.417472503310595E-4</v>
      </c>
      <c r="J257" s="289">
        <f>IF(OR(A257=SABANA!$C$14, D257="adicional"),0,_xlfn.DAYS(B257,A257)+1)</f>
        <v>31</v>
      </c>
      <c r="K257" s="527">
        <f t="shared" ref="K257" si="112">IF(AND(OR(A257&gt;=$E$4,B257&lt;=$E$3), AND(A256&gt;=$E$1,B256&lt;$E$2)),(F255*I257*H257),0)</f>
        <v>0</v>
      </c>
    </row>
    <row r="258" spans="1:11" x14ac:dyDescent="0.35">
      <c r="A258" s="152">
        <f>IF(
    AND(
        YEAR(B257)=YEAR(DATE(YEAR($E$1),MONTH($E$1)-1,1)),
        MONTH(B257)=MONTH(DATE(YEAR($E$1),MONTH($E$1)-1,1))
    ),
    $E$1,
    IF(
        AND(
            YEAR(B257)=YEAR(DATE(YEAR($K$1),MONTH($K$1)-1,1)),
            MONTH(B257)=MONTH(DATE(YEAR($K$1),MONTH($K$1)-1,1))
        ),
        $K$1,
        IF(
            $E$4="",
            DATE(YEAR(B257),MONTH(B257)+1,1),
            IF(
                AND(
                    YEAR(B257)=YEAR(DATE(YEAR($E$4),MONTH($E$4)-1,1)),
                    MONTH(B257)=MONTH(DATE(YEAR($E$4),MONTH($E$4)-1,1))
                ),
                $E$4,
                DATE(YEAR(B257),MONTH(B257)+1,1)
            )
        )
    )
)</f>
        <v>45658</v>
      </c>
      <c r="B258" s="152">
        <f>IF(
AND(
YEAR(B257)=YEAR(DATE(YEAR($E$2),MONTH($E$2)-1,1)),
MONTH(B257)=MONTH(DATE(YEAR($E$2),MONTH($E$2)-1,1))
),
$E$2,
IF(
$E$3="",
EOMONTH(B257,1),
IF(
AND(
YEAR(B257)=YEAR(DATE(YEAR($E$3),MONTH($E$3)-1,1)),
MONTH(B257)=MONTH(DATE(YEAR($E$3),MONTH($E$3)-1,1))
),
$E$3,
EOMONTH(B257,1)
)))</f>
        <v>45688</v>
      </c>
      <c r="C258" s="473">
        <v>2025</v>
      </c>
      <c r="D258" s="149" t="s">
        <v>96</v>
      </c>
      <c r="E258" s="271">
        <f>'CAP POST'!G257</f>
        <v>0</v>
      </c>
      <c r="F258" s="271">
        <f t="shared" si="84"/>
        <v>0</v>
      </c>
      <c r="G258" s="215">
        <v>0.16589999999999999</v>
      </c>
      <c r="H258" s="288">
        <f t="shared" si="94"/>
        <v>0.24884999999999999</v>
      </c>
      <c r="I258" s="272">
        <f t="shared" si="81"/>
        <v>6.0901586217232406E-4</v>
      </c>
      <c r="J258" s="289">
        <f>IF(OR(A258=SABANA!$C$14, D258="adicional"),0,_xlfn.DAYS(B258,A258)+1)</f>
        <v>31</v>
      </c>
      <c r="K258" s="527">
        <f t="shared" si="85"/>
        <v>0</v>
      </c>
    </row>
    <row r="259" spans="1:11" x14ac:dyDescent="0.35">
      <c r="A259" s="152">
        <f>IF(
    AND(
        YEAR(B258)=YEAR(DATE(YEAR($E$1),MONTH($E$1)-1,1)),
        MONTH(B258)=MONTH(DATE(YEAR($E$1),MONTH($E$1)-1,1))
    ),
    $E$1,
    IF(
        AND(
            YEAR(B258)=YEAR(DATE(YEAR($K$1),MONTH($K$1)-1,1)),
            MONTH(B258)=MONTH(DATE(YEAR($K$1),MONTH($K$1)-1,1))
        ),
        $K$1,
        IF(
            $E$4="",
            DATE(YEAR(B258),MONTH(B258)+1,1),
            IF(
                AND(
                    YEAR(B258)=YEAR(DATE(YEAR($E$4),MONTH($E$4)-1,1)),
                    MONTH(B258)=MONTH(DATE(YEAR($E$4),MONTH($E$4)-1,1))
                ),
                $E$4,
                DATE(YEAR(B258),MONTH(B258)+1,1)
            )
        )
    )
)</f>
        <v>45689</v>
      </c>
      <c r="B259" s="152">
        <f>IF(
AND(
YEAR(B258)=YEAR(DATE(YEAR($E$2),MONTH($E$2)-1,1)),
MONTH(B258)=MONTH(DATE(YEAR($E$2),MONTH($E$2)-1,1))
),
$E$2,
IF(
$E$3="",
EOMONTH(B258,1),
IF(
AND(
YEAR(B258)=YEAR(DATE(YEAR($E$3),MONTH($E$3)-1,1)),
MONTH(B258)=MONTH(DATE(YEAR($E$3),MONTH($E$3)-1,1))
),
$E$3,
EOMONTH(B258,1)
)))</f>
        <v>45716</v>
      </c>
      <c r="C259" s="473"/>
      <c r="D259" s="149" t="s">
        <v>97</v>
      </c>
      <c r="E259" s="271">
        <f>'CAP POST'!G258</f>
        <v>0</v>
      </c>
      <c r="F259" s="271">
        <f t="shared" si="84"/>
        <v>0</v>
      </c>
      <c r="G259" s="215">
        <v>0.17530000000000001</v>
      </c>
      <c r="H259" s="288">
        <f t="shared" si="94"/>
        <v>0.26295000000000002</v>
      </c>
      <c r="I259" s="272">
        <f t="shared" si="81"/>
        <v>6.3979431894600758E-4</v>
      </c>
      <c r="J259" s="289">
        <f>IF(OR(A259=SABANA!$C$14, D259="adicional"),0,_xlfn.DAYS(B259,A259)+1)</f>
        <v>28</v>
      </c>
      <c r="K259" s="527">
        <f t="shared" si="85"/>
        <v>0</v>
      </c>
    </row>
    <row r="260" spans="1:11" x14ac:dyDescent="0.35">
      <c r="A260" s="152">
        <f>IF(
    AND(
        YEAR(B259)=YEAR(DATE(YEAR($E$1),MONTH($E$1)-1,1)),
        MONTH(B259)=MONTH(DATE(YEAR($E$1),MONTH($E$1)-1,1))
    ),
    $E$1,
    IF(
        AND(
            YEAR(B259)=YEAR(DATE(YEAR($K$1),MONTH($K$1)-1,1)),
            MONTH(B259)=MONTH(DATE(YEAR($K$1),MONTH($K$1)-1,1))
        ),
        $K$1,
        IF(
            $E$4="",
            DATE(YEAR(B259),MONTH(B259)+1,1),
            IF(
                AND(
                    YEAR(B259)=YEAR(DATE(YEAR($E$4),MONTH($E$4)-1,1)),
                    MONTH(B259)=MONTH(DATE(YEAR($E$4),MONTH($E$4)-1,1))
                ),
                $E$4,
                DATE(YEAR(B259),MONTH(B259)+1,1)
            )
        )
    )
)</f>
        <v>45717</v>
      </c>
      <c r="B260" s="152">
        <f>IF(
AND(
YEAR(B259)=YEAR(DATE(YEAR($E$2),MONTH($E$2)-1,1)),
MONTH(B259)=MONTH(DATE(YEAR($E$2),MONTH($E$2)-1,1))
),
$E$2,
IF(
$E$3="",
EOMONTH(B259,1),
IF(
AND(
YEAR(B259)=YEAR(DATE(YEAR($E$3),MONTH($E$3)-1,1)),
MONTH(B259)=MONTH(DATE(YEAR($E$3),MONTH($E$3)-1,1))
),
$E$3,
EOMONTH(B259,1)
)))</f>
        <v>45747</v>
      </c>
      <c r="C260" s="473"/>
      <c r="D260" s="149" t="s">
        <v>98</v>
      </c>
      <c r="E260" s="271">
        <f>'CAP POST'!G259</f>
        <v>0</v>
      </c>
      <c r="F260" s="271">
        <f t="shared" si="84"/>
        <v>0</v>
      </c>
      <c r="G260" s="215">
        <v>0.1661</v>
      </c>
      <c r="H260" s="288">
        <f>G260*1.5</f>
        <v>0.24914999999999998</v>
      </c>
      <c r="I260" s="272">
        <f t="shared" si="81"/>
        <v>6.0967432385661269E-4</v>
      </c>
      <c r="J260" s="289">
        <f>IF(OR(A260=SABANA!$C$14, D260="adicional"),0,_xlfn.DAYS(B260,A260)+1)</f>
        <v>31</v>
      </c>
      <c r="K260" s="527">
        <f t="shared" si="85"/>
        <v>0</v>
      </c>
    </row>
    <row r="261" spans="1:11" x14ac:dyDescent="0.35">
      <c r="A261" s="278"/>
      <c r="B261" s="278"/>
      <c r="C261" s="233"/>
      <c r="D261" s="142"/>
      <c r="E261" s="279"/>
      <c r="F261" s="279"/>
      <c r="G261" s="229"/>
      <c r="H261" s="301"/>
      <c r="I261" s="302"/>
      <c r="J261" s="303"/>
      <c r="K261" s="279"/>
    </row>
    <row r="262" spans="1:11" x14ac:dyDescent="0.35">
      <c r="A262" s="278"/>
      <c r="B262" s="278"/>
      <c r="C262" s="233"/>
      <c r="D262" s="142"/>
      <c r="E262" s="279"/>
      <c r="F262" s="279"/>
      <c r="G262" s="229"/>
      <c r="H262" s="301"/>
      <c r="I262" s="280"/>
      <c r="J262" s="303"/>
      <c r="K262" s="279"/>
    </row>
    <row r="263" spans="1:11" x14ac:dyDescent="0.35">
      <c r="A263" s="278"/>
      <c r="B263" s="278"/>
      <c r="C263" s="233"/>
      <c r="D263" s="142"/>
      <c r="E263" s="279"/>
      <c r="F263" s="279"/>
      <c r="G263" s="229"/>
      <c r="H263" s="301"/>
      <c r="I263" s="280"/>
      <c r="J263" s="303"/>
      <c r="K263" s="279"/>
    </row>
    <row r="264" spans="1:11" x14ac:dyDescent="0.35">
      <c r="A264" s="278"/>
      <c r="B264" s="278"/>
      <c r="C264" s="233"/>
      <c r="D264" s="142"/>
      <c r="E264" s="279"/>
      <c r="F264" s="279"/>
      <c r="G264" s="229"/>
      <c r="H264" s="301"/>
      <c r="I264" s="280"/>
      <c r="J264" s="303"/>
      <c r="K264" s="279"/>
    </row>
    <row r="265" spans="1:11" x14ac:dyDescent="0.35">
      <c r="A265" s="278"/>
      <c r="B265" s="278"/>
      <c r="C265" s="233"/>
      <c r="D265" s="142"/>
      <c r="E265" s="279"/>
      <c r="F265" s="279"/>
      <c r="G265" s="229"/>
      <c r="H265" s="301"/>
      <c r="I265" s="280"/>
      <c r="J265" s="303"/>
      <c r="K265" s="279"/>
    </row>
    <row r="266" spans="1:11" x14ac:dyDescent="0.35">
      <c r="A266" s="278"/>
      <c r="B266" s="278"/>
      <c r="C266" s="233"/>
      <c r="D266" s="142"/>
      <c r="E266" s="279"/>
      <c r="F266" s="279"/>
      <c r="G266" s="229"/>
      <c r="H266" s="301"/>
      <c r="I266" s="280"/>
      <c r="J266" s="303"/>
      <c r="K266" s="279"/>
    </row>
    <row r="267" spans="1:11" x14ac:dyDescent="0.35">
      <c r="A267" s="278"/>
      <c r="B267" s="278"/>
      <c r="C267" s="233"/>
      <c r="D267" s="142"/>
      <c r="E267" s="279"/>
      <c r="F267" s="279"/>
      <c r="G267" s="229"/>
      <c r="H267" s="301"/>
      <c r="I267" s="280"/>
      <c r="J267" s="303"/>
      <c r="K267" s="279"/>
    </row>
    <row r="268" spans="1:11" x14ac:dyDescent="0.35">
      <c r="A268" s="278"/>
      <c r="B268" s="278"/>
      <c r="C268" s="233"/>
      <c r="D268" s="142"/>
      <c r="E268" s="279"/>
      <c r="F268" s="279"/>
      <c r="G268" s="229"/>
      <c r="H268" s="301"/>
      <c r="I268" s="280"/>
      <c r="J268" s="303"/>
      <c r="K268" s="279"/>
    </row>
    <row r="269" spans="1:11" x14ac:dyDescent="0.35">
      <c r="A269" s="278"/>
      <c r="B269" s="278"/>
      <c r="C269" s="233"/>
      <c r="D269" s="142"/>
      <c r="E269" s="279"/>
      <c r="F269" s="279"/>
      <c r="G269" s="229"/>
      <c r="H269" s="301"/>
      <c r="I269" s="280"/>
      <c r="J269" s="303"/>
      <c r="K269" s="279"/>
    </row>
    <row r="270" spans="1:11" x14ac:dyDescent="0.35">
      <c r="A270" s="278"/>
      <c r="B270" s="278"/>
      <c r="C270" s="233"/>
      <c r="D270" s="142"/>
      <c r="E270" s="279"/>
      <c r="F270" s="279"/>
      <c r="G270" s="229"/>
      <c r="H270" s="301"/>
      <c r="I270" s="280"/>
      <c r="J270" s="303"/>
      <c r="K270" s="279"/>
    </row>
    <row r="271" spans="1:11" x14ac:dyDescent="0.35">
      <c r="A271" s="278"/>
      <c r="B271" s="278"/>
      <c r="C271" s="233"/>
      <c r="D271" s="142"/>
      <c r="E271" s="279"/>
      <c r="F271" s="279"/>
      <c r="G271" s="229"/>
      <c r="H271" s="301"/>
      <c r="I271" s="280"/>
      <c r="J271" s="303"/>
      <c r="K271" s="279"/>
    </row>
    <row r="272" spans="1:11" x14ac:dyDescent="0.35">
      <c r="A272" s="278"/>
      <c r="B272" s="278"/>
      <c r="C272" s="233"/>
      <c r="D272" s="142"/>
      <c r="E272" s="279"/>
      <c r="F272" s="279"/>
      <c r="G272" s="229"/>
      <c r="H272" s="301"/>
      <c r="I272" s="280"/>
      <c r="J272" s="303"/>
      <c r="K272" s="279"/>
    </row>
    <row r="273" spans="1:11" x14ac:dyDescent="0.35">
      <c r="A273" s="278"/>
      <c r="B273" s="278"/>
      <c r="C273" s="233"/>
      <c r="D273" s="142"/>
      <c r="E273" s="279"/>
      <c r="F273" s="279"/>
      <c r="G273" s="229"/>
      <c r="H273" s="301"/>
      <c r="I273" s="280"/>
      <c r="J273" s="303"/>
      <c r="K273" s="279"/>
    </row>
    <row r="274" spans="1:11" x14ac:dyDescent="0.35">
      <c r="A274" s="278"/>
      <c r="B274" s="278"/>
      <c r="C274" s="233"/>
      <c r="D274" s="142"/>
      <c r="E274" s="279"/>
      <c r="F274" s="279"/>
      <c r="G274" s="229"/>
      <c r="H274" s="301"/>
      <c r="I274" s="280"/>
      <c r="J274" s="303"/>
      <c r="K274" s="279"/>
    </row>
    <row r="275" spans="1:11" x14ac:dyDescent="0.35">
      <c r="A275" s="278"/>
      <c r="B275" s="278"/>
      <c r="C275" s="233"/>
      <c r="D275" s="142"/>
      <c r="E275" s="279"/>
      <c r="F275" s="279"/>
      <c r="G275" s="229"/>
      <c r="H275" s="301"/>
      <c r="I275" s="280"/>
      <c r="J275" s="303"/>
      <c r="K275" s="279"/>
    </row>
    <row r="276" spans="1:11" x14ac:dyDescent="0.35">
      <c r="A276" s="278"/>
      <c r="B276" s="278"/>
      <c r="C276" s="233"/>
      <c r="D276" s="142"/>
      <c r="E276" s="279"/>
      <c r="F276" s="279"/>
      <c r="G276" s="229"/>
      <c r="H276" s="301"/>
      <c r="I276" s="280"/>
      <c r="J276" s="303"/>
      <c r="K276" s="279"/>
    </row>
    <row r="277" spans="1:11" x14ac:dyDescent="0.35">
      <c r="A277" s="278"/>
      <c r="B277" s="278"/>
      <c r="C277" s="233"/>
      <c r="D277" s="142"/>
      <c r="E277" s="279"/>
      <c r="F277" s="279"/>
      <c r="G277" s="229"/>
      <c r="H277" s="301"/>
      <c r="I277" s="280"/>
      <c r="J277" s="303"/>
      <c r="K277" s="279"/>
    </row>
    <row r="278" spans="1:11" x14ac:dyDescent="0.35">
      <c r="A278" s="278"/>
      <c r="B278" s="278"/>
      <c r="C278" s="233"/>
      <c r="D278" s="142"/>
      <c r="E278" s="279"/>
      <c r="F278" s="279"/>
      <c r="G278" s="229"/>
      <c r="H278" s="301"/>
      <c r="I278" s="280"/>
      <c r="J278" s="303"/>
      <c r="K278" s="279"/>
    </row>
    <row r="279" spans="1:11" x14ac:dyDescent="0.35">
      <c r="A279" s="278"/>
      <c r="B279" s="278"/>
      <c r="C279" s="233"/>
      <c r="D279" s="142"/>
      <c r="E279" s="279"/>
      <c r="F279" s="279"/>
      <c r="G279" s="229"/>
      <c r="H279" s="301"/>
      <c r="I279" s="280"/>
      <c r="J279" s="303"/>
      <c r="K279" s="279"/>
    </row>
    <row r="280" spans="1:11" x14ac:dyDescent="0.35">
      <c r="A280" s="278"/>
      <c r="B280" s="278"/>
      <c r="C280" s="233"/>
      <c r="D280" s="142"/>
      <c r="E280" s="279"/>
      <c r="F280" s="279"/>
      <c r="G280" s="229"/>
      <c r="H280" s="301"/>
      <c r="I280" s="280"/>
      <c r="J280" s="303"/>
      <c r="K280" s="279"/>
    </row>
    <row r="281" spans="1:11" x14ac:dyDescent="0.35">
      <c r="A281" s="278"/>
      <c r="B281" s="278"/>
      <c r="C281" s="233"/>
      <c r="D281" s="142"/>
      <c r="E281" s="279"/>
      <c r="F281" s="279"/>
      <c r="G281" s="229"/>
      <c r="H281" s="301"/>
      <c r="I281" s="280"/>
      <c r="J281" s="303"/>
      <c r="K281" s="279"/>
    </row>
    <row r="282" spans="1:11" x14ac:dyDescent="0.35">
      <c r="A282" s="278"/>
      <c r="B282" s="278"/>
      <c r="C282" s="233"/>
      <c r="D282" s="142"/>
      <c r="E282" s="279"/>
      <c r="F282" s="279"/>
      <c r="G282" s="229"/>
      <c r="H282" s="301"/>
      <c r="I282" s="280"/>
      <c r="J282" s="303"/>
      <c r="K282" s="279"/>
    </row>
    <row r="283" spans="1:11" x14ac:dyDescent="0.35">
      <c r="A283" s="278"/>
      <c r="B283" s="278"/>
      <c r="C283" s="233"/>
      <c r="D283" s="142"/>
      <c r="E283" s="279"/>
      <c r="F283" s="279"/>
      <c r="G283" s="229"/>
      <c r="H283" s="301"/>
      <c r="I283" s="280"/>
      <c r="J283" s="303"/>
      <c r="K283" s="279"/>
    </row>
    <row r="284" spans="1:11" x14ac:dyDescent="0.35">
      <c r="A284" s="278"/>
      <c r="B284" s="278"/>
      <c r="C284" s="233"/>
      <c r="D284" s="142"/>
      <c r="E284" s="279"/>
      <c r="F284" s="279"/>
      <c r="G284" s="229"/>
      <c r="H284" s="301"/>
      <c r="I284" s="280"/>
      <c r="J284" s="303"/>
      <c r="K284" s="279"/>
    </row>
    <row r="285" spans="1:11" x14ac:dyDescent="0.35">
      <c r="A285" s="278"/>
      <c r="B285" s="278"/>
      <c r="C285" s="233"/>
      <c r="D285" s="142"/>
      <c r="E285" s="279"/>
      <c r="F285" s="279"/>
      <c r="G285" s="229"/>
      <c r="H285" s="301"/>
      <c r="I285" s="280"/>
      <c r="J285" s="303"/>
      <c r="K285" s="279"/>
    </row>
    <row r="286" spans="1:11" x14ac:dyDescent="0.35">
      <c r="A286" s="278"/>
      <c r="B286" s="278"/>
      <c r="C286" s="233"/>
      <c r="D286" s="142"/>
      <c r="E286" s="279"/>
      <c r="F286" s="279"/>
      <c r="G286" s="229"/>
      <c r="H286" s="301"/>
      <c r="I286" s="280"/>
      <c r="J286" s="303"/>
      <c r="K286" s="279"/>
    </row>
    <row r="287" spans="1:11" x14ac:dyDescent="0.35">
      <c r="A287" s="278"/>
      <c r="B287" s="278"/>
      <c r="C287" s="233"/>
      <c r="D287" s="142"/>
      <c r="E287" s="279"/>
      <c r="F287" s="279"/>
      <c r="G287" s="229"/>
      <c r="H287" s="301"/>
      <c r="I287" s="280"/>
      <c r="J287" s="303"/>
      <c r="K287" s="279"/>
    </row>
    <row r="288" spans="1:11" x14ac:dyDescent="0.35">
      <c r="A288" s="278"/>
      <c r="B288" s="278"/>
      <c r="C288" s="233"/>
      <c r="D288" s="142"/>
      <c r="E288" s="279"/>
      <c r="F288" s="279"/>
      <c r="G288" s="229"/>
      <c r="H288" s="301"/>
      <c r="I288" s="280"/>
      <c r="J288" s="303"/>
      <c r="K288" s="279"/>
    </row>
    <row r="289" spans="1:11" x14ac:dyDescent="0.35">
      <c r="A289" s="278"/>
      <c r="B289" s="278"/>
      <c r="C289" s="233"/>
      <c r="D289" s="142"/>
      <c r="E289" s="279"/>
      <c r="F289" s="279"/>
      <c r="G289" s="229"/>
      <c r="H289" s="301"/>
      <c r="I289" s="280"/>
      <c r="J289" s="303"/>
      <c r="K289" s="279"/>
    </row>
    <row r="290" spans="1:11" x14ac:dyDescent="0.35">
      <c r="A290" s="278"/>
      <c r="B290" s="278"/>
      <c r="C290" s="233"/>
      <c r="D290" s="142"/>
      <c r="E290" s="279"/>
      <c r="F290" s="279"/>
      <c r="G290" s="229"/>
      <c r="H290" s="301"/>
      <c r="I290" s="280"/>
      <c r="J290" s="303"/>
      <c r="K290" s="279"/>
    </row>
    <row r="291" spans="1:11" x14ac:dyDescent="0.35">
      <c r="A291" s="278"/>
      <c r="B291" s="278"/>
      <c r="C291" s="233"/>
      <c r="D291" s="142"/>
      <c r="E291" s="279"/>
      <c r="F291" s="279"/>
      <c r="G291" s="229"/>
      <c r="H291" s="301"/>
      <c r="I291" s="280"/>
      <c r="J291" s="303"/>
      <c r="K291" s="279"/>
    </row>
    <row r="292" spans="1:11" x14ac:dyDescent="0.35">
      <c r="A292" s="278"/>
      <c r="B292" s="278"/>
      <c r="C292" s="233"/>
      <c r="D292" s="142"/>
      <c r="E292" s="279"/>
      <c r="F292" s="279"/>
      <c r="G292" s="229"/>
      <c r="H292" s="301"/>
      <c r="I292" s="280"/>
      <c r="J292" s="303"/>
      <c r="K292" s="279"/>
    </row>
    <row r="293" spans="1:11" x14ac:dyDescent="0.35">
      <c r="A293" s="278"/>
      <c r="B293" s="278"/>
      <c r="C293" s="233"/>
      <c r="D293" s="142"/>
      <c r="E293" s="279"/>
      <c r="F293" s="279"/>
      <c r="G293" s="229"/>
      <c r="H293" s="301"/>
      <c r="I293" s="280"/>
      <c r="J293" s="303"/>
      <c r="K293" s="279"/>
    </row>
    <row r="294" spans="1:11" x14ac:dyDescent="0.35">
      <c r="A294" s="278"/>
      <c r="B294" s="278"/>
      <c r="C294" s="233"/>
      <c r="D294" s="142"/>
      <c r="E294" s="279"/>
      <c r="F294" s="279"/>
      <c r="G294" s="229"/>
      <c r="H294" s="301"/>
      <c r="I294" s="280"/>
      <c r="J294" s="303"/>
      <c r="K294" s="279"/>
    </row>
    <row r="295" spans="1:11" x14ac:dyDescent="0.35">
      <c r="A295" s="278"/>
      <c r="B295" s="278"/>
      <c r="C295" s="233"/>
      <c r="D295" s="142"/>
      <c r="E295" s="279"/>
      <c r="F295" s="279"/>
      <c r="G295" s="229"/>
      <c r="H295" s="301"/>
      <c r="I295" s="280"/>
      <c r="J295" s="303"/>
      <c r="K295" s="279"/>
    </row>
    <row r="296" spans="1:11" x14ac:dyDescent="0.35">
      <c r="A296" s="278"/>
      <c r="B296" s="278"/>
      <c r="C296" s="233"/>
      <c r="D296" s="142"/>
      <c r="E296" s="279"/>
      <c r="F296" s="279"/>
      <c r="G296" s="229"/>
      <c r="H296" s="301"/>
      <c r="I296" s="280"/>
      <c r="J296" s="303"/>
      <c r="K296" s="279"/>
    </row>
    <row r="297" spans="1:11" x14ac:dyDescent="0.35">
      <c r="A297" s="304"/>
      <c r="B297" s="304"/>
      <c r="C297" s="233"/>
      <c r="D297" s="304"/>
      <c r="E297" s="305"/>
      <c r="F297" s="305"/>
      <c r="G297" s="306"/>
      <c r="H297" s="307"/>
      <c r="I297" s="308"/>
      <c r="J297" s="309"/>
      <c r="K297" s="184"/>
    </row>
    <row r="298" spans="1:11" x14ac:dyDescent="0.35">
      <c r="A298" s="304"/>
      <c r="B298" s="304"/>
      <c r="C298" s="233"/>
      <c r="D298" s="304"/>
      <c r="E298" s="305"/>
      <c r="F298" s="305"/>
      <c r="G298" s="306"/>
      <c r="H298" s="307"/>
      <c r="I298" s="308"/>
      <c r="J298" s="309"/>
      <c r="K298" s="184"/>
    </row>
    <row r="299" spans="1:11" x14ac:dyDescent="0.35">
      <c r="C299" s="203"/>
      <c r="E299" s="310"/>
      <c r="F299" s="310"/>
      <c r="G299" s="311"/>
      <c r="H299" s="205"/>
      <c r="I299" s="206"/>
      <c r="J299" s="312"/>
      <c r="K299" s="204"/>
    </row>
    <row r="300" spans="1:11" ht="15" thickBot="1" x14ac:dyDescent="0.4">
      <c r="A300" s="304"/>
      <c r="B300" s="304"/>
      <c r="C300" s="233"/>
      <c r="D300" s="304"/>
      <c r="E300" s="305"/>
      <c r="F300" s="305"/>
      <c r="G300" s="313"/>
      <c r="H300" s="314"/>
      <c r="I300" s="315"/>
      <c r="J300" s="309"/>
      <c r="K300" s="184"/>
    </row>
    <row r="301" spans="1:11" ht="15" thickBot="1" x14ac:dyDescent="0.4">
      <c r="A301" s="520" t="s">
        <v>164</v>
      </c>
      <c r="B301" s="521"/>
      <c r="C301" s="521"/>
      <c r="D301" s="521"/>
      <c r="E301" s="521"/>
      <c r="F301" s="521"/>
      <c r="G301" s="521"/>
      <c r="H301" s="521"/>
      <c r="I301" s="521"/>
      <c r="J301" s="521"/>
      <c r="K301" s="283">
        <f>SUM(K6:K299)</f>
        <v>81210.119173194427</v>
      </c>
    </row>
    <row r="305" spans="2:6" x14ac:dyDescent="0.35">
      <c r="B305" s="522" t="s">
        <v>157</v>
      </c>
      <c r="C305" s="522"/>
      <c r="D305" s="522"/>
      <c r="E305" s="522"/>
      <c r="F305" s="339"/>
    </row>
    <row r="306" spans="2:6" x14ac:dyDescent="0.35">
      <c r="B306" s="522"/>
      <c r="C306" s="522"/>
      <c r="D306" s="522"/>
      <c r="E306" s="522"/>
      <c r="F306" s="339"/>
    </row>
    <row r="1048570" spans="9:9" x14ac:dyDescent="0.35">
      <c r="I1048570" s="317"/>
    </row>
  </sheetData>
  <mergeCells count="25">
    <mergeCell ref="C216:C229"/>
    <mergeCell ref="C230:C243"/>
    <mergeCell ref="C244:C257"/>
    <mergeCell ref="C258:C260"/>
    <mergeCell ref="A1:D1"/>
    <mergeCell ref="A2:D2"/>
    <mergeCell ref="A3:D3"/>
    <mergeCell ref="A4:D4"/>
    <mergeCell ref="C6:C19"/>
    <mergeCell ref="C20:C33"/>
    <mergeCell ref="C34:C47"/>
    <mergeCell ref="C48:C61"/>
    <mergeCell ref="C62:C75"/>
    <mergeCell ref="B305:E306"/>
    <mergeCell ref="C146:C159"/>
    <mergeCell ref="C76:C89"/>
    <mergeCell ref="C90:C103"/>
    <mergeCell ref="C104:C117"/>
    <mergeCell ref="C118:C131"/>
    <mergeCell ref="C132:C145"/>
    <mergeCell ref="A301:J301"/>
    <mergeCell ref="C160:C173"/>
    <mergeCell ref="C174:C187"/>
    <mergeCell ref="C188:C201"/>
    <mergeCell ref="C202:C215"/>
  </mergeCells>
  <phoneticPr fontId="15" type="noConversion"/>
  <pageMargins left="0.7" right="0.7" top="0.75" bottom="0.75" header="0.3" footer="0.3"/>
  <pageSetup paperSize="14"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9"/>
  <sheetViews>
    <sheetView zoomScale="140" zoomScaleNormal="140" workbookViewId="0">
      <selection activeCell="B4" sqref="B4"/>
    </sheetView>
  </sheetViews>
  <sheetFormatPr baseColWidth="10" defaultColWidth="11.54296875" defaultRowHeight="14.5" x14ac:dyDescent="0.35"/>
  <cols>
    <col min="1" max="1" width="42.54296875" style="333" customWidth="1"/>
    <col min="2" max="4" width="42.54296875" style="284" customWidth="1"/>
  </cols>
  <sheetData>
    <row r="1" spans="1:4" s="7" customFormat="1" ht="15" thickBot="1" x14ac:dyDescent="0.4">
      <c r="A1" s="320"/>
      <c r="B1" s="321" t="s">
        <v>165</v>
      </c>
      <c r="C1" s="321" t="s">
        <v>166</v>
      </c>
      <c r="D1" s="322" t="s">
        <v>167</v>
      </c>
    </row>
    <row r="2" spans="1:4" x14ac:dyDescent="0.35">
      <c r="A2" s="323" t="s">
        <v>112</v>
      </c>
      <c r="B2" s="324">
        <f>'CAP ANT INDEX '!M472</f>
        <v>577226873.31355345</v>
      </c>
      <c r="C2" s="325"/>
      <c r="D2" s="326">
        <f>B2-C2</f>
        <v>577226873.31355345</v>
      </c>
    </row>
    <row r="3" spans="1:4" x14ac:dyDescent="0.35">
      <c r="A3" s="327" t="s">
        <v>168</v>
      </c>
      <c r="B3" s="328">
        <f>'MORAT ANT DTF'!I217</f>
        <v>6336035.8531691702</v>
      </c>
      <c r="C3" s="83"/>
      <c r="D3" s="329">
        <f t="shared" ref="D3:D8" si="0">B3-C3</f>
        <v>6336035.8531691702</v>
      </c>
    </row>
    <row r="4" spans="1:4" x14ac:dyDescent="0.35">
      <c r="A4" s="327" t="s">
        <v>169</v>
      </c>
      <c r="B4" s="328">
        <f>'MORAT ANT'!J227</f>
        <v>77918734.968971297</v>
      </c>
      <c r="C4" s="83"/>
      <c r="D4" s="329">
        <f t="shared" si="0"/>
        <v>77918734.968971297</v>
      </c>
    </row>
    <row r="5" spans="1:4" x14ac:dyDescent="0.35">
      <c r="A5" s="327" t="s">
        <v>153</v>
      </c>
      <c r="B5" s="328">
        <f>'CAP POST'!G273</f>
        <v>62015922.825139135</v>
      </c>
      <c r="C5" s="83"/>
      <c r="D5" s="329">
        <f t="shared" si="0"/>
        <v>62015922.825139135</v>
      </c>
    </row>
    <row r="6" spans="1:4" x14ac:dyDescent="0.35">
      <c r="A6" s="327" t="s">
        <v>170</v>
      </c>
      <c r="B6" s="328">
        <f>'MORAT SUCES DTF'!J250</f>
        <v>142675.02417577329</v>
      </c>
      <c r="C6" s="83"/>
      <c r="D6" s="329">
        <f t="shared" si="0"/>
        <v>142675.02417577329</v>
      </c>
    </row>
    <row r="7" spans="1:4" ht="15" thickBot="1" x14ac:dyDescent="0.4">
      <c r="A7" s="330" t="s">
        <v>171</v>
      </c>
      <c r="B7" s="331">
        <f>'MORAT SUCES'!K301</f>
        <v>81210.119173194427</v>
      </c>
      <c r="C7" s="139"/>
      <c r="D7" s="332">
        <f t="shared" si="0"/>
        <v>81210.119173194427</v>
      </c>
    </row>
    <row r="8" spans="1:4" ht="15" thickBot="1" x14ac:dyDescent="0.4">
      <c r="A8" s="334" t="s">
        <v>172</v>
      </c>
      <c r="B8" s="335">
        <v>0</v>
      </c>
      <c r="C8" s="335">
        <v>0</v>
      </c>
      <c r="D8" s="336">
        <f t="shared" si="0"/>
        <v>0</v>
      </c>
    </row>
    <row r="9" spans="1:4" ht="15" thickBot="1" x14ac:dyDescent="0.4">
      <c r="A9" s="334" t="s">
        <v>173</v>
      </c>
      <c r="B9" s="337">
        <f>SUM(B2:B8)</f>
        <v>723721452.104182</v>
      </c>
      <c r="C9" s="337">
        <f>SUM(C2:C8)</f>
        <v>0</v>
      </c>
      <c r="D9" s="338">
        <f>SUM(D2:D8)</f>
        <v>723721452.104182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63eb5da-2fbb-442b-8ecc-8a249418e2b8" xsi:nil="true"/>
    <lcf76f155ced4ddcb4097134ff3c332f xmlns="f4e7b1d2-d9d8-4be6-a468-264bc75ebb9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CD5AFAD2AB8B04697BA6D3B76A92F30" ma:contentTypeVersion="16" ma:contentTypeDescription="Crear nuevo documento." ma:contentTypeScope="" ma:versionID="fe807ec8e554f89cda225070652edb2f">
  <xsd:schema xmlns:xsd="http://www.w3.org/2001/XMLSchema" xmlns:xs="http://www.w3.org/2001/XMLSchema" xmlns:p="http://schemas.microsoft.com/office/2006/metadata/properties" xmlns:ns2="f4e7b1d2-d9d8-4be6-a468-264bc75ebb9f" xmlns:ns3="263eb5da-2fbb-442b-8ecc-8a249418e2b8" targetNamespace="http://schemas.microsoft.com/office/2006/metadata/properties" ma:root="true" ma:fieldsID="cc0eb08598c30e7686dcbaa8d8495b99" ns2:_="" ns3:_="">
    <xsd:import namespace="f4e7b1d2-d9d8-4be6-a468-264bc75ebb9f"/>
    <xsd:import namespace="263eb5da-2fbb-442b-8ecc-8a249418e2b8"/>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e7b1d2-d9d8-4be6-a468-264bc75ebb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e31b1466-370e-4680-8e95-6fcae1d3fa8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63eb5da-2fbb-442b-8ecc-8a249418e2b8"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b7106696-9edf-43f1-90ef-3b840b714c4b}" ma:internalName="TaxCatchAll" ma:showField="CatchAllData" ma:web="263eb5da-2fbb-442b-8ecc-8a249418e2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ED6329-8D0D-4822-9292-A59E12BCC6FF}">
  <ds:schemaRefs>
    <ds:schemaRef ds:uri="http://schemas.microsoft.com/sharepoint/v3/contenttype/forms"/>
  </ds:schemaRefs>
</ds:datastoreItem>
</file>

<file path=customXml/itemProps2.xml><?xml version="1.0" encoding="utf-8"?>
<ds:datastoreItem xmlns:ds="http://schemas.openxmlformats.org/officeDocument/2006/customXml" ds:itemID="{88D7330C-95B3-40D1-A139-810112B8B89E}">
  <ds:schemaRefs>
    <ds:schemaRef ds:uri="http://schemas.microsoft.com/office/2006/metadata/properties"/>
    <ds:schemaRef ds:uri="http://schemas.microsoft.com/office/infopath/2007/PartnerControls"/>
    <ds:schemaRef ds:uri="263eb5da-2fbb-442b-8ecc-8a249418e2b8"/>
    <ds:schemaRef ds:uri="f4e7b1d2-d9d8-4be6-a468-264bc75ebb9f"/>
  </ds:schemaRefs>
</ds:datastoreItem>
</file>

<file path=customXml/itemProps3.xml><?xml version="1.0" encoding="utf-8"?>
<ds:datastoreItem xmlns:ds="http://schemas.openxmlformats.org/officeDocument/2006/customXml" ds:itemID="{95B7B030-67DE-4B85-8240-29BDF970DF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e7b1d2-d9d8-4be6-a468-264bc75ebb9f"/>
    <ds:schemaRef ds:uri="263eb5da-2fbb-442b-8ecc-8a249418e2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SABANA</vt:lpstr>
      <vt:lpstr>DIF MES</vt:lpstr>
      <vt:lpstr>CAP ANT INDEX </vt:lpstr>
      <vt:lpstr>MORAT ANT DTF</vt:lpstr>
      <vt:lpstr>MORAT ANT</vt:lpstr>
      <vt:lpstr>CAP POST</vt:lpstr>
      <vt:lpstr>MORAT SUCES DTF</vt:lpstr>
      <vt:lpstr>MORAT SUCES</vt:lpstr>
      <vt:lpstr>PAGOS</vt:lpstr>
      <vt:lpstr>IPC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Windows</dc:creator>
  <cp:keywords/>
  <dc:description/>
  <cp:lastModifiedBy>Natalia Dueñas</cp:lastModifiedBy>
  <cp:revision/>
  <dcterms:created xsi:type="dcterms:W3CDTF">2015-07-06T14:40:12Z</dcterms:created>
  <dcterms:modified xsi:type="dcterms:W3CDTF">2025-06-13T14:48:18Z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0x010100CCD5AFAD2AB8B04697BA6D3B76A92F30</vt:lpwstr>
  </property>
  <property fmtid="{D5CDD505-2E9C-101B-9397-08002B2CF9AE}" pid="3" name="MediaServiceImageTags">
    <vt:lpwstr/>
  </property>
</Properties>
</file>