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Справочник" sheetId="2" r:id="rId5"/>
    <sheet state="visible" name="Корреляция" sheetId="3" r:id="rId6"/>
    <sheet state="visible" name="Статистическая гипотеза" sheetId="4" r:id="rId7"/>
  </sheets>
  <definedNames/>
  <calcPr/>
</workbook>
</file>

<file path=xl/sharedStrings.xml><?xml version="1.0" encoding="utf-8"?>
<sst xmlns="http://schemas.openxmlformats.org/spreadsheetml/2006/main" count="80" uniqueCount="77">
  <si>
    <t>Отметка времени</t>
  </si>
  <si>
    <t>Какую страну планируете посетить?</t>
  </si>
  <si>
    <t>Какой город?</t>
  </si>
  <si>
    <t>Город (англ)</t>
  </si>
  <si>
    <t>Дата начала отпуска</t>
  </si>
  <si>
    <t>Дата окончания отпуска</t>
  </si>
  <si>
    <t>Планируемый бюджет, руб.</t>
  </si>
  <si>
    <t>Стоимость билетов, руб.</t>
  </si>
  <si>
    <t>Стоимость отеля, руб.</t>
  </si>
  <si>
    <t>Траты на отдыхе, руб.</t>
  </si>
  <si>
    <t>Общая оценка отпуска</t>
  </si>
  <si>
    <t>Фактическая стоимость, руб.</t>
  </si>
  <si>
    <t>Факт/план</t>
  </si>
  <si>
    <t>Модуль отклонения</t>
  </si>
  <si>
    <t>Стоимость одного дня, руб.</t>
  </si>
  <si>
    <t>Германия</t>
  </si>
  <si>
    <t>Берлин</t>
  </si>
  <si>
    <t>Чехия</t>
  </si>
  <si>
    <t>Прага</t>
  </si>
  <si>
    <t>Норвегия</t>
  </si>
  <si>
    <t>Осло</t>
  </si>
  <si>
    <t>Сербия</t>
  </si>
  <si>
    <t>Новисад</t>
  </si>
  <si>
    <t>Турция</t>
  </si>
  <si>
    <t>Стамбул</t>
  </si>
  <si>
    <t>Дания</t>
  </si>
  <si>
    <t>Копенгаген</t>
  </si>
  <si>
    <t>Россия</t>
  </si>
  <si>
    <t>Калининград</t>
  </si>
  <si>
    <t>Китай</t>
  </si>
  <si>
    <t>Шанхай</t>
  </si>
  <si>
    <t>США</t>
  </si>
  <si>
    <t>Нью-Йорк</t>
  </si>
  <si>
    <t>Италия</t>
  </si>
  <si>
    <t>Флоренция</t>
  </si>
  <si>
    <t>Иркутск</t>
  </si>
  <si>
    <t>Португалия</t>
  </si>
  <si>
    <t>Лиссабон</t>
  </si>
  <si>
    <t>Нидерланды</t>
  </si>
  <si>
    <t>Роттердам</t>
  </si>
  <si>
    <t>Эстония</t>
  </si>
  <si>
    <t>Таллин</t>
  </si>
  <si>
    <t>Милан</t>
  </si>
  <si>
    <t>Дюссельдорф</t>
  </si>
  <si>
    <t>Название города (рус)</t>
  </si>
  <si>
    <t>Название города (англ)</t>
  </si>
  <si>
    <t>Berlin</t>
  </si>
  <si>
    <t>Praha</t>
  </si>
  <si>
    <t>Oslo</t>
  </si>
  <si>
    <t>Novi Sad</t>
  </si>
  <si>
    <t>Istanbul</t>
  </si>
  <si>
    <t>København</t>
  </si>
  <si>
    <t>Kaliningrad</t>
  </si>
  <si>
    <t>Shanghai</t>
  </si>
  <si>
    <t>New York</t>
  </si>
  <si>
    <t>Firenze</t>
  </si>
  <si>
    <t>Irkutsk</t>
  </si>
  <si>
    <t>Lisboa</t>
  </si>
  <si>
    <t>Rotterdam</t>
  </si>
  <si>
    <t>Tallinn</t>
  </si>
  <si>
    <t>Milano</t>
  </si>
  <si>
    <t>Düsseldorf</t>
  </si>
  <si>
    <t>Корреляция</t>
  </si>
  <si>
    <t>слабая положительная связь</t>
  </si>
  <si>
    <t>H0</t>
  </si>
  <si>
    <t>H1</t>
  </si>
  <si>
    <t>!=0</t>
  </si>
  <si>
    <t>Уровень значимости</t>
  </si>
  <si>
    <t>Степени свободы</t>
  </si>
  <si>
    <t>Среднее выборки*</t>
  </si>
  <si>
    <t>Стандартное отклонение выборки</t>
  </si>
  <si>
    <t>Размер выборки</t>
  </si>
  <si>
    <t>t-статистика</t>
  </si>
  <si>
    <t>p-value</t>
  </si>
  <si>
    <t>Критическое значение</t>
  </si>
  <si>
    <t>ОТКЛОНЯЕМ НУЛЕВУЮ ГИПОТЕЗУ (планируем траты плохо)</t>
  </si>
  <si>
    <t>* Здесь и далее расчет по модулю отклонений. Так как если мы потратили меньше, чем планировали - это тоже ошибка с точки зрения математики, а если оставлять как есть, то положительные и отрицательные различия гасят друг друга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</si>
</sst>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.000"/>
    <numFmt numFmtId="166" formatCode="0.0000"/>
  </numFmts>
  <fonts count="3">
    <font>
      <sz val="10.0"/>
      <color rgb="FF000000"/>
      <name val="Arial"/>
    </font>
    <font>
      <color theme="1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2" fontId="1" numFmtId="165" xfId="0" applyFill="1" applyFont="1" applyNumberFormat="1"/>
    <xf borderId="0" fillId="0" fontId="1" numFmtId="165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Связь между стоимостью дня отпуска и его оценкой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'Ответы на форму (1)'!$O$1:$O$17</c:f>
            </c:numRef>
          </c:xVal>
          <c:yVal>
            <c:numRef>
              <c:f>'Ответы на форму (1)'!$K$1:$K$17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57063"/>
        <c:axId val="295504406"/>
      </c:scatterChart>
      <c:valAx>
        <c:axId val="11406570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Стоимость дня отпуска, руб.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5504406"/>
      </c:valAx>
      <c:valAx>
        <c:axId val="29550440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Оценка, балл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06570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1</xdr:row>
      <xdr:rowOff>9525</xdr:rowOff>
    </xdr:from>
    <xdr:ext cx="51816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3.14"/>
    <col customWidth="1" min="3" max="4" width="21.57"/>
    <col customWidth="1" min="5" max="5" width="19.43"/>
    <col customWidth="1" min="6" max="6" width="22.43"/>
    <col customWidth="1" min="7" max="7" width="25.29"/>
    <col customWidth="1" min="8" max="8" width="23.14"/>
    <col customWidth="1" min="9" max="9" width="20.86"/>
    <col customWidth="1" min="10" max="10" width="20.71"/>
    <col customWidth="1" min="11" max="11" width="21.29"/>
    <col customWidth="1" min="12" max="12" width="26.71"/>
    <col customWidth="1" min="13" max="14" width="21.57"/>
    <col customWidth="1" min="15" max="15" width="2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44249.473546284724</v>
      </c>
      <c r="B2" s="2" t="s">
        <v>15</v>
      </c>
      <c r="C2" s="2" t="s">
        <v>16</v>
      </c>
      <c r="D2" s="2" t="str">
        <f>IFERROR(VLOOKUP(C2, 'Справочник'!A1:B17, 2, FALSE), "Не найдено")</f>
        <v>Berlin</v>
      </c>
      <c r="E2" s="4">
        <v>43864.0</v>
      </c>
      <c r="F2" s="4">
        <v>43877.0</v>
      </c>
      <c r="G2" s="2">
        <v>120000.0</v>
      </c>
      <c r="H2" s="2">
        <v>25000.0</v>
      </c>
      <c r="I2" s="2">
        <v>70000.0</v>
      </c>
      <c r="J2" s="2">
        <v>25000.0</v>
      </c>
      <c r="K2" s="2">
        <v>5.0</v>
      </c>
      <c r="L2" s="1">
        <f t="shared" ref="L2:L17" si="1">(H:H+I:I+J:J)</f>
        <v>120000</v>
      </c>
      <c r="M2" s="1">
        <f t="shared" ref="M2:M17" si="2">(L:L - G:G)</f>
        <v>0</v>
      </c>
      <c r="N2" s="1">
        <f t="shared" ref="N2:N17" si="3">ABS(M:M)</f>
        <v>0</v>
      </c>
      <c r="O2" s="1">
        <f t="shared" ref="O2:O17" si="4">(L:L/(F:F-E:E+1))</f>
        <v>8571.428571</v>
      </c>
    </row>
    <row r="3">
      <c r="A3" s="3">
        <v>44249.47408767361</v>
      </c>
      <c r="B3" s="2" t="s">
        <v>17</v>
      </c>
      <c r="C3" s="2" t="s">
        <v>18</v>
      </c>
      <c r="D3" s="2" t="str">
        <f>IFERROR(VLOOKUP(C3, 'Справочник'!A2:B18, 2, FALSE), "Не найдено")</f>
        <v>Praha</v>
      </c>
      <c r="E3" s="4">
        <v>43466.0</v>
      </c>
      <c r="F3" s="4">
        <v>43476.0</v>
      </c>
      <c r="G3" s="2">
        <v>70000.0</v>
      </c>
      <c r="H3" s="2">
        <v>17000.0</v>
      </c>
      <c r="I3" s="2">
        <v>30000.0</v>
      </c>
      <c r="J3" s="2">
        <v>20000.0</v>
      </c>
      <c r="K3" s="2">
        <v>4.0</v>
      </c>
      <c r="L3" s="1">
        <f t="shared" si="1"/>
        <v>67000</v>
      </c>
      <c r="M3" s="1">
        <f t="shared" si="2"/>
        <v>-3000</v>
      </c>
      <c r="N3" s="1">
        <f t="shared" si="3"/>
        <v>3000</v>
      </c>
      <c r="O3" s="1">
        <f t="shared" si="4"/>
        <v>6090.909091</v>
      </c>
    </row>
    <row r="4">
      <c r="A4" s="3">
        <v>44249.47454113426</v>
      </c>
      <c r="B4" s="2" t="s">
        <v>19</v>
      </c>
      <c r="C4" s="2" t="s">
        <v>20</v>
      </c>
      <c r="D4" s="2" t="str">
        <f>IFERROR(VLOOKUP(C4, 'Справочник'!A3:B19, 2, FALSE), "Не найдено")</f>
        <v>Oslo</v>
      </c>
      <c r="E4" s="4">
        <v>44065.0</v>
      </c>
      <c r="F4" s="4">
        <v>44070.0</v>
      </c>
      <c r="G4" s="2">
        <v>70000.0</v>
      </c>
      <c r="H4" s="2">
        <v>25000.0</v>
      </c>
      <c r="I4" s="2">
        <v>35000.0</v>
      </c>
      <c r="J4" s="2">
        <v>35000.0</v>
      </c>
      <c r="K4" s="2">
        <v>5.0</v>
      </c>
      <c r="L4" s="1">
        <f t="shared" si="1"/>
        <v>95000</v>
      </c>
      <c r="M4" s="1">
        <f t="shared" si="2"/>
        <v>25000</v>
      </c>
      <c r="N4" s="1">
        <f t="shared" si="3"/>
        <v>25000</v>
      </c>
      <c r="O4" s="1">
        <f t="shared" si="4"/>
        <v>15833.33333</v>
      </c>
    </row>
    <row r="5">
      <c r="A5" s="3">
        <v>44249.474920925924</v>
      </c>
      <c r="B5" s="2" t="s">
        <v>21</v>
      </c>
      <c r="C5" s="2" t="s">
        <v>22</v>
      </c>
      <c r="D5" s="2" t="str">
        <f>IFERROR(VLOOKUP(C5, 'Справочник'!A4:B20, 2, FALSE), "Не найдено")</f>
        <v>Novi Sad</v>
      </c>
      <c r="E5" s="4">
        <v>44081.0</v>
      </c>
      <c r="F5" s="4">
        <v>44087.0</v>
      </c>
      <c r="G5" s="2">
        <v>40000.0</v>
      </c>
      <c r="H5" s="2">
        <v>15000.0</v>
      </c>
      <c r="I5" s="2">
        <v>15000.0</v>
      </c>
      <c r="J5" s="2">
        <v>9000.0</v>
      </c>
      <c r="K5" s="2">
        <v>3.0</v>
      </c>
      <c r="L5" s="1">
        <f t="shared" si="1"/>
        <v>39000</v>
      </c>
      <c r="M5" s="1">
        <f t="shared" si="2"/>
        <v>-1000</v>
      </c>
      <c r="N5" s="1">
        <f t="shared" si="3"/>
        <v>1000</v>
      </c>
      <c r="O5" s="1">
        <f t="shared" si="4"/>
        <v>5571.428571</v>
      </c>
    </row>
    <row r="6">
      <c r="A6" s="3">
        <v>44249.47522797454</v>
      </c>
      <c r="B6" s="2" t="s">
        <v>23</v>
      </c>
      <c r="C6" s="2" t="s">
        <v>24</v>
      </c>
      <c r="D6" s="2" t="str">
        <f>IFERROR(VLOOKUP(C6, 'Справочник'!A5:B21, 2, FALSE), "Не найдено")</f>
        <v>Istanbul</v>
      </c>
      <c r="E6" s="4">
        <v>44198.0</v>
      </c>
      <c r="F6" s="4">
        <v>44203.0</v>
      </c>
      <c r="G6" s="2">
        <v>25000.0</v>
      </c>
      <c r="H6" s="2">
        <v>12000.0</v>
      </c>
      <c r="I6" s="2">
        <v>8000.0</v>
      </c>
      <c r="J6" s="2">
        <v>8000.0</v>
      </c>
      <c r="K6" s="2">
        <v>5.0</v>
      </c>
      <c r="L6" s="1">
        <f t="shared" si="1"/>
        <v>28000</v>
      </c>
      <c r="M6" s="1">
        <f t="shared" si="2"/>
        <v>3000</v>
      </c>
      <c r="N6" s="1">
        <f t="shared" si="3"/>
        <v>3000</v>
      </c>
      <c r="O6" s="1">
        <f t="shared" si="4"/>
        <v>4666.666667</v>
      </c>
    </row>
    <row r="7">
      <c r="A7" s="3">
        <v>44249.47572803241</v>
      </c>
      <c r="B7" s="2" t="s">
        <v>25</v>
      </c>
      <c r="C7" s="2" t="s">
        <v>26</v>
      </c>
      <c r="D7" s="2" t="str">
        <f>IFERROR(VLOOKUP(C7, 'Справочник'!A6:B22, 2, FALSE), "Не найдено")</f>
        <v>København</v>
      </c>
      <c r="E7" s="4">
        <v>44106.0</v>
      </c>
      <c r="F7" s="4">
        <v>44108.0</v>
      </c>
      <c r="G7" s="2">
        <v>30000.0</v>
      </c>
      <c r="H7" s="2">
        <v>20000.0</v>
      </c>
      <c r="I7" s="2">
        <v>10000.0</v>
      </c>
      <c r="J7" s="2">
        <v>6000.0</v>
      </c>
      <c r="K7" s="2">
        <v>3.0</v>
      </c>
      <c r="L7" s="1">
        <f t="shared" si="1"/>
        <v>36000</v>
      </c>
      <c r="M7" s="1">
        <f t="shared" si="2"/>
        <v>6000</v>
      </c>
      <c r="N7" s="1">
        <f t="shared" si="3"/>
        <v>6000</v>
      </c>
      <c r="O7" s="1">
        <f t="shared" si="4"/>
        <v>12000</v>
      </c>
    </row>
    <row r="8">
      <c r="A8" s="3">
        <v>44249.476079513886</v>
      </c>
      <c r="B8" s="2" t="s">
        <v>27</v>
      </c>
      <c r="C8" s="2" t="s">
        <v>28</v>
      </c>
      <c r="D8" s="2" t="str">
        <f>IFERROR(VLOOKUP(C8, 'Справочник'!A7:B23, 2, FALSE), "Не найдено")</f>
        <v>Kaliningrad</v>
      </c>
      <c r="E8" s="4">
        <v>44102.0</v>
      </c>
      <c r="F8" s="4">
        <v>44107.0</v>
      </c>
      <c r="G8" s="2">
        <v>20000.0</v>
      </c>
      <c r="H8" s="2">
        <v>7000.0</v>
      </c>
      <c r="I8" s="2">
        <v>7000.0</v>
      </c>
      <c r="J8" s="2">
        <v>5000.0</v>
      </c>
      <c r="K8" s="2">
        <v>3.0</v>
      </c>
      <c r="L8" s="1">
        <f t="shared" si="1"/>
        <v>19000</v>
      </c>
      <c r="M8" s="1">
        <f t="shared" si="2"/>
        <v>-1000</v>
      </c>
      <c r="N8" s="1">
        <f t="shared" si="3"/>
        <v>1000</v>
      </c>
      <c r="O8" s="1">
        <f t="shared" si="4"/>
        <v>3166.666667</v>
      </c>
    </row>
    <row r="9">
      <c r="A9" s="3">
        <v>44249.47651496528</v>
      </c>
      <c r="B9" s="2" t="s">
        <v>29</v>
      </c>
      <c r="C9" s="2" t="s">
        <v>30</v>
      </c>
      <c r="D9" s="2" t="str">
        <f>IFERROR(VLOOKUP(C9, 'Справочник'!A8:B24, 2, FALSE), "Не найдено")</f>
        <v>Shanghai</v>
      </c>
      <c r="E9" s="4">
        <v>43388.0</v>
      </c>
      <c r="F9" s="4">
        <v>43401.0</v>
      </c>
      <c r="G9" s="2">
        <v>80000.0</v>
      </c>
      <c r="H9" s="2">
        <v>30000.0</v>
      </c>
      <c r="I9" s="2">
        <v>30000.0</v>
      </c>
      <c r="J9" s="2">
        <v>20000.0</v>
      </c>
      <c r="K9" s="2">
        <v>2.0</v>
      </c>
      <c r="L9" s="1">
        <f t="shared" si="1"/>
        <v>80000</v>
      </c>
      <c r="M9" s="1">
        <f t="shared" si="2"/>
        <v>0</v>
      </c>
      <c r="N9" s="1">
        <f t="shared" si="3"/>
        <v>0</v>
      </c>
      <c r="O9" s="1">
        <f t="shared" si="4"/>
        <v>5714.285714</v>
      </c>
    </row>
    <row r="10">
      <c r="A10" s="3">
        <v>44249.47700347222</v>
      </c>
      <c r="B10" s="2" t="s">
        <v>31</v>
      </c>
      <c r="C10" s="2" t="s">
        <v>32</v>
      </c>
      <c r="D10" s="2" t="str">
        <f>IFERROR(VLOOKUP(C10, 'Справочник'!A9:B25, 2, FALSE), "Не найдено")</f>
        <v>New York</v>
      </c>
      <c r="E10" s="4">
        <v>43682.0</v>
      </c>
      <c r="F10" s="4">
        <v>43693.0</v>
      </c>
      <c r="G10" s="2">
        <v>120000.0</v>
      </c>
      <c r="H10" s="2">
        <v>50000.0</v>
      </c>
      <c r="I10" s="2">
        <v>40000.0</v>
      </c>
      <c r="J10" s="2">
        <v>40000.0</v>
      </c>
      <c r="K10" s="2">
        <v>4.0</v>
      </c>
      <c r="L10" s="1">
        <f t="shared" si="1"/>
        <v>130000</v>
      </c>
      <c r="M10" s="1">
        <f t="shared" si="2"/>
        <v>10000</v>
      </c>
      <c r="N10" s="1">
        <f t="shared" si="3"/>
        <v>10000</v>
      </c>
      <c r="O10" s="1">
        <f t="shared" si="4"/>
        <v>10833.33333</v>
      </c>
    </row>
    <row r="11">
      <c r="A11" s="3">
        <v>44249.478119039355</v>
      </c>
      <c r="B11" s="2" t="s">
        <v>33</v>
      </c>
      <c r="C11" s="2" t="s">
        <v>34</v>
      </c>
      <c r="D11" s="2" t="str">
        <f>IFERROR(VLOOKUP(C11, 'Справочник'!A10:B26, 2, FALSE), "Не найдено")</f>
        <v>Firenze</v>
      </c>
      <c r="E11" s="4">
        <v>43654.0</v>
      </c>
      <c r="F11" s="4">
        <v>43660.0</v>
      </c>
      <c r="G11" s="2">
        <v>70000.0</v>
      </c>
      <c r="H11" s="2">
        <v>22000.0</v>
      </c>
      <c r="I11" s="2">
        <v>25000.0</v>
      </c>
      <c r="J11" s="2">
        <v>18000.0</v>
      </c>
      <c r="K11" s="2">
        <v>4.0</v>
      </c>
      <c r="L11" s="1">
        <f t="shared" si="1"/>
        <v>65000</v>
      </c>
      <c r="M11" s="1">
        <f t="shared" si="2"/>
        <v>-5000</v>
      </c>
      <c r="N11" s="1">
        <f t="shared" si="3"/>
        <v>5000</v>
      </c>
      <c r="O11" s="1">
        <f t="shared" si="4"/>
        <v>9285.714286</v>
      </c>
    </row>
    <row r="12">
      <c r="A12" s="3">
        <v>44249.4785281713</v>
      </c>
      <c r="B12" s="2" t="s">
        <v>27</v>
      </c>
      <c r="C12" s="2" t="s">
        <v>35</v>
      </c>
      <c r="D12" s="2" t="str">
        <f>IFERROR(VLOOKUP(C12, 'Справочник'!A11:B27, 2, FALSE), "Не найдено")</f>
        <v>Irkutsk</v>
      </c>
      <c r="E12" s="4">
        <v>44058.0</v>
      </c>
      <c r="F12" s="4">
        <v>44072.0</v>
      </c>
      <c r="G12" s="2">
        <v>90000.0</v>
      </c>
      <c r="H12" s="2">
        <v>30000.0</v>
      </c>
      <c r="I12" s="2">
        <v>25000.0</v>
      </c>
      <c r="J12" s="2">
        <v>25000.0</v>
      </c>
      <c r="K12" s="2">
        <v>5.0</v>
      </c>
      <c r="L12" s="1">
        <f t="shared" si="1"/>
        <v>80000</v>
      </c>
      <c r="M12" s="1">
        <f t="shared" si="2"/>
        <v>-10000</v>
      </c>
      <c r="N12" s="1">
        <f t="shared" si="3"/>
        <v>10000</v>
      </c>
      <c r="O12" s="1">
        <f t="shared" si="4"/>
        <v>5333.333333</v>
      </c>
    </row>
    <row r="13">
      <c r="A13" s="3">
        <v>44249.47981578704</v>
      </c>
      <c r="B13" s="2" t="s">
        <v>36</v>
      </c>
      <c r="C13" s="2" t="s">
        <v>37</v>
      </c>
      <c r="D13" s="2" t="str">
        <f>IFERROR(VLOOKUP(C13, 'Справочник'!A12:B28, 2, FALSE), "Не найдено")</f>
        <v>Lisboa</v>
      </c>
      <c r="E13" s="4">
        <v>43792.0</v>
      </c>
      <c r="F13" s="4">
        <v>43794.0</v>
      </c>
      <c r="G13" s="2">
        <v>30000.0</v>
      </c>
      <c r="H13" s="2">
        <v>13000.0</v>
      </c>
      <c r="I13" s="2">
        <v>10000.0</v>
      </c>
      <c r="J13" s="2">
        <v>10000.0</v>
      </c>
      <c r="K13" s="2">
        <v>5.0</v>
      </c>
      <c r="L13" s="1">
        <f t="shared" si="1"/>
        <v>33000</v>
      </c>
      <c r="M13" s="1">
        <f t="shared" si="2"/>
        <v>3000</v>
      </c>
      <c r="N13" s="1">
        <f t="shared" si="3"/>
        <v>3000</v>
      </c>
      <c r="O13" s="1">
        <f t="shared" si="4"/>
        <v>11000</v>
      </c>
    </row>
    <row r="14">
      <c r="A14" s="3">
        <v>44249.48040472222</v>
      </c>
      <c r="B14" s="2" t="s">
        <v>38</v>
      </c>
      <c r="C14" s="2" t="s">
        <v>39</v>
      </c>
      <c r="D14" s="2" t="str">
        <f>IFERROR(VLOOKUP(C14, 'Справочник'!A13:B29, 2, FALSE), "Не найдено")</f>
        <v>Rotterdam</v>
      </c>
      <c r="E14" s="4">
        <v>43353.0</v>
      </c>
      <c r="F14" s="4">
        <v>43357.0</v>
      </c>
      <c r="G14" s="2">
        <v>30000.0</v>
      </c>
      <c r="H14" s="2">
        <v>15000.0</v>
      </c>
      <c r="I14" s="2">
        <v>12000.0</v>
      </c>
      <c r="J14" s="2">
        <v>8000.0</v>
      </c>
      <c r="K14" s="2">
        <v>3.0</v>
      </c>
      <c r="L14" s="1">
        <f t="shared" si="1"/>
        <v>35000</v>
      </c>
      <c r="M14" s="1">
        <f t="shared" si="2"/>
        <v>5000</v>
      </c>
      <c r="N14" s="1">
        <f t="shared" si="3"/>
        <v>5000</v>
      </c>
      <c r="O14" s="1">
        <f t="shared" si="4"/>
        <v>7000</v>
      </c>
    </row>
    <row r="15">
      <c r="A15" s="3">
        <v>44249.480862847224</v>
      </c>
      <c r="B15" s="2" t="s">
        <v>40</v>
      </c>
      <c r="C15" s="2" t="s">
        <v>41</v>
      </c>
      <c r="D15" s="2" t="str">
        <f>IFERROR(VLOOKUP(C15, 'Справочник'!A14:B30, 2, FALSE), "Не найдено")</f>
        <v>Tallinn</v>
      </c>
      <c r="E15" s="4">
        <v>43833.0</v>
      </c>
      <c r="F15" s="4">
        <v>43838.0</v>
      </c>
      <c r="G15" s="2">
        <v>30000.0</v>
      </c>
      <c r="H15" s="2">
        <v>9000.0</v>
      </c>
      <c r="I15" s="2">
        <v>20000.0</v>
      </c>
      <c r="J15" s="2">
        <v>7000.0</v>
      </c>
      <c r="K15" s="2">
        <v>3.0</v>
      </c>
      <c r="L15" s="1">
        <f t="shared" si="1"/>
        <v>36000</v>
      </c>
      <c r="M15" s="1">
        <f t="shared" si="2"/>
        <v>6000</v>
      </c>
      <c r="N15" s="1">
        <f t="shared" si="3"/>
        <v>6000</v>
      </c>
      <c r="O15" s="1">
        <f t="shared" si="4"/>
        <v>6000</v>
      </c>
    </row>
    <row r="16">
      <c r="A16" s="3">
        <v>44249.48175568287</v>
      </c>
      <c r="B16" s="2" t="s">
        <v>33</v>
      </c>
      <c r="C16" s="2" t="s">
        <v>42</v>
      </c>
      <c r="D16" s="2" t="str">
        <f>IFERROR(VLOOKUP(C16, 'Справочник'!A15:B31, 2, FALSE), "Не найдено")</f>
        <v>Milano</v>
      </c>
      <c r="E16" s="4">
        <v>43575.0</v>
      </c>
      <c r="F16" s="4">
        <v>43579.0</v>
      </c>
      <c r="G16" s="2">
        <v>35000.0</v>
      </c>
      <c r="H16" s="2">
        <v>8000.0</v>
      </c>
      <c r="I16" s="2">
        <v>16000.0</v>
      </c>
      <c r="J16" s="2">
        <v>10000.0</v>
      </c>
      <c r="K16" s="2">
        <v>5.0</v>
      </c>
      <c r="L16" s="1">
        <f t="shared" si="1"/>
        <v>34000</v>
      </c>
      <c r="M16" s="1">
        <f t="shared" si="2"/>
        <v>-1000</v>
      </c>
      <c r="N16" s="1">
        <f t="shared" si="3"/>
        <v>1000</v>
      </c>
      <c r="O16" s="1">
        <f t="shared" si="4"/>
        <v>6800</v>
      </c>
    </row>
    <row r="17">
      <c r="A17" s="3">
        <v>44249.4823081713</v>
      </c>
      <c r="B17" s="2" t="s">
        <v>15</v>
      </c>
      <c r="C17" s="2" t="s">
        <v>43</v>
      </c>
      <c r="D17" s="2" t="str">
        <f>IFERROR(VLOOKUP(C17, 'Справочник'!A16:B32, 2, FALSE), "Не найдено")</f>
        <v>Düsseldorf</v>
      </c>
      <c r="E17" s="4">
        <v>43586.0</v>
      </c>
      <c r="F17" s="4">
        <v>43590.0</v>
      </c>
      <c r="G17" s="2">
        <v>30000.0</v>
      </c>
      <c r="H17" s="2">
        <v>20000.0</v>
      </c>
      <c r="I17" s="2">
        <v>12000.0</v>
      </c>
      <c r="J17" s="2">
        <v>6000.0</v>
      </c>
      <c r="K17" s="2">
        <v>3.0</v>
      </c>
      <c r="L17" s="1">
        <f t="shared" si="1"/>
        <v>38000</v>
      </c>
      <c r="M17" s="1">
        <f t="shared" si="2"/>
        <v>8000</v>
      </c>
      <c r="N17" s="1">
        <f t="shared" si="3"/>
        <v>8000</v>
      </c>
      <c r="O17" s="1">
        <f t="shared" si="4"/>
        <v>7600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1.86"/>
  </cols>
  <sheetData>
    <row r="1">
      <c r="A1" s="2" t="s">
        <v>44</v>
      </c>
      <c r="B1" s="2" t="s">
        <v>45</v>
      </c>
    </row>
    <row r="2">
      <c r="A2" s="1" t="str">
        <f>IFERROR(__xludf.DUMMYFUNCTION("UNIQUE('Ответы на форму (1)'!C2:C17)"),"Берлин")</f>
        <v>Берлин</v>
      </c>
      <c r="B2" s="2" t="s">
        <v>46</v>
      </c>
    </row>
    <row r="3">
      <c r="A3" s="1" t="str">
        <f>IFERROR(__xludf.DUMMYFUNCTION("""COMPUTED_VALUE"""),"Прага")</f>
        <v>Прага</v>
      </c>
      <c r="B3" s="2" t="s">
        <v>47</v>
      </c>
    </row>
    <row r="4">
      <c r="A4" s="1" t="str">
        <f>IFERROR(__xludf.DUMMYFUNCTION("""COMPUTED_VALUE"""),"Осло")</f>
        <v>Осло</v>
      </c>
      <c r="B4" s="2" t="s">
        <v>48</v>
      </c>
    </row>
    <row r="5">
      <c r="A5" s="1" t="str">
        <f>IFERROR(__xludf.DUMMYFUNCTION("""COMPUTED_VALUE"""),"Новисад")</f>
        <v>Новисад</v>
      </c>
      <c r="B5" s="2" t="s">
        <v>49</v>
      </c>
    </row>
    <row r="6">
      <c r="A6" s="1" t="str">
        <f>IFERROR(__xludf.DUMMYFUNCTION("""COMPUTED_VALUE"""),"Стамбул")</f>
        <v>Стамбул</v>
      </c>
      <c r="B6" s="2" t="s">
        <v>50</v>
      </c>
    </row>
    <row r="7">
      <c r="A7" s="1" t="str">
        <f>IFERROR(__xludf.DUMMYFUNCTION("""COMPUTED_VALUE"""),"Копенгаген")</f>
        <v>Копенгаген</v>
      </c>
      <c r="B7" s="2" t="s">
        <v>51</v>
      </c>
    </row>
    <row r="8">
      <c r="A8" s="1" t="str">
        <f>IFERROR(__xludf.DUMMYFUNCTION("""COMPUTED_VALUE"""),"Калининград")</f>
        <v>Калининград</v>
      </c>
      <c r="B8" s="2" t="s">
        <v>52</v>
      </c>
    </row>
    <row r="9">
      <c r="A9" s="1" t="str">
        <f>IFERROR(__xludf.DUMMYFUNCTION("""COMPUTED_VALUE"""),"Шанхай")</f>
        <v>Шанхай</v>
      </c>
      <c r="B9" s="2" t="s">
        <v>53</v>
      </c>
    </row>
    <row r="10">
      <c r="A10" s="1" t="str">
        <f>IFERROR(__xludf.DUMMYFUNCTION("""COMPUTED_VALUE"""),"Нью-Йорк")</f>
        <v>Нью-Йорк</v>
      </c>
      <c r="B10" s="2" t="s">
        <v>54</v>
      </c>
    </row>
    <row r="11">
      <c r="A11" s="1" t="str">
        <f>IFERROR(__xludf.DUMMYFUNCTION("""COMPUTED_VALUE"""),"Флоренция")</f>
        <v>Флоренция</v>
      </c>
      <c r="B11" s="2" t="s">
        <v>55</v>
      </c>
    </row>
    <row r="12">
      <c r="A12" s="1" t="str">
        <f>IFERROR(__xludf.DUMMYFUNCTION("""COMPUTED_VALUE"""),"Иркутск")</f>
        <v>Иркутск</v>
      </c>
      <c r="B12" s="2" t="s">
        <v>56</v>
      </c>
    </row>
    <row r="13">
      <c r="A13" s="1" t="str">
        <f>IFERROR(__xludf.DUMMYFUNCTION("""COMPUTED_VALUE"""),"Лиссабон")</f>
        <v>Лиссабон</v>
      </c>
      <c r="B13" s="2" t="s">
        <v>57</v>
      </c>
    </row>
    <row r="14">
      <c r="A14" s="1" t="str">
        <f>IFERROR(__xludf.DUMMYFUNCTION("""COMPUTED_VALUE"""),"Роттердам")</f>
        <v>Роттердам</v>
      </c>
      <c r="B14" s="2" t="s">
        <v>58</v>
      </c>
    </row>
    <row r="15">
      <c r="A15" s="1" t="str">
        <f>IFERROR(__xludf.DUMMYFUNCTION("""COMPUTED_VALUE"""),"Таллин")</f>
        <v>Таллин</v>
      </c>
      <c r="B15" s="2" t="s">
        <v>59</v>
      </c>
    </row>
    <row r="16">
      <c r="A16" s="1" t="str">
        <f>IFERROR(__xludf.DUMMYFUNCTION("""COMPUTED_VALUE"""),"Милан")</f>
        <v>Милан</v>
      </c>
      <c r="B16" s="2" t="s">
        <v>60</v>
      </c>
    </row>
    <row r="17">
      <c r="A17" s="1" t="str">
        <f>IFERROR(__xludf.DUMMYFUNCTION("""COMPUTED_VALUE"""),"Дюссельдорф")</f>
        <v>Дюссельдорф</v>
      </c>
      <c r="B17" s="2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G2" s="2" t="s">
        <v>62</v>
      </c>
      <c r="H2" s="5">
        <f>CORREL('Ответы на форму (1)'!O2:O17, 'Ответы на форму (1)'!K2:K17)</f>
        <v>0.3022509436</v>
      </c>
    </row>
    <row r="3">
      <c r="H3" s="2" t="s">
        <v>63</v>
      </c>
    </row>
    <row r="6">
      <c r="H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</cols>
  <sheetData>
    <row r="1">
      <c r="A1" s="7" t="s">
        <v>64</v>
      </c>
      <c r="B1" s="8">
        <v>0.0</v>
      </c>
      <c r="C1" s="7"/>
      <c r="D1" s="7"/>
      <c r="E1" s="7"/>
    </row>
    <row r="2">
      <c r="A2" s="7" t="s">
        <v>65</v>
      </c>
      <c r="B2" s="9" t="s">
        <v>66</v>
      </c>
      <c r="C2" s="7"/>
      <c r="D2" s="7"/>
      <c r="E2" s="7"/>
    </row>
    <row r="3">
      <c r="A3" s="7" t="s">
        <v>67</v>
      </c>
      <c r="B3" s="10">
        <v>0.05</v>
      </c>
      <c r="C3" s="7"/>
      <c r="D3" s="7"/>
      <c r="E3" s="7"/>
    </row>
    <row r="4">
      <c r="A4" s="7" t="s">
        <v>68</v>
      </c>
      <c r="B4" s="10">
        <f>COUNT('Ответы на форму (1)'!M:M)-1</f>
        <v>15</v>
      </c>
      <c r="C4" s="7"/>
      <c r="D4" s="7"/>
      <c r="E4" s="7"/>
    </row>
    <row r="5">
      <c r="A5" s="9" t="s">
        <v>69</v>
      </c>
      <c r="B5" s="10">
        <f>AVERAGE('Ответы на форму (1)'!N:N)</f>
        <v>5437.5</v>
      </c>
      <c r="C5" s="7"/>
      <c r="D5" s="7"/>
      <c r="E5" s="7"/>
    </row>
    <row r="6">
      <c r="A6" s="7" t="s">
        <v>70</v>
      </c>
      <c r="B6" s="11">
        <f>STDEV('Ответы на форму (1)'!N:N)</f>
        <v>6153.251173</v>
      </c>
      <c r="C6" s="7"/>
      <c r="D6" s="7"/>
      <c r="E6" s="7"/>
    </row>
    <row r="7">
      <c r="A7" s="7" t="s">
        <v>71</v>
      </c>
      <c r="B7" s="10">
        <f>COUNT('Ответы на форму (1)'!M:M)</f>
        <v>16</v>
      </c>
      <c r="C7" s="7"/>
      <c r="D7" s="7"/>
      <c r="E7" s="7"/>
    </row>
    <row r="8">
      <c r="A8" s="7" t="s">
        <v>72</v>
      </c>
      <c r="B8" s="11">
        <f>ABS((B5-B1)*SQRT(B7)/B6)</f>
        <v>3.534716752</v>
      </c>
      <c r="C8" s="7"/>
      <c r="D8" s="9" t="s">
        <v>73</v>
      </c>
      <c r="E8" s="11">
        <f>TDIST(B8, B4, 2)</f>
        <v>0.003001895531</v>
      </c>
    </row>
    <row r="9">
      <c r="A9" s="7" t="s">
        <v>74</v>
      </c>
      <c r="B9" s="11">
        <f>TINV(B3, B4)</f>
        <v>2.131449546</v>
      </c>
      <c r="C9" s="7"/>
      <c r="D9" s="11">
        <f>TINV(B3, 2)</f>
        <v>4.30265273</v>
      </c>
      <c r="E9" s="7"/>
    </row>
    <row r="10">
      <c r="A10" s="7"/>
      <c r="B10" s="7"/>
      <c r="C10" s="7"/>
      <c r="D10" s="7"/>
      <c r="E10" s="7"/>
    </row>
    <row r="11">
      <c r="A11" s="12" t="s">
        <v>75</v>
      </c>
      <c r="B11" s="7"/>
      <c r="C11" s="7"/>
      <c r="D11" s="7"/>
      <c r="E11" s="7"/>
    </row>
    <row r="14">
      <c r="A14" s="2" t="s">
        <v>76</v>
      </c>
    </row>
  </sheetData>
  <drawing r:id="rId1"/>
</worksheet>
</file>