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omments1.xml" ContentType="application/vnd.openxmlformats-officedocument.spreadsheetml.comment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4.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nvalero/Desktop/"/>
    </mc:Choice>
  </mc:AlternateContent>
  <xr:revisionPtr revIDLastSave="0" documentId="8_{C19195C1-79A7-7C48-8F5C-2E452D45A25B}" xr6:coauthVersionLast="47" xr6:coauthVersionMax="47" xr10:uidLastSave="{00000000-0000-0000-0000-000000000000}"/>
  <bookViews>
    <workbookView xWindow="51200" yWindow="-660" windowWidth="51200" windowHeight="28300" activeTab="2" xr2:uid="{00000000-000D-0000-FFFF-FFFF00000000}"/>
  </bookViews>
  <sheets>
    <sheet name="KPIs Dashboard Sales" sheetId="11" r:id="rId1"/>
    <sheet name="Sales_db" sheetId="1" r:id="rId2"/>
    <sheet name="Inventory_db" sheetId="2" r:id="rId3"/>
    <sheet name="Employees_db" sheetId="3" r:id="rId4"/>
    <sheet name="Total_sales_product" sheetId="5" r:id="rId5"/>
    <sheet name="1. Sales_analysis" sheetId="4" r:id="rId6"/>
    <sheet name="2.Inventory admin" sheetId="6" r:id="rId7"/>
    <sheet name="3. Employee performance" sheetId="7" r:id="rId8"/>
  </sheets>
  <definedNames>
    <definedName name="_xlnm._FilterDatabase" localSheetId="6" hidden="1">'2.Inventory admin'!$A$8:$E$57</definedName>
    <definedName name="best_employee">'3. Employee performance'!$E$24</definedName>
    <definedName name="day_highest_sales">'1. Sales_analysis'!$B$35</definedName>
    <definedName name="employee_highest_sales">'3. Employee performance'!$F$24</definedName>
    <definedName name="employee_selected">'KPIs Dashboard Sales'!$C$35</definedName>
    <definedName name="max_sales">'1. Sales_analysis'!$B$34</definedName>
    <definedName name="month_selected">'KPIs Dashboard Sales'!$H$35</definedName>
    <definedName name="total_sales">'1. Sales_analysis'!$B$38</definedName>
  </definedNames>
  <calcPr calcId="191028"/>
  <pivotCaches>
    <pivotCache cacheId="0" r:id="rId9"/>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6" i="7" l="1"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C19" i="4" a="1"/>
  <c r="C19" i="4" s="1"/>
  <c r="B52" i="7"/>
  <c r="B51" i="7"/>
  <c r="B50" i="7"/>
  <c r="B49" i="7"/>
  <c r="B48" i="7"/>
  <c r="B47" i="7"/>
  <c r="B46" i="7"/>
  <c r="B45" i="7"/>
  <c r="B44" i="7"/>
  <c r="B43" i="7"/>
  <c r="A39" i="7"/>
  <c r="B39" i="7"/>
  <c r="B19" i="4" a="1"/>
  <c r="B19" i="4" s="1"/>
  <c r="D57" i="7" l="1"/>
  <c r="C56" i="7"/>
  <c r="C60" i="7"/>
  <c r="D63" i="7"/>
  <c r="C67" i="7"/>
  <c r="D62" i="7"/>
  <c r="D61" i="7"/>
  <c r="D64" i="7"/>
  <c r="D60" i="7"/>
  <c r="C59" i="7"/>
  <c r="D59" i="7"/>
  <c r="C66" i="7"/>
  <c r="C58" i="7"/>
  <c r="C65" i="7"/>
  <c r="C57" i="7"/>
  <c r="C64" i="7"/>
  <c r="D56" i="7"/>
  <c r="C63" i="7"/>
  <c r="D67" i="7"/>
  <c r="C62" i="7"/>
  <c r="D66" i="7"/>
  <c r="D58" i="7"/>
  <c r="C61" i="7"/>
  <c r="D65" i="7"/>
  <c r="B68" i="7"/>
  <c r="D44" i="7"/>
  <c r="D48" i="7"/>
  <c r="D47" i="7"/>
  <c r="D46" i="7"/>
  <c r="D49" i="7"/>
  <c r="D45" i="7"/>
  <c r="C49" i="7"/>
  <c r="D51" i="7"/>
  <c r="C48" i="7"/>
  <c r="D50" i="7"/>
  <c r="C47" i="7"/>
  <c r="C46" i="7"/>
  <c r="C43" i="7"/>
  <c r="C45" i="7"/>
  <c r="C52" i="7"/>
  <c r="C44" i="7"/>
  <c r="C51" i="7"/>
  <c r="D43" i="7"/>
  <c r="C50" i="7"/>
  <c r="D52" i="7"/>
  <c r="C9" i="6" l="1" a="1"/>
  <c r="C9" i="6" s="1"/>
  <c r="B9" i="6" a="1"/>
  <c r="B9" i="6" s="1"/>
  <c r="A9" i="6" a="1"/>
  <c r="A9" i="6" s="1"/>
  <c r="B48" i="4"/>
  <c r="B49" i="4"/>
  <c r="B56" i="4"/>
  <c r="B57" i="4"/>
  <c r="B64" i="4"/>
  <c r="B65" i="4"/>
  <c r="B71" i="4"/>
  <c r="B72" i="4"/>
  <c r="B73" i="4"/>
  <c r="B79" i="4"/>
  <c r="B80" i="4"/>
  <c r="B81" i="4"/>
  <c r="B87" i="4"/>
  <c r="B88" i="4"/>
  <c r="B89" i="4"/>
  <c r="A44" i="4" a="1"/>
  <c r="A44" i="4" s="1"/>
  <c r="B44" i="4" s="1"/>
  <c r="B20" i="4" a="1"/>
  <c r="B20" i="4" s="1"/>
  <c r="G2" i="1"/>
  <c r="B28" i="7"/>
  <c r="C28" i="7" s="1"/>
  <c r="B25" i="7"/>
  <c r="C25" i="7" s="1"/>
  <c r="B30" i="7"/>
  <c r="C30" i="7" s="1"/>
  <c r="B24" i="7"/>
  <c r="C24" i="7" s="1"/>
  <c r="B26" i="7"/>
  <c r="C26" i="7" s="1"/>
  <c r="B32" i="7"/>
  <c r="C32" i="7" s="1"/>
  <c r="B31" i="7"/>
  <c r="C31" i="7" s="1"/>
  <c r="B27" i="7"/>
  <c r="C27" i="7" s="1"/>
  <c r="B29" i="7"/>
  <c r="C29" i="7" s="1"/>
  <c r="D14" i="7"/>
  <c r="D19" i="7"/>
  <c r="D17" i="7"/>
  <c r="D12" i="7"/>
  <c r="D11" i="7"/>
  <c r="D13" i="7"/>
  <c r="D15" i="7"/>
  <c r="D18" i="7"/>
  <c r="D16" i="7"/>
  <c r="D10" i="7"/>
  <c r="B28" i="4" a="1"/>
  <c r="B28" i="4" s="1"/>
  <c r="B25" i="4" a="1"/>
  <c r="B25" i="4" s="1"/>
  <c r="B21" i="4" a="1"/>
  <c r="B21" i="4" s="1"/>
  <c r="B22" i="4" a="1"/>
  <c r="B22" i="4" s="1"/>
  <c r="B23" i="4" a="1"/>
  <c r="B23" i="4" s="1"/>
  <c r="B24" i="4" a="1"/>
  <c r="B24" i="4" s="1"/>
  <c r="B26" i="4" a="1"/>
  <c r="B26" i="4" s="1"/>
  <c r="B27" i="4" a="1"/>
  <c r="B27" i="4" s="1"/>
  <c r="B29" i="4" a="1"/>
  <c r="B29" i="4" s="1"/>
  <c r="B30" i="4" a="1"/>
  <c r="B30" i="4" s="1"/>
  <c r="A4" i="4" a="1"/>
  <c r="A4" i="4" s="1"/>
  <c r="A2" i="3" a="1"/>
  <c r="A2" i="3"/>
  <c r="C2" i="3" s="1"/>
  <c r="G3" i="1"/>
  <c r="B38" i="4" s="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E9" i="6" l="1"/>
  <c r="B63" i="4"/>
  <c r="B55" i="4"/>
  <c r="B47" i="4"/>
  <c r="B86" i="4"/>
  <c r="B78" i="4"/>
  <c r="B70" i="4"/>
  <c r="B62" i="4"/>
  <c r="B54" i="4"/>
  <c r="B46" i="4"/>
  <c r="C9" i="11"/>
  <c r="B85" i="4"/>
  <c r="B77" i="4"/>
  <c r="B69" i="4"/>
  <c r="B61" i="4"/>
  <c r="B53" i="4"/>
  <c r="B45" i="4"/>
  <c r="G47" i="4" s="1"/>
  <c r="B84" i="4"/>
  <c r="B76" i="4"/>
  <c r="B68" i="4"/>
  <c r="B60" i="4"/>
  <c r="B52" i="4"/>
  <c r="B91" i="4"/>
  <c r="B83" i="4"/>
  <c r="B75" i="4"/>
  <c r="B67" i="4"/>
  <c r="B59" i="4"/>
  <c r="B51" i="4"/>
  <c r="B90" i="4"/>
  <c r="B82" i="4"/>
  <c r="B74" i="4"/>
  <c r="B66" i="4"/>
  <c r="B58" i="4"/>
  <c r="B50" i="4"/>
  <c r="B3" i="7"/>
  <c r="B4" i="7" s="1"/>
  <c r="B34" i="4"/>
  <c r="B33" i="7"/>
  <c r="C33" i="7" s="1"/>
  <c r="E24" i="7" s="1" a="1"/>
  <c r="E24" i="7" s="1"/>
  <c r="C13" i="11" s="1"/>
  <c r="B4" i="4"/>
  <c r="B35" i="4"/>
  <c r="E10" i="6"/>
  <c r="D10" i="6" s="1" a="1"/>
  <c r="D10" i="6" s="1"/>
  <c r="E11" i="6"/>
  <c r="D11" i="6" s="1" a="1"/>
  <c r="D11" i="6" s="1"/>
  <c r="E12" i="6"/>
  <c r="D12" i="6" s="1" a="1"/>
  <c r="D12" i="6" s="1"/>
  <c r="E13" i="6"/>
  <c r="D13" i="6" s="1" a="1"/>
  <c r="D13" i="6" s="1"/>
  <c r="E14" i="6"/>
  <c r="D14" i="6" s="1" a="1"/>
  <c r="D14" i="6" s="1"/>
  <c r="E15" i="6"/>
  <c r="D15" i="6" s="1" a="1"/>
  <c r="D15" i="6" s="1"/>
  <c r="E16" i="6"/>
  <c r="D16" i="6" s="1" a="1"/>
  <c r="D16" i="6" s="1"/>
  <c r="E17" i="6"/>
  <c r="D17" i="6" s="1" a="1"/>
  <c r="D17" i="6" s="1"/>
  <c r="E18" i="6"/>
  <c r="D18" i="6" s="1" a="1"/>
  <c r="D18" i="6" s="1"/>
  <c r="E19" i="6"/>
  <c r="D19" i="6" s="1" a="1"/>
  <c r="D19" i="6" s="1"/>
  <c r="E20" i="6"/>
  <c r="D20" i="6" s="1" a="1"/>
  <c r="D20" i="6" s="1"/>
  <c r="E21" i="6"/>
  <c r="D21" i="6" s="1" a="1"/>
  <c r="D21" i="6" s="1"/>
  <c r="E22" i="6"/>
  <c r="D22" i="6" s="1" a="1"/>
  <c r="D22" i="6" s="1"/>
  <c r="E23" i="6"/>
  <c r="D23" i="6" s="1" a="1"/>
  <c r="D23" i="6" s="1"/>
  <c r="E24" i="6"/>
  <c r="D24" i="6" s="1" a="1"/>
  <c r="D24" i="6" s="1"/>
  <c r="E25" i="6"/>
  <c r="D25" i="6" s="1" a="1"/>
  <c r="D25" i="6" s="1"/>
  <c r="E26" i="6"/>
  <c r="D26" i="6" s="1" a="1"/>
  <c r="D26" i="6" s="1"/>
  <c r="E27" i="6"/>
  <c r="D27" i="6" s="1" a="1"/>
  <c r="D27" i="6" s="1"/>
  <c r="E28" i="6"/>
  <c r="D28" i="6" s="1" a="1"/>
  <c r="D28" i="6" s="1"/>
  <c r="E29" i="6"/>
  <c r="D29" i="6" s="1" a="1"/>
  <c r="D29" i="6" s="1"/>
  <c r="E30" i="6"/>
  <c r="D30" i="6" s="1" a="1"/>
  <c r="D30" i="6" s="1"/>
  <c r="E31" i="6"/>
  <c r="D31" i="6" s="1" a="1"/>
  <c r="D31" i="6" s="1"/>
  <c r="E32" i="6"/>
  <c r="D32" i="6" s="1" a="1"/>
  <c r="D32" i="6" s="1"/>
  <c r="E33" i="6"/>
  <c r="D33" i="6" s="1" a="1"/>
  <c r="D33" i="6" s="1"/>
  <c r="E34" i="6"/>
  <c r="D34" i="6" s="1" a="1"/>
  <c r="D34" i="6" s="1"/>
  <c r="E35" i="6"/>
  <c r="D35" i="6" s="1" a="1"/>
  <c r="D35" i="6" s="1"/>
  <c r="E36" i="6"/>
  <c r="D36" i="6" s="1" a="1"/>
  <c r="D36" i="6" s="1"/>
  <c r="E37" i="6"/>
  <c r="D37" i="6" s="1" a="1"/>
  <c r="D37" i="6" s="1"/>
  <c r="E38" i="6"/>
  <c r="D38" i="6" s="1" a="1"/>
  <c r="D38" i="6" s="1"/>
  <c r="E39" i="6"/>
  <c r="D39" i="6" s="1" a="1"/>
  <c r="D39" i="6" s="1"/>
  <c r="E40" i="6"/>
  <c r="D40" i="6" s="1" a="1"/>
  <c r="D40" i="6" s="1"/>
  <c r="E41" i="6"/>
  <c r="D41" i="6" s="1" a="1"/>
  <c r="D41" i="6" s="1"/>
  <c r="E42" i="6"/>
  <c r="D42" i="6" s="1" a="1"/>
  <c r="D42" i="6" s="1"/>
  <c r="E43" i="6"/>
  <c r="D43" i="6" s="1" a="1"/>
  <c r="D43" i="6" s="1"/>
  <c r="E44" i="6"/>
  <c r="D44" i="6" s="1" a="1"/>
  <c r="D44" i="6" s="1"/>
  <c r="E45" i="6"/>
  <c r="D45" i="6" s="1" a="1"/>
  <c r="D45" i="6" s="1"/>
  <c r="E46" i="6"/>
  <c r="D46" i="6" s="1" a="1"/>
  <c r="D46" i="6" s="1"/>
  <c r="E47" i="6"/>
  <c r="D47" i="6" s="1" a="1"/>
  <c r="D47" i="6" s="1"/>
  <c r="E48" i="6"/>
  <c r="D48" i="6" s="1" a="1"/>
  <c r="D48" i="6" s="1"/>
  <c r="E49" i="6"/>
  <c r="D49" i="6" s="1" a="1"/>
  <c r="D49" i="6" s="1"/>
  <c r="E50" i="6"/>
  <c r="D50" i="6" s="1" a="1"/>
  <c r="D50" i="6" s="1"/>
  <c r="E51" i="6"/>
  <c r="D51" i="6" s="1" a="1"/>
  <c r="D51" i="6" s="1"/>
  <c r="E52" i="6"/>
  <c r="D52" i="6" s="1" a="1"/>
  <c r="D52" i="6" s="1"/>
  <c r="E53" i="6"/>
  <c r="D53" i="6" s="1" a="1"/>
  <c r="D53" i="6" s="1"/>
  <c r="E54" i="6"/>
  <c r="D54" i="6" s="1" a="1"/>
  <c r="D54" i="6" s="1"/>
  <c r="E55" i="6"/>
  <c r="D55" i="6" s="1" a="1"/>
  <c r="D55" i="6" s="1"/>
  <c r="E56" i="6"/>
  <c r="D56" i="6" s="1" a="1"/>
  <c r="D56" i="6" s="1"/>
  <c r="E57" i="6"/>
  <c r="D57" i="6" s="1" a="1"/>
  <c r="D57" i="6" s="1"/>
  <c r="D19" i="4" a="1"/>
  <c r="D19" i="4" s="1"/>
  <c r="C20" i="4" a="1"/>
  <c r="C20" i="4" s="1"/>
  <c r="D20" i="4" s="1" a="1"/>
  <c r="D20" i="4" s="1"/>
  <c r="C21" i="4" a="1"/>
  <c r="C21" i="4" s="1"/>
  <c r="D21" i="4" s="1" a="1"/>
  <c r="D21" i="4" s="1"/>
  <c r="C22" i="4" a="1"/>
  <c r="C22" i="4" s="1"/>
  <c r="D22" i="4" s="1" a="1"/>
  <c r="D22" i="4" s="1"/>
  <c r="C23" i="4" a="1"/>
  <c r="C23" i="4" s="1"/>
  <c r="D23" i="4" s="1" a="1"/>
  <c r="D23" i="4" s="1"/>
  <c r="C24" i="4" a="1"/>
  <c r="C24" i="4" s="1"/>
  <c r="D24" i="4" s="1" a="1"/>
  <c r="D24" i="4" s="1"/>
  <c r="C25" i="4" a="1"/>
  <c r="C25" i="4" s="1"/>
  <c r="D25" i="4" s="1" a="1"/>
  <c r="D25" i="4" s="1"/>
  <c r="C26" i="4" a="1"/>
  <c r="C26" i="4" s="1"/>
  <c r="D26" i="4" s="1" a="1"/>
  <c r="D26" i="4" s="1"/>
  <c r="C27" i="4" a="1"/>
  <c r="C27" i="4" s="1"/>
  <c r="D27" i="4" s="1" a="1"/>
  <c r="D27" i="4" s="1"/>
  <c r="C28" i="4" a="1"/>
  <c r="C28" i="4" s="1"/>
  <c r="D28" i="4" s="1" a="1"/>
  <c r="D28" i="4" s="1"/>
  <c r="C29" i="4" a="1"/>
  <c r="C29" i="4" s="1"/>
  <c r="D29" i="4" s="1" a="1"/>
  <c r="D29" i="4" s="1"/>
  <c r="C30" i="4" a="1"/>
  <c r="C30" i="4" s="1"/>
  <c r="D30" i="4" s="1" a="1"/>
  <c r="D30" i="4" s="1"/>
  <c r="C3" i="3"/>
  <c r="C4" i="3"/>
  <c r="C5" i="3"/>
  <c r="C6" i="3"/>
  <c r="C7" i="3"/>
  <c r="C8" i="3"/>
  <c r="C9" i="3"/>
  <c r="C10" i="3"/>
  <c r="C11" i="3"/>
  <c r="B5" i="4"/>
  <c r="B6" i="4"/>
  <c r="B7" i="4"/>
  <c r="B8" i="4"/>
  <c r="B9" i="4"/>
  <c r="B10" i="4"/>
  <c r="B11" i="4"/>
  <c r="B12" i="4"/>
  <c r="B13" i="4"/>
  <c r="E19" i="4" l="1"/>
  <c r="F19" i="4"/>
  <c r="B64" i="6"/>
  <c r="B65" i="6"/>
  <c r="B63" i="6"/>
  <c r="B62" i="6"/>
  <c r="F9" i="11"/>
  <c r="I9" i="11"/>
  <c r="D44" i="4" a="1"/>
  <c r="D44" i="4" s="1"/>
  <c r="F29" i="4"/>
  <c r="E29" i="4"/>
  <c r="F21" i="4"/>
  <c r="E21" i="4"/>
  <c r="F20" i="4"/>
  <c r="E20" i="4"/>
  <c r="F27" i="4"/>
  <c r="E27" i="4"/>
  <c r="F30" i="4"/>
  <c r="E30" i="4"/>
  <c r="E26" i="4"/>
  <c r="F26" i="4"/>
  <c r="F28" i="4"/>
  <c r="E28" i="4"/>
  <c r="B14" i="4"/>
  <c r="E25" i="4"/>
  <c r="F25" i="4"/>
  <c r="E24" i="4"/>
  <c r="F24" i="4"/>
  <c r="E23" i="4"/>
  <c r="F23" i="4"/>
  <c r="F22" i="4"/>
  <c r="E22" i="4"/>
  <c r="G4" i="4" a="1"/>
  <c r="G4" i="4" s="1"/>
  <c r="D9" i="6" a="1"/>
  <c r="D9" i="6" s="1"/>
  <c r="D58" i="6" s="1"/>
  <c r="K68" i="11" s="1"/>
  <c r="E65" i="6" l="1"/>
  <c r="K63" i="11" s="1"/>
  <c r="B66" i="6"/>
  <c r="C63" i="6" s="1"/>
  <c r="E62" i="6" s="1"/>
  <c r="K55" i="11" s="1"/>
  <c r="G9" i="6" a="1"/>
  <c r="G9" i="6" s="1"/>
  <c r="M11" i="6" a="1"/>
  <c r="M11" i="6" s="1"/>
  <c r="J5" i="4"/>
  <c r="I9" i="4"/>
  <c r="J11" i="4"/>
  <c r="I4" i="4"/>
  <c r="J12" i="4"/>
  <c r="I12" i="4"/>
  <c r="J8" i="4"/>
  <c r="J4" i="4"/>
  <c r="I8" i="4"/>
  <c r="J10" i="4"/>
  <c r="J9" i="4"/>
  <c r="I10" i="4"/>
  <c r="I6" i="4"/>
  <c r="I13" i="4"/>
  <c r="J6" i="4"/>
  <c r="I5" i="4"/>
  <c r="I11" i="4"/>
  <c r="J7" i="4"/>
  <c r="J13" i="4"/>
  <c r="I7" i="4"/>
  <c r="C62" i="6" l="1"/>
  <c r="C64" i="6"/>
  <c r="F62" i="6" s="1"/>
  <c r="K59" i="11" s="1"/>
  <c r="F13" i="11"/>
  <c r="C65" i="6"/>
  <c r="I13"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Natalia Valero</author>
  </authors>
  <commentList>
    <comment ref="B17" authorId="0" shapeId="0" xr:uid="{BFE16606-DD5E-E646-9C12-24989D327BC4}">
      <text>
        <r>
          <rPr>
            <b/>
            <sz val="10"/>
            <color rgb="FF000000"/>
            <rFont val="Tahoma"/>
            <family val="2"/>
          </rPr>
          <t>Natalia Valero:</t>
        </r>
        <r>
          <rPr>
            <sz val="10"/>
            <color rgb="FF000000"/>
            <rFont val="Tahoma"/>
            <family val="2"/>
          </rPr>
          <t xml:space="preserve">
</t>
        </r>
        <r>
          <rPr>
            <b/>
            <sz val="10"/>
            <color rgb="FF000000"/>
            <rFont val="Aptos Narrow"/>
            <scheme val="minor"/>
          </rPr>
          <t>=SUMPRODUCT((TEXT(sales[date], "mmm")=A19)*(sales[quantity]))</t>
        </r>
        <r>
          <rPr>
            <sz val="10"/>
            <color rgb="FF000000"/>
            <rFont val="Aptos Narrow"/>
            <scheme val="minor"/>
          </rPr>
          <t xml:space="preserve">
</t>
        </r>
        <r>
          <rPr>
            <b/>
            <sz val="10"/>
            <color rgb="FF000000"/>
            <rFont val="Aptos Narrow"/>
            <scheme val="minor"/>
          </rPr>
          <t>TEXT(sales[date], "mmm")</t>
        </r>
        <r>
          <rPr>
            <sz val="10"/>
            <color rgb="FF000000"/>
            <rFont val="Aptos Narrow"/>
            <scheme val="minor"/>
          </rPr>
          <t xml:space="preserve">: Aquí, la función </t>
        </r>
        <r>
          <rPr>
            <b/>
            <sz val="10"/>
            <color rgb="FF000000"/>
            <rFont val="Aptos Narrow"/>
            <scheme val="minor"/>
          </rPr>
          <t>TEXT</t>
        </r>
        <r>
          <rPr>
            <sz val="10"/>
            <color rgb="FF000000"/>
            <rFont val="Aptos Narrow"/>
            <scheme val="minor"/>
          </rPr>
          <t xml:space="preserve"> toma la columna sales[date] (que debe ser una fecha) y la convierte al formato de tres letras del mes (por ejemplo, "Jan" para enero, "Feb" para febrero, etc.). Así, si tienes una fecha como "2025-01-15", esta fórmula la convertirá en "Jan".
</t>
        </r>
        <r>
          <rPr>
            <b/>
            <sz val="10"/>
            <color rgb="FF000000"/>
            <rFont val="Aptos Narrow"/>
            <scheme val="minor"/>
          </rPr>
          <t>(TEXT(sales[date], "mmm")=A19)</t>
        </r>
        <r>
          <rPr>
            <sz val="10"/>
            <color rgb="FF000000"/>
            <rFont val="Aptos Narrow"/>
            <scheme val="minor"/>
          </rPr>
          <t xml:space="preserve">: Esto compara el valor del mes (en formato de tres letras) con el valor en la celda A19. Si el mes de la fecha es igual a lo que aparece en A19, el resultado será </t>
        </r>
        <r>
          <rPr>
            <b/>
            <sz val="10"/>
            <color rgb="FF000000"/>
            <rFont val="Aptos Narrow"/>
            <scheme val="minor"/>
          </rPr>
          <t>TRUE</t>
        </r>
        <r>
          <rPr>
            <sz val="10"/>
            <color rgb="FF000000"/>
            <rFont val="Aptos Narrow"/>
            <scheme val="minor"/>
          </rPr>
          <t xml:space="preserve"> (verdadero), y si no es igual, será </t>
        </r>
        <r>
          <rPr>
            <b/>
            <sz val="10"/>
            <color rgb="FF000000"/>
            <rFont val="Aptos Narrow"/>
            <scheme val="minor"/>
          </rPr>
          <t>FALSE</t>
        </r>
        <r>
          <rPr>
            <sz val="10"/>
            <color rgb="FF000000"/>
            <rFont val="Aptos Narrow"/>
            <scheme val="minor"/>
          </rPr>
          <t xml:space="preserve"> (falso).
</t>
        </r>
        <r>
          <rPr>
            <b/>
            <sz val="10"/>
            <color rgb="FF000000"/>
            <rFont val="Aptos Narrow"/>
            <scheme val="minor"/>
          </rPr>
          <t>sales[quantity]</t>
        </r>
        <r>
          <rPr>
            <sz val="10"/>
            <color rgb="FF000000"/>
            <rFont val="Aptos Narrow"/>
            <scheme val="minor"/>
          </rPr>
          <t xml:space="preserve">: Esta parte se refiere a la columna sales[quantity], que debe contener las cantidades de ventas.
</t>
        </r>
        <r>
          <rPr>
            <b/>
            <sz val="10"/>
            <color rgb="FF000000"/>
            <rFont val="Aptos Narrow"/>
            <scheme val="minor"/>
          </rPr>
          <t>(TEXT(sales[date], "mmm")=A19)*(sales[quantity])</t>
        </r>
        <r>
          <rPr>
            <sz val="10"/>
            <color rgb="FF000000"/>
            <rFont val="Aptos Narrow"/>
            <scheme val="minor"/>
          </rPr>
          <t xml:space="preserve">: Aquí se multiplican los resultados de la comparación (TRUE o FALSE) por las cantidades de ventas. En Excel, </t>
        </r>
        <r>
          <rPr>
            <b/>
            <sz val="10"/>
            <color rgb="FF000000"/>
            <rFont val="Aptos Narrow"/>
            <scheme val="minor"/>
          </rPr>
          <t>TRUE</t>
        </r>
        <r>
          <rPr>
            <sz val="10"/>
            <color rgb="FF000000"/>
            <rFont val="Aptos Narrow"/>
            <scheme val="minor"/>
          </rPr>
          <t xml:space="preserve"> se interpreta como 1 y </t>
        </r>
        <r>
          <rPr>
            <b/>
            <sz val="10"/>
            <color rgb="FF000000"/>
            <rFont val="Aptos Narrow"/>
            <scheme val="minor"/>
          </rPr>
          <t>FALSE</t>
        </r>
        <r>
          <rPr>
            <sz val="10"/>
            <color rgb="FF000000"/>
            <rFont val="Aptos Narrow"/>
            <scheme val="minor"/>
          </rPr>
          <t xml:space="preserve"> como 0. Esto significa que, si la condición se cumple (mes coincidente), se multiplicará por el valor de la cantidad; si no, será multiplicado por 0.
</t>
        </r>
        <r>
          <rPr>
            <b/>
            <sz val="10"/>
            <color rgb="FF000000"/>
            <rFont val="Aptos Narrow"/>
            <scheme val="minor"/>
          </rPr>
          <t>SUMPRODUCT(...)</t>
        </r>
        <r>
          <rPr>
            <sz val="10"/>
            <color rgb="FF000000"/>
            <rFont val="Aptos Narrow"/>
            <scheme val="minor"/>
          </rPr>
          <t xml:space="preserve">: Finalmente, la función </t>
        </r>
        <r>
          <rPr>
            <b/>
            <sz val="10"/>
            <color rgb="FF000000"/>
            <rFont val="Aptos Narrow"/>
            <scheme val="minor"/>
          </rPr>
          <t>SUMPRODUCT</t>
        </r>
        <r>
          <rPr>
            <sz val="10"/>
            <color rgb="FF000000"/>
            <rFont val="Aptos Narrow"/>
            <scheme val="minor"/>
          </rPr>
          <t xml:space="preserve"> suma todos los productos obtenidos en el paso anterior. Esto da como resultado la suma total de las cantidades de ventas solo para el mes que coincide con el valor de A19.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<sst xmlns="http://schemas.openxmlformats.org/spreadsheetml/2006/main" count="790" uniqueCount="203">
  <si>
    <r>
      <t xml:space="preserve">1️⃣ </t>
    </r>
    <r>
      <rPr>
        <b/>
        <sz val="11"/>
        <color theme="1"/>
        <rFont val="Aptos Narrow"/>
        <family val="2"/>
        <scheme val="minor"/>
      </rPr>
      <t>Total de ventas por producto</t>
    </r>
    <r>
      <rPr>
        <sz val="11"/>
        <color theme="1"/>
        <rFont val="Aptos Narrow"/>
        <family val="2"/>
        <scheme val="minor"/>
      </rPr>
      <t>: Usa una tabla dinámica para sumar las ventas por producto.</t>
    </r>
  </si>
  <si>
    <t>product_name</t>
  </si>
  <si>
    <t>Sum of quantity</t>
  </si>
  <si>
    <t>Sum of total</t>
  </si>
  <si>
    <t>Cámara Canon EOS</t>
  </si>
  <si>
    <t>Laptop HP Spectre</t>
  </si>
  <si>
    <t>Laptop Dell XPS</t>
  </si>
  <si>
    <t>Xbox Series X</t>
  </si>
  <si>
    <t>PlayStation 5</t>
  </si>
  <si>
    <t>Samsung Galaxy S23</t>
  </si>
  <si>
    <t>Monitor Dell 27"</t>
  </si>
  <si>
    <t>Reloj Apple Watch</t>
  </si>
  <si>
    <t>Smart TV LG 55"</t>
  </si>
  <si>
    <t>Refrigerador Samsung</t>
  </si>
  <si>
    <t>iPhone 15 Pro</t>
  </si>
  <si>
    <t>Sofá de Cuero</t>
  </si>
  <si>
    <t>Secadora Whirlpool</t>
  </si>
  <si>
    <t>Bicicleta Montaña</t>
  </si>
  <si>
    <t>Cama Queen Size</t>
  </si>
  <si>
    <t>Escritorio Ejecutivo</t>
  </si>
  <si>
    <t>Aspiradora Dyson</t>
  </si>
  <si>
    <t>Trotadora NordicTrack</t>
  </si>
  <si>
    <t>Lavadora Whirlpool</t>
  </si>
  <si>
    <t>Maleta Samsonite</t>
  </si>
  <si>
    <t>AirPods Pro</t>
  </si>
  <si>
    <t>Bocinas JBL</t>
  </si>
  <si>
    <t>Teclado Mecánico Razer</t>
  </si>
  <si>
    <t>Cafetera Nespresso</t>
  </si>
  <si>
    <t>Mouse Logitech MX</t>
  </si>
  <si>
    <t>Microondas LG</t>
  </si>
  <si>
    <t>Lentes de Sol RayBan</t>
  </si>
  <si>
    <t>Silla Gamer Corsair</t>
  </si>
  <si>
    <t>Bolígrafo Montblanc</t>
  </si>
  <si>
    <t>Purificador de Aire</t>
  </si>
  <si>
    <t>Barra Olímpica</t>
  </si>
  <si>
    <t>Licuadora Ninja</t>
  </si>
  <si>
    <t>Chaqueta North Face</t>
  </si>
  <si>
    <t>Tenis Nike Air Max</t>
  </si>
  <si>
    <t>Mancuernas 20kg</t>
  </si>
  <si>
    <t>Cinturón Cuero Hugo Boss</t>
  </si>
  <si>
    <t>Pantalón Levi's 501</t>
  </si>
  <si>
    <t>Reloj Casio Vintage</t>
  </si>
  <si>
    <t>Guantes de Cuero</t>
  </si>
  <si>
    <t>Almohada Memory Foam</t>
  </si>
  <si>
    <t>Perfume Dior Sauvage</t>
  </si>
  <si>
    <t>Mochila Adidas</t>
  </si>
  <si>
    <t>Protector Solar La Roche</t>
  </si>
  <si>
    <t>Shampoo Redken</t>
  </si>
  <si>
    <t>Botas Timberland</t>
  </si>
  <si>
    <t>Patines Rollerblade</t>
  </si>
  <si>
    <t>Maquillaje MAC</t>
  </si>
  <si>
    <t>Crema Hidratante CeraVe</t>
  </si>
  <si>
    <t>Grand Total</t>
  </si>
  <si>
    <t>product_id</t>
  </si>
  <si>
    <t>date</t>
  </si>
  <si>
    <t>category</t>
  </si>
  <si>
    <t>price_unit</t>
  </si>
  <si>
    <t>quantity</t>
  </si>
  <si>
    <t>total</t>
  </si>
  <si>
    <t>employee</t>
  </si>
  <si>
    <t>platform</t>
  </si>
  <si>
    <t>Electrónica</t>
  </si>
  <si>
    <t>Juan Pérez</t>
  </si>
  <si>
    <t>store</t>
  </si>
  <si>
    <t>Ana López</t>
  </si>
  <si>
    <t>online</t>
  </si>
  <si>
    <t>Carlos Ruiz</t>
  </si>
  <si>
    <t>María Fernández</t>
  </si>
  <si>
    <t>Luis Gómez</t>
  </si>
  <si>
    <t>Sofía Ramírez</t>
  </si>
  <si>
    <t>Andrés Torres</t>
  </si>
  <si>
    <t>Patricia Herrera</t>
  </si>
  <si>
    <t>Diego Castro</t>
  </si>
  <si>
    <t>Muebles</t>
  </si>
  <si>
    <t>Elena Morales</t>
  </si>
  <si>
    <t>Electrodomésticos</t>
  </si>
  <si>
    <t>Deportes</t>
  </si>
  <si>
    <t>Ropa/Calzado</t>
  </si>
  <si>
    <t>Belleza</t>
  </si>
  <si>
    <t>Accesorios</t>
  </si>
  <si>
    <t>current_stock</t>
  </si>
  <si>
    <t>minimum_stock</t>
  </si>
  <si>
    <t>Corrector MAC</t>
  </si>
  <si>
    <t>employee_name</t>
  </si>
  <si>
    <t>hours_worked</t>
  </si>
  <si>
    <t>quantity_sales</t>
  </si>
  <si>
    <r>
      <rPr>
        <b/>
        <sz val="14"/>
        <color rgb="FF000000"/>
        <rFont val="Aptos Narrow"/>
        <scheme val="minor"/>
      </rPr>
      <t>2️⃣  Ingreso total por empleado</t>
    </r>
    <r>
      <rPr>
        <sz val="14"/>
        <color rgb="FF000000"/>
        <rFont val="Aptos Narrow"/>
        <scheme val="minor"/>
      </rPr>
      <t>: Usa una función de búsqueda (XLOOKUP, SUMIF) para calcular cuánto ha vendido cada empleado.</t>
    </r>
  </si>
  <si>
    <t>Sorted by total sales</t>
  </si>
  <si>
    <t>Employee</t>
  </si>
  <si>
    <t>Total sales SUMIF</t>
  </si>
  <si>
    <t>TOTAL</t>
  </si>
  <si>
    <r>
      <rPr>
        <b/>
        <sz val="14"/>
        <color rgb="FF000000"/>
        <rFont val="Aptos Narrow"/>
        <scheme val="minor"/>
      </rPr>
      <t xml:space="preserve">3️⃣ </t>
    </r>
    <r>
      <rPr>
        <b/>
        <sz val="11"/>
        <color rgb="FF000000"/>
        <rFont val="Aptos Narrow"/>
        <scheme val="minor"/>
      </rPr>
      <t>Promedio de ventas mensuales</t>
    </r>
    <r>
      <rPr>
        <sz val="11"/>
        <color rgb="FF000000"/>
        <rFont val="Aptos Narrow"/>
        <scheme val="minor"/>
      </rPr>
      <t>: Usa funciones estadísticas como AVERAGE y MEDIAN.</t>
    </r>
  </si>
  <si>
    <t>Month</t>
  </si>
  <si>
    <t>Quantity</t>
  </si>
  <si>
    <t>Total</t>
  </si>
  <si>
    <t xml:space="preserve">Average </t>
  </si>
  <si>
    <t>Jan</t>
  </si>
  <si>
    <t>Feb</t>
  </si>
  <si>
    <t>Mar</t>
  </si>
  <si>
    <t>Apr</t>
  </si>
  <si>
    <t>May</t>
  </si>
  <si>
    <t>Jun</t>
  </si>
  <si>
    <t>Jul</t>
  </si>
  <si>
    <t>Aug</t>
  </si>
  <si>
    <t>Sep</t>
  </si>
  <si>
    <t>Oct</t>
  </si>
  <si>
    <t>Nov</t>
  </si>
  <si>
    <t>Dec</t>
  </si>
  <si>
    <r>
      <t xml:space="preserve">4️⃣ </t>
    </r>
    <r>
      <rPr>
        <b/>
        <sz val="11"/>
        <color theme="1"/>
        <rFont val="Aptos Narrow"/>
        <family val="2"/>
        <scheme val="minor"/>
      </rPr>
      <t>Día con más ventas</t>
    </r>
    <r>
      <rPr>
        <sz val="11"/>
        <color theme="1"/>
        <rFont val="Aptos Narrow"/>
        <family val="2"/>
        <scheme val="minor"/>
      </rPr>
      <t>: Usa MAX y MATCH para encontrar la fecha con el mayor ingreso.</t>
    </r>
  </si>
  <si>
    <t>Find max value sale (MAX)</t>
  </si>
  <si>
    <t>MAX(sales[total])</t>
  </si>
  <si>
    <t>Find date (INDEX, MATCH)</t>
  </si>
  <si>
    <r>
      <t>INDEX(sales[date], MATCH(</t>
    </r>
    <r>
      <rPr>
        <sz val="11"/>
        <color rgb="FF006CBE"/>
        <rFont val="Consolas"/>
        <family val="2"/>
      </rPr>
      <t>B34</t>
    </r>
    <r>
      <rPr>
        <sz val="11"/>
        <color rgb="FF000000"/>
        <rFont val="Consolas"/>
        <family val="2"/>
      </rPr>
      <t>, sales[total],0))</t>
    </r>
  </si>
  <si>
    <r>
      <rPr>
        <sz val="11"/>
        <color rgb="FF000000"/>
        <rFont val="Apple Color Emoji"/>
      </rPr>
      <t>5️⃣</t>
    </r>
    <r>
      <rPr>
        <sz val="11"/>
        <color rgb="FF000000"/>
        <rFont val="Aptos Narrow"/>
        <scheme val="minor"/>
      </rPr>
      <t xml:space="preserve"> </t>
    </r>
    <r>
      <rPr>
        <b/>
        <sz val="11"/>
        <color rgb="FF000000"/>
        <rFont val="Aptos Narrow"/>
        <scheme val="minor"/>
      </rPr>
      <t>Productos con bajo stock</t>
    </r>
    <r>
      <rPr>
        <sz val="11"/>
        <color rgb="FF000000"/>
        <rFont val="Aptos Narrow"/>
        <scheme val="minor"/>
      </rPr>
      <t>: Usa una función lógica (IF, COUNTIF) para identificar qué productos tienen stock menor al mínimo.</t>
    </r>
  </si>
  <si>
    <t>Condition</t>
  </si>
  <si>
    <t>Stock Ratio</t>
  </si>
  <si>
    <t>Status</t>
  </si>
  <si>
    <t>Quantity to re-stock</t>
  </si>
  <si>
    <t>current_stock &gt; minimum_stock * 1.5</t>
  </si>
  <si>
    <r>
      <t xml:space="preserve">✅ </t>
    </r>
    <r>
      <rPr>
        <b/>
        <sz val="11"/>
        <color theme="1"/>
        <rFont val="Aptos Narrow"/>
        <family val="2"/>
        <scheme val="minor"/>
      </rPr>
      <t>Overstocked</t>
    </r>
  </si>
  <si>
    <t>No need</t>
  </si>
  <si>
    <t>current_stock ≥ minimum_stock</t>
  </si>
  <si>
    <r>
      <t xml:space="preserve">🟢 </t>
    </r>
    <r>
      <rPr>
        <b/>
        <sz val="11"/>
        <color theme="1"/>
        <rFont val="Aptos Narrow"/>
        <family val="2"/>
        <scheme val="minor"/>
      </rPr>
      <t>Optimal Stock</t>
    </r>
  </si>
  <si>
    <t>current_stock &lt; minimum_stock</t>
  </si>
  <si>
    <r>
      <t xml:space="preserve">🟡 </t>
    </r>
    <r>
      <rPr>
        <b/>
        <sz val="11"/>
        <color theme="1"/>
        <rFont val="Aptos Narrow"/>
        <family val="2"/>
        <scheme val="minor"/>
      </rPr>
      <t>Low Stock</t>
    </r>
  </si>
  <si>
    <t>minimum_stock - current_stock</t>
  </si>
  <si>
    <t>DATA VALIDATION &amp; FILTER</t>
  </si>
  <si>
    <t>current_stock = 0</t>
  </si>
  <si>
    <r>
      <t xml:space="preserve">🔴 </t>
    </r>
    <r>
      <rPr>
        <b/>
        <sz val="11"/>
        <color theme="1"/>
        <rFont val="Aptos Narrow"/>
        <family val="2"/>
        <scheme val="minor"/>
      </rPr>
      <t>Out of Stock</t>
    </r>
  </si>
  <si>
    <t xml:space="preserve">minimum_stock </t>
  </si>
  <si>
    <t>XLOOKUP</t>
  </si>
  <si>
    <t xml:space="preserve"> </t>
  </si>
  <si>
    <r>
      <t>8️⃣</t>
    </r>
    <r>
      <rPr>
        <sz val="11"/>
        <color theme="1"/>
        <rFont val="Aptos Narrow"/>
        <family val="2"/>
        <scheme val="minor"/>
      </rPr>
      <t xml:space="preserve"> </t>
    </r>
    <r>
      <rPr>
        <sz val="11"/>
        <color theme="1"/>
        <rFont val="Aptos Narrow"/>
        <family val="2"/>
        <scheme val="minor"/>
      </rPr>
      <t>Empleado con más ventas</t>
    </r>
    <r>
      <rPr>
        <sz val="11"/>
        <color theme="1"/>
        <rFont val="Aptos Narrow"/>
        <family val="2"/>
        <scheme val="minor"/>
      </rPr>
      <t>: Usa MAX y un índice para encontrar quién ha vendido más.</t>
    </r>
  </si>
  <si>
    <t>Find MAX sales value</t>
  </si>
  <si>
    <t xml:space="preserve">Find EMPLOYEE in charge </t>
  </si>
  <si>
    <r>
      <t>XLOOKUP(</t>
    </r>
    <r>
      <rPr>
        <sz val="11"/>
        <color rgb="FF006CBE"/>
        <rFont val="Consolas"/>
        <family val="2"/>
      </rPr>
      <t>B3</t>
    </r>
    <r>
      <rPr>
        <sz val="11"/>
        <color rgb="FF000000"/>
        <rFont val="Consolas"/>
        <family val="2"/>
      </rPr>
      <t>, sales[total], sales[employee], ,0)</t>
    </r>
  </si>
  <si>
    <r>
      <rPr>
        <b/>
        <sz val="11"/>
        <color rgb="FF000000"/>
        <rFont val="Aptos Narrow"/>
        <scheme val="minor"/>
      </rPr>
      <t xml:space="preserve">9️⃣ </t>
    </r>
    <r>
      <rPr>
        <sz val="11"/>
        <color rgb="FF000000"/>
        <rFont val="Aptos Narrow"/>
        <scheme val="minor"/>
      </rPr>
      <t>Horas trabajadas vs. ventas generadas: Usa una función de división para ver cuántas ventas se hacen por hora trabajada.</t>
    </r>
  </si>
  <si>
    <t>hours_worked/ quantity_sales</t>
  </si>
  <si>
    <r>
      <rPr>
        <sz val="11"/>
        <color rgb="FF000000"/>
        <rFont val="Apple Color Emoji"/>
      </rPr>
      <t>🔟</t>
    </r>
    <r>
      <rPr>
        <sz val="11"/>
        <color rgb="FF000000"/>
        <rFont val="Aptos Narrow"/>
        <scheme val="minor"/>
      </rPr>
      <t xml:space="preserve"> </t>
    </r>
    <r>
      <rPr>
        <b/>
        <sz val="11"/>
        <color rgb="FF000000"/>
        <rFont val="Aptos Narrow"/>
        <scheme val="minor"/>
      </rPr>
      <t>Bono por ventas</t>
    </r>
    <r>
      <rPr>
        <sz val="11"/>
        <color rgb="FF000000"/>
        <rFont val="Aptos Narrow"/>
        <scheme val="minor"/>
      </rPr>
      <t>: Si un empleado generó más de 20000 en ventas, usa una función lógica para asignarle un bono.</t>
    </r>
  </si>
  <si>
    <t>Filter</t>
  </si>
  <si>
    <t>Applies bonus?</t>
  </si>
  <si>
    <t>Applicable bonus</t>
  </si>
  <si>
    <t>Sales &gt;</t>
  </si>
  <si>
    <t>Total Sales</t>
  </si>
  <si>
    <t>Day with Highest Sales</t>
  </si>
  <si>
    <t>🔴 Out of Stock</t>
  </si>
  <si>
    <t>ITEMS WITH CRITICAL STOCK</t>
  </si>
  <si>
    <t>stock_quantity</t>
  </si>
  <si>
    <t>optimal_stock</t>
  </si>
  <si>
    <t>min_reorder</t>
  </si>
  <si>
    <t>status</t>
  </si>
  <si>
    <t>SORT(FILTER(A9:E56, (E9:E56=C6)+(E9:E56=C5)), 4,-1)</t>
  </si>
  <si>
    <t>Formula para traer low stock y out of stock</t>
  </si>
  <si>
    <r>
      <t>6️⃣</t>
    </r>
    <r>
      <rPr>
        <sz val="11"/>
        <color theme="1"/>
        <rFont val="Aptos Narrow"/>
        <family val="2"/>
        <scheme val="minor"/>
      </rPr>
      <t xml:space="preserve"> Reabastecimiento necesario: Calcula cuántas unidades se necesitan para alcanzar el stock mínimo.</t>
    </r>
  </si>
  <si>
    <t>% of total products</t>
  </si>
  <si>
    <t>Maximum Sales Value</t>
  </si>
  <si>
    <t>max</t>
  </si>
  <si>
    <t>normal</t>
  </si>
  <si>
    <t xml:space="preserve">Total sales </t>
  </si>
  <si>
    <t>Section 1</t>
  </si>
  <si>
    <t>Key Metrics Overview</t>
  </si>
  <si>
    <t>Employee with highest Sales</t>
  </si>
  <si>
    <t>SORT(FILTER(A24:C33, C24:C33 = TRUE),2, -1)</t>
  </si>
  <si>
    <t>% Products with Low Stock</t>
  </si>
  <si>
    <t>%products low stock</t>
  </si>
  <si>
    <t>%products out of stock</t>
  </si>
  <si>
    <t>,</t>
  </si>
  <si>
    <t>% Products Out of Stock</t>
  </si>
  <si>
    <t>Section 2</t>
  </si>
  <si>
    <t>Top 5 best-selling products</t>
  </si>
  <si>
    <t>product name</t>
  </si>
  <si>
    <t>total sales</t>
  </si>
  <si>
    <t xml:space="preserve">Traer top 5 </t>
  </si>
  <si>
    <t>SORT(FILTER(A44:B91, B44:B91 &gt;= LARGE(B44:B91, 5)),2, -1)</t>
  </si>
  <si>
    <t xml:space="preserve">Large(rango, k) </t>
  </si>
  <si>
    <t>Rango: total sales</t>
  </si>
  <si>
    <t>k: posicion en este caso hasta el 5 mas grande</t>
  </si>
  <si>
    <t>Section 3</t>
  </si>
  <si>
    <t>Inventory Metrics</t>
  </si>
  <si>
    <t>Stock quantity</t>
  </si>
  <si>
    <t>Optimal stock</t>
  </si>
  <si>
    <t>Total products to restock</t>
  </si>
  <si>
    <t>Quantity of missing units</t>
  </si>
  <si>
    <t>Total items to reorder</t>
  </si>
  <si>
    <t>% Inventory Low Stock</t>
  </si>
  <si>
    <t>IF(D19=MAX($D$19:$D$30), D19, NA())</t>
  </si>
  <si>
    <t>IF(D19=MAX($D$19:$D$30), NA(), D19)</t>
  </si>
  <si>
    <t>% Inventory Out of Stock</t>
  </si>
  <si>
    <t># Products to re-stock</t>
  </si>
  <si>
    <t>KPIs Dashboard for Sales, Inventory, and Employees 2024</t>
  </si>
  <si>
    <t>Employee Performance</t>
  </si>
  <si>
    <t>Key Charts Sales</t>
  </si>
  <si>
    <t>Select month:</t>
  </si>
  <si>
    <t>Select employee:</t>
  </si>
  <si>
    <t>Note: Explicación de SUMPRODUCT((TEXT(sales[date], "mmm")=A19)*(sales[quantity]))</t>
  </si>
  <si>
    <t>Employee selected</t>
  </si>
  <si>
    <t>Month selected</t>
  </si>
  <si>
    <t>Annual sales by employee</t>
  </si>
  <si>
    <t>name</t>
  </si>
  <si>
    <t>na</t>
  </si>
  <si>
    <t>Average monthly sales by employee</t>
  </si>
  <si>
    <t>Total sales</t>
  </si>
  <si>
    <t>month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</si>
</sst>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_);_([$$-409]* \(#,##0\);_([$$-409]* &quot;-&quot;??_);_(@_)"/>
    <numFmt numFmtId="165" formatCode="_([$$-409]* #,##0.00_);_([$$-409]* \(#,##0.00\);_([$$-409]* &quot;-&quot;??_);_(@_)"/>
    <numFmt numFmtId="166" formatCode="0.0"/>
    <numFmt numFmtId="167" formatCode="_(&quot;$&quot;* #,##0_);_(&quot;$&quot;* \(#,##0\);_(&quot;$&quot;* &quot;-&quot;??_);_(@_)"/>
    <numFmt numFmtId="168" formatCode="&quot;$&quot;#,##0.00"/>
  </numFmts>
  <fonts count="27" x14ac:knownFonts="1">
    <font>
      <sz val="11"/>
      <color theme="1"/>
      <name val="Aptos Narrow"/>
      <family val="2"/>
      <scheme val="minor"/>
    </font>
    <font>
      <b/>
      <sz val="11"/>
      <color theme="1"/>
      <name val="Aptos Narrow"/>
      <family val="2"/>
      <scheme val="minor"/>
    </font>
    <font>
      <b/>
      <sz val="14"/>
      <color theme="1"/>
      <name val="Aptos Narrow"/>
      <family val="2"/>
      <scheme val="minor"/>
    </font>
    <font>
      <b/>
      <sz val="14"/>
      <color rgb="FF000000"/>
      <name val="Aptos Narrow"/>
      <scheme val="minor"/>
    </font>
    <font>
      <sz val="14"/>
      <color rgb="FF000000"/>
      <name val="Aptos Narrow"/>
      <scheme val="minor"/>
    </font>
    <font>
      <b/>
      <sz val="11"/>
      <color rgb="FF000000"/>
      <name val="Aptos Narrow"/>
      <scheme val="minor"/>
    </font>
    <font>
      <sz val="11"/>
      <color rgb="FF000000"/>
      <name val="Aptos Narrow"/>
      <scheme val="minor"/>
    </font>
    <font>
      <sz val="11"/>
      <color rgb="FF006CBE"/>
      <name val="Consolas"/>
      <family val="2"/>
    </font>
    <font>
      <sz val="11"/>
      <color rgb="FF000000"/>
      <name val="Consolas"/>
      <family val="2"/>
    </font>
    <font>
      <sz val="11"/>
      <color rgb="FF000000"/>
      <name val="Apple Color Emoji"/>
    </font>
    <font>
      <sz val="11"/>
      <color rgb="FF000000"/>
      <name val="Apple Color Emoji"/>
    </font>
    <font>
      <sz val="11"/>
      <color theme="1"/>
      <name val="Apple Color Emoji"/>
    </font>
    <font>
      <sz val="11"/>
      <color theme="1"/>
      <name val="Aptos Narrow"/>
      <family val="2"/>
      <scheme val="minor"/>
    </font>
    <font>
      <sz val="11"/>
      <color rgb="FF000000"/>
      <name val="Aptos Narrow"/>
      <scheme val="minor"/>
    </font>
    <font>
      <b/>
      <sz val="11"/>
      <color theme="1"/>
      <name val="Aptos Narrow"/>
      <scheme val="minor"/>
    </font>
    <font>
      <b/>
      <sz val="14"/>
      <color theme="1"/>
      <name val="Aptos Narrow"/>
      <scheme val="minor"/>
    </font>
    <font>
      <b/>
      <sz val="15"/>
      <color theme="1"/>
      <name val="Aptos Narrow"/>
      <scheme val="minor"/>
    </font>
    <font>
      <b/>
      <sz val="12"/>
      <color theme="3"/>
      <name val="Aptos Narrow"/>
      <scheme val="minor"/>
    </font>
    <font>
      <b/>
      <sz val="12"/>
      <color theme="1"/>
      <name val="Aptos Narrow"/>
      <scheme val="minor"/>
    </font>
    <font>
      <sz val="12"/>
      <color theme="1"/>
      <name val="Aptos Narrow"/>
      <scheme val="minor"/>
    </font>
    <font>
      <b/>
      <sz val="12"/>
      <color theme="4" tint="-0.249977111117893"/>
      <name val="Aptos Narrow"/>
      <scheme val="minor"/>
    </font>
    <font>
      <sz val="10"/>
      <color rgb="FF000000"/>
      <name val="Tahoma"/>
      <family val="2"/>
    </font>
    <font>
      <b/>
      <sz val="10"/>
      <color rgb="FF000000"/>
      <name val="Tahoma"/>
      <family val="2"/>
    </font>
    <font>
      <b/>
      <sz val="10"/>
      <color rgb="FF000000"/>
      <name val="Aptos Narrow"/>
      <scheme val="minor"/>
    </font>
    <font>
      <sz val="10"/>
      <color rgb="FF000000"/>
      <name val="Aptos Narrow"/>
      <scheme val="minor"/>
    </font>
    <font>
      <sz val="8"/>
      <name val="Aptos Narrow"/>
      <family val="2"/>
      <scheme val="minor"/>
    </font>
    <font>
      <sz val="11"/>
      <color theme="1" tint="4.9989318521683403E-2"/>
      <name val="Aptos Narrow"/>
      <family val="2"/>
      <scheme val="minor"/>
    </font>
  </fonts>
  <fills count="6">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s>
  <borders count="18">
    <border>
      <left/>
      <right/>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44" fontId="12" fillId="0" borderId="0" applyFont="0" applyFill="0" applyBorder="0" applyAlignment="0" applyProtection="0"/>
    <xf numFmtId="9" fontId="12" fillId="0" borderId="0" applyFont="0" applyFill="0" applyBorder="0" applyAlignment="0" applyProtection="0"/>
  </cellStyleXfs>
  <cellXfs count="91">
    <xf numFmtId="0" fontId="0" fillId="0" borderId="0" xfId="0"/>
    <xf numFmtId="0" fontId="1" fillId="0" borderId="0" xfId="0" applyFont="1"/>
    <xf numFmtId="14" fontId="0" fillId="0" borderId="0" xfId="0" applyNumberFormat="1"/>
    <xf numFmtId="0" fontId="0" fillId="0" borderId="0" xfId="0" pivotButton="1"/>
    <xf numFmtId="0" fontId="0" fillId="0" borderId="0" xfId="0" applyAlignment="1">
      <alignment wrapText="1"/>
    </xf>
    <xf numFmtId="164" fontId="0" fillId="0" borderId="0" xfId="0" applyNumberFormat="1"/>
    <xf numFmtId="0" fontId="1" fillId="0" borderId="1" xfId="0" applyFont="1" applyBorder="1"/>
    <xf numFmtId="164" fontId="1" fillId="0" borderId="1" xfId="0" applyNumberFormat="1" applyFont="1" applyBorder="1"/>
    <xf numFmtId="0" fontId="1" fillId="2" borderId="0" xfId="0" applyFont="1" applyFill="1"/>
    <xf numFmtId="164" fontId="0" fillId="0" borderId="0" xfId="0" applyNumberFormat="1" applyAlignment="1">
      <alignment wrapText="1"/>
    </xf>
    <xf numFmtId="14" fontId="1" fillId="0" borderId="0" xfId="0" applyNumberFormat="1" applyFont="1"/>
    <xf numFmtId="1" fontId="1" fillId="0" borderId="0" xfId="0" applyNumberFormat="1" applyFont="1"/>
    <xf numFmtId="1" fontId="0" fillId="0" borderId="0" xfId="0" applyNumberFormat="1"/>
    <xf numFmtId="0" fontId="8" fillId="0" borderId="0" xfId="0" applyFont="1"/>
    <xf numFmtId="0" fontId="0" fillId="0" borderId="0" xfId="0" applyAlignment="1">
      <alignment horizontal="right"/>
    </xf>
    <xf numFmtId="0" fontId="0" fillId="0" borderId="0" xfId="0" applyAlignment="1">
      <alignment horizontal="right" wrapText="1"/>
    </xf>
    <xf numFmtId="0" fontId="1" fillId="0" borderId="0" xfId="0" applyFont="1" applyAlignment="1">
      <alignment horizontal="right"/>
    </xf>
    <xf numFmtId="0" fontId="1" fillId="2" borderId="0" xfId="0" applyFont="1" applyFill="1" applyAlignment="1">
      <alignment horizontal="left"/>
    </xf>
    <xf numFmtId="0" fontId="1" fillId="2" borderId="0" xfId="0" applyFont="1" applyFill="1" applyAlignment="1">
      <alignment horizontal="left" wrapText="1"/>
    </xf>
    <xf numFmtId="0" fontId="1" fillId="2" borderId="0" xfId="0" applyFont="1" applyFill="1" applyAlignment="1">
      <alignment wrapText="1"/>
    </xf>
    <xf numFmtId="0" fontId="1" fillId="3" borderId="2" xfId="0" applyFont="1" applyFill="1" applyBorder="1" applyAlignment="1">
      <alignment vertical="center"/>
    </xf>
    <xf numFmtId="165" fontId="0" fillId="0" borderId="0" xfId="0" applyNumberFormat="1"/>
    <xf numFmtId="0" fontId="8" fillId="0" borderId="0" xfId="0" applyFont="1" applyAlignment="1">
      <alignment wrapText="1"/>
    </xf>
    <xf numFmtId="0" fontId="10" fillId="0" borderId="0" xfId="0" applyFont="1" applyAlignment="1">
      <alignment horizontal="left" vertical="center" wrapText="1"/>
    </xf>
    <xf numFmtId="166" fontId="0" fillId="0" borderId="0" xfId="0" applyNumberFormat="1"/>
    <xf numFmtId="14" fontId="14" fillId="0" borderId="0" xfId="0" applyNumberFormat="1" applyFont="1"/>
    <xf numFmtId="44" fontId="0" fillId="0" borderId="0" xfId="1" applyFont="1"/>
    <xf numFmtId="167" fontId="0" fillId="0" borderId="0" xfId="1" applyNumberFormat="1" applyFont="1"/>
    <xf numFmtId="0" fontId="14" fillId="0" borderId="0" xfId="0" applyFont="1"/>
    <xf numFmtId="9" fontId="0" fillId="0" borderId="0" xfId="2" applyFont="1"/>
    <xf numFmtId="14" fontId="14" fillId="4" borderId="0" xfId="0" applyNumberFormat="1" applyFont="1" applyFill="1"/>
    <xf numFmtId="0" fontId="14" fillId="4" borderId="0" xfId="0" applyFont="1" applyFill="1"/>
    <xf numFmtId="0" fontId="0" fillId="0" borderId="10" xfId="0" applyBorder="1"/>
    <xf numFmtId="0" fontId="0" fillId="0" borderId="11" xfId="0" applyBorder="1"/>
    <xf numFmtId="0" fontId="14" fillId="0" borderId="10" xfId="0" applyFont="1" applyBorder="1" applyAlignment="1">
      <alignment wrapText="1"/>
    </xf>
    <xf numFmtId="0" fontId="14" fillId="0" borderId="9" xfId="0" applyFont="1" applyBorder="1"/>
    <xf numFmtId="0" fontId="19" fillId="0" borderId="0" xfId="0" applyFont="1"/>
    <xf numFmtId="0" fontId="14" fillId="2" borderId="0" xfId="0" applyFont="1" applyFill="1"/>
    <xf numFmtId="0" fontId="0" fillId="0" borderId="16" xfId="0" applyBorder="1"/>
    <xf numFmtId="0" fontId="14" fillId="0" borderId="12" xfId="0" applyFont="1" applyBorder="1"/>
    <xf numFmtId="0" fontId="14" fillId="0" borderId="0" xfId="0" applyFont="1" applyAlignment="1">
      <alignment vertical="center"/>
    </xf>
    <xf numFmtId="0" fontId="26" fillId="0" borderId="0" xfId="0" applyFont="1"/>
    <xf numFmtId="0" fontId="17" fillId="0" borderId="3" xfId="0" applyFont="1" applyBorder="1" applyAlignment="1">
      <alignment horizontal="center" vertical="center"/>
    </xf>
    <xf numFmtId="0" fontId="17" fillId="0" borderId="4" xfId="0" applyFont="1" applyBorder="1" applyAlignment="1">
      <alignment horizontal="center" vertical="center"/>
    </xf>
    <xf numFmtId="0" fontId="16" fillId="0" borderId="5" xfId="1" applyNumberFormat="1" applyFont="1" applyBorder="1" applyAlignment="1">
      <alignment horizontal="center" vertical="center"/>
    </xf>
    <xf numFmtId="0" fontId="16" fillId="0" borderId="6" xfId="1" applyNumberFormat="1" applyFont="1" applyBorder="1" applyAlignment="1">
      <alignment horizontal="center" vertical="center"/>
    </xf>
    <xf numFmtId="0" fontId="16" fillId="0" borderId="7" xfId="1" applyNumberFormat="1" applyFont="1" applyBorder="1" applyAlignment="1">
      <alignment horizontal="center" vertical="center"/>
    </xf>
    <xf numFmtId="0" fontId="16" fillId="0" borderId="8" xfId="1" applyNumberFormat="1" applyFont="1" applyBorder="1" applyAlignment="1">
      <alignment horizontal="center" vertical="center"/>
    </xf>
    <xf numFmtId="0" fontId="17" fillId="0" borderId="5" xfId="0" applyFont="1" applyBorder="1" applyAlignment="1">
      <alignment horizontal="center" vertical="center"/>
    </xf>
    <xf numFmtId="0" fontId="17" fillId="0" borderId="6" xfId="0" applyFont="1" applyBorder="1" applyAlignment="1">
      <alignment horizontal="center" vertical="center"/>
    </xf>
    <xf numFmtId="9" fontId="16" fillId="0" borderId="5" xfId="1" applyNumberFormat="1" applyFont="1" applyBorder="1" applyAlignment="1">
      <alignment horizontal="center" vertical="center"/>
    </xf>
    <xf numFmtId="9" fontId="16" fillId="0" borderId="6" xfId="1" applyNumberFormat="1" applyFont="1" applyBorder="1" applyAlignment="1">
      <alignment horizontal="center" vertical="center"/>
    </xf>
    <xf numFmtId="9" fontId="16" fillId="0" borderId="7" xfId="1" applyNumberFormat="1" applyFont="1" applyBorder="1" applyAlignment="1">
      <alignment horizontal="center" vertical="center"/>
    </xf>
    <xf numFmtId="9" fontId="16" fillId="0" borderId="8" xfId="1" applyNumberFormat="1" applyFont="1" applyBorder="1" applyAlignment="1">
      <alignment horizontal="center" vertical="center"/>
    </xf>
    <xf numFmtId="0" fontId="15" fillId="0" borderId="0" xfId="0" applyFont="1" applyAlignment="1">
      <alignment horizontal="center"/>
    </xf>
    <xf numFmtId="0" fontId="17" fillId="0" borderId="3" xfId="0" applyFont="1" applyBorder="1" applyAlignment="1">
      <alignment horizontal="center" wrapText="1"/>
    </xf>
    <xf numFmtId="0" fontId="17" fillId="0" borderId="4" xfId="0" applyFont="1" applyBorder="1" applyAlignment="1">
      <alignment horizontal="center" wrapText="1"/>
    </xf>
    <xf numFmtId="168" fontId="16" fillId="0" borderId="5" xfId="1" applyNumberFormat="1" applyFont="1" applyBorder="1" applyAlignment="1">
      <alignment horizontal="center" vertical="center"/>
    </xf>
    <xf numFmtId="168" fontId="16" fillId="0" borderId="6" xfId="1" applyNumberFormat="1" applyFont="1" applyBorder="1" applyAlignment="1">
      <alignment horizontal="center" vertical="center"/>
    </xf>
    <xf numFmtId="168" fontId="16" fillId="0" borderId="7" xfId="1" applyNumberFormat="1" applyFont="1" applyBorder="1" applyAlignment="1">
      <alignment horizontal="center" vertical="center"/>
    </xf>
    <xf numFmtId="168" fontId="16" fillId="0" borderId="8" xfId="1" applyNumberFormat="1" applyFont="1" applyBorder="1" applyAlignment="1">
      <alignment horizontal="center" vertical="center"/>
    </xf>
    <xf numFmtId="9" fontId="16" fillId="0" borderId="5" xfId="2" applyFont="1" applyBorder="1" applyAlignment="1">
      <alignment horizontal="center" vertical="center"/>
    </xf>
    <xf numFmtId="9" fontId="16" fillId="0" borderId="6" xfId="2" applyFont="1" applyBorder="1" applyAlignment="1">
      <alignment horizontal="center" vertical="center"/>
    </xf>
    <xf numFmtId="9" fontId="16" fillId="0" borderId="7" xfId="2" applyFont="1" applyBorder="1" applyAlignment="1">
      <alignment horizontal="center" vertical="center"/>
    </xf>
    <xf numFmtId="9" fontId="16" fillId="0" borderId="8" xfId="2" applyFont="1" applyBorder="1" applyAlignment="1">
      <alignment horizontal="center" vertical="center"/>
    </xf>
    <xf numFmtId="14" fontId="16" fillId="0" borderId="6" xfId="1" applyNumberFormat="1" applyFont="1" applyBorder="1" applyAlignment="1">
      <alignment horizontal="center" vertical="center"/>
    </xf>
    <xf numFmtId="14" fontId="16" fillId="0" borderId="7" xfId="1" applyNumberFormat="1" applyFont="1" applyBorder="1" applyAlignment="1">
      <alignment horizontal="center" vertical="center"/>
    </xf>
    <xf numFmtId="14" fontId="16" fillId="0" borderId="8" xfId="1" applyNumberFormat="1" applyFont="1" applyBorder="1" applyAlignment="1">
      <alignment horizontal="center" vertical="center"/>
    </xf>
    <xf numFmtId="0" fontId="17" fillId="0" borderId="3" xfId="0" applyFont="1" applyBorder="1" applyAlignment="1">
      <alignment horizontal="center"/>
    </xf>
    <xf numFmtId="0" fontId="17" fillId="0" borderId="4" xfId="0" applyFont="1" applyBorder="1" applyAlignment="1">
      <alignment horizontal="center"/>
    </xf>
    <xf numFmtId="14" fontId="16" fillId="0" borderId="5" xfId="1" applyNumberFormat="1" applyFont="1" applyBorder="1" applyAlignment="1">
      <alignment horizontal="center" vertical="center"/>
    </xf>
    <xf numFmtId="0" fontId="18" fillId="0" borderId="0" xfId="0" applyFont="1" applyAlignment="1">
      <alignment horizontal="center"/>
    </xf>
    <xf numFmtId="0" fontId="14" fillId="0" borderId="0" xfId="0" applyFont="1" applyAlignment="1">
      <alignment horizontal="center" vertical="center"/>
    </xf>
    <xf numFmtId="0" fontId="20" fillId="5" borderId="13" xfId="0" applyFont="1" applyFill="1" applyBorder="1" applyAlignment="1">
      <alignment horizontal="center" vertical="center"/>
    </xf>
    <xf numFmtId="0" fontId="20" fillId="5" borderId="14" xfId="0" applyFont="1" applyFill="1" applyBorder="1" applyAlignment="1">
      <alignment horizontal="center" vertical="center"/>
    </xf>
    <xf numFmtId="0" fontId="20" fillId="5" borderId="15" xfId="0" applyFont="1" applyFill="1" applyBorder="1" applyAlignment="1">
      <alignment horizontal="center" vertical="center"/>
    </xf>
    <xf numFmtId="0" fontId="14" fillId="0" borderId="17" xfId="0" applyFont="1" applyBorder="1" applyAlignment="1">
      <alignment horizontal="center" vertical="center"/>
    </xf>
    <xf numFmtId="0" fontId="0" fillId="0" borderId="0" xfId="0" applyAlignment="1">
      <alignment horizontal="left" vertical="center" wrapText="1"/>
    </xf>
    <xf numFmtId="0" fontId="14" fillId="0" borderId="0" xfId="0" applyFont="1" applyAlignment="1">
      <alignment horizontal="left" vertical="center"/>
    </xf>
    <xf numFmtId="0" fontId="3"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center"/>
    </xf>
    <xf numFmtId="0" fontId="8" fillId="0" borderId="0" xfId="0" applyFont="1" applyAlignment="1">
      <alignment horizontal="left" wrapText="1"/>
    </xf>
    <xf numFmtId="0" fontId="1" fillId="2" borderId="0" xfId="0" applyFont="1" applyFill="1" applyAlignment="1">
      <alignment horizontal="center"/>
    </xf>
    <xf numFmtId="0" fontId="10" fillId="0" borderId="0" xfId="0" applyFont="1" applyAlignment="1">
      <alignment horizontal="left" vertical="center" wrapText="1"/>
    </xf>
    <xf numFmtId="0" fontId="11" fillId="0" borderId="0" xfId="0" applyFont="1" applyAlignment="1">
      <alignment horizontal="left"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3" fillId="0" borderId="0" xfId="0" applyFont="1" applyAlignment="1">
      <alignment horizontal="left" vertical="top" wrapText="1"/>
    </xf>
    <xf numFmtId="0" fontId="12" fillId="0" borderId="0" xfId="0" applyFont="1" applyAlignment="1">
      <alignment horizontal="left" vertical="top" wrapText="1"/>
    </xf>
    <xf numFmtId="0" fontId="10" fillId="0" borderId="0" xfId="0" applyFont="1" applyAlignment="1">
      <alignment horizontal="left" wrapText="1"/>
    </xf>
  </cellXfs>
  <cellStyles count="3">
    <cellStyle name="Currency" xfId="1" builtinId="4"/>
    <cellStyle name="Normal" xfId="0" builtinId="0"/>
    <cellStyle name="Percent" xfId="2" builtinId="5"/>
  </cellStyles>
  <dxfs count="5">
    <dxf>
      <font>
        <b/>
        <i val="0"/>
        <strike val="0"/>
        <condense val="0"/>
        <extend val="0"/>
        <outline val="0"/>
        <shadow val="0"/>
        <u val="none"/>
        <vertAlign val="baseline"/>
        <sz val="11"/>
        <color theme="1"/>
        <name val="Aptos Narrow"/>
        <family val="2"/>
        <scheme val="minor"/>
      </font>
    </dxf>
    <dxf>
      <numFmt numFmtId="1" formatCode="0"/>
    </dxf>
    <dxf>
      <alignment horizontal="general" vertical="bottom" textRotation="0" wrapText="1" indent="0" justifyLastLine="0" shrinkToFit="0" readingOrder="0"/>
    </dxf>
    <dxf>
      <numFmt numFmtId="169" formatCode="m/d/yyyy"/>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Top 5 Best-Selling Products</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'1. Sales_analysis'!$E$43</c:f>
              <c:strCache>
                <c:ptCount val="1"/>
                <c:pt idx="0">
                  <c:v>total sales</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Sales_analysis'!$D$44:$D$48</c:f>
              <c:strCache>
                <c:ptCount val="5"/>
                <c:pt idx="0">
                  <c:v>Cámara Canon EOS</c:v>
                </c:pt>
                <c:pt idx="1">
                  <c:v>Laptop HP Spectre</c:v>
                </c:pt>
                <c:pt idx="2">
                  <c:v>iPhone 15 Pro</c:v>
                </c:pt>
                <c:pt idx="3">
                  <c:v>Laptop Dell XPS</c:v>
                </c:pt>
                <c:pt idx="4">
                  <c:v>Xbox Series X</c:v>
                </c:pt>
              </c:strCache>
            </c:strRef>
          </c:cat>
          <c:val>
            <c:numRef>
              <c:f>'1. Sales_analysis'!$E$44:$E$48</c:f>
              <c:numCache>
                <c:formatCode>General</c:formatCode>
                <c:ptCount val="5"/>
                <c:pt idx="0">
                  <c:v>23400</c:v>
                </c:pt>
                <c:pt idx="1">
                  <c:v>18700</c:v>
                </c:pt>
                <c:pt idx="2">
                  <c:v>15984</c:v>
                </c:pt>
                <c:pt idx="3">
                  <c:v>13200</c:v>
                </c:pt>
                <c:pt idx="4">
                  <c:v>11976</c:v>
                </c:pt>
              </c:numCache>
            </c:numRef>
          </c:val>
          <c:extLst>
            <c:ext xmlns:c16="http://schemas.microsoft.com/office/drawing/2014/chart" uri="{C3380CC4-5D6E-409C-BE32-E72D297353CC}">
              <c16:uniqueId val="{00000000-4BFB-824B-84C5-3041F3967FD5}"/>
            </c:ext>
          </c:extLst>
        </c:ser>
        <c:dLbls>
          <c:dLblPos val="outEnd"/>
          <c:showLegendKey val="0"/>
          <c:showVal val="1"/>
          <c:showCatName val="0"/>
          <c:showSerName val="0"/>
          <c:showPercent val="0"/>
          <c:showBubbleSize val="0"/>
        </c:dLbls>
        <c:gapWidth val="100"/>
        <c:overlap val="-24"/>
        <c:axId val="1375650624"/>
        <c:axId val="1357340832"/>
      </c:barChart>
      <c:catAx>
        <c:axId val="137565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357340832"/>
        <c:crosses val="autoZero"/>
        <c:auto val="1"/>
        <c:lblAlgn val="ctr"/>
        <c:lblOffset val="100"/>
        <c:noMultiLvlLbl val="0"/>
      </c:catAx>
      <c:valAx>
        <c:axId val="135734083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crossAx val="137565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b="1">
                <a:solidFill>
                  <a:schemeClr val="tx1"/>
                </a:solidFill>
              </a:rPr>
              <a:t>Sales by Month</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'1. Sales_analysis'!$C$18</c:f>
              <c:strCache>
                <c:ptCount val="1"/>
                <c:pt idx="0">
                  <c:v>Total</c:v>
                </c:pt>
              </c:strCache>
            </c:strRef>
          </c:tx>
          <c:spPr>
            <a:ln w="22225" cap="rnd" cmpd="sng" algn="ctr">
              <a:solidFill>
                <a:schemeClr val="accent1"/>
              </a:solidFill>
              <a:round/>
            </a:ln>
            <a:effectLst/>
          </c:spPr>
          <c:marker>
            <c:symbol val="none"/>
          </c:marker>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Sales_analysis'!$C$19:$C$30</c:f>
              <c:numCache>
                <c:formatCode>_([$$-409]* #,##0_);_([$$-409]* \(#,##0\);_([$$-409]* "-"??_);_(@_)</c:formatCode>
                <c:ptCount val="12"/>
                <c:pt idx="0">
                  <c:v>0</c:v>
                </c:pt>
                <c:pt idx="1">
                  <c:v>13294</c:v>
                </c:pt>
                <c:pt idx="2">
                  <c:v>19177</c:v>
                </c:pt>
                <c:pt idx="3">
                  <c:v>19198</c:v>
                </c:pt>
                <c:pt idx="4">
                  <c:v>21388</c:v>
                </c:pt>
                <c:pt idx="5">
                  <c:v>21535</c:v>
                </c:pt>
                <c:pt idx="6">
                  <c:v>7745</c:v>
                </c:pt>
                <c:pt idx="7">
                  <c:v>15725</c:v>
                </c:pt>
                <c:pt idx="8">
                  <c:v>14629</c:v>
                </c:pt>
                <c:pt idx="9">
                  <c:v>20662</c:v>
                </c:pt>
                <c:pt idx="10">
                  <c:v>32946</c:v>
                </c:pt>
                <c:pt idx="11">
                  <c:v>18248</c:v>
                </c:pt>
              </c:numCache>
            </c:numRef>
          </c:val>
          <c:smooth val="0"/>
          <c:extLst>
            <c:ext xmlns:c16="http://schemas.microsoft.com/office/drawing/2014/chart" uri="{C3380CC4-5D6E-409C-BE32-E72D297353CC}">
              <c16:uniqueId val="{00000000-9B78-E64E-AB7A-62336BB2C3F1}"/>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478910640"/>
        <c:axId val="478187744"/>
      </c:lineChart>
      <c:catAx>
        <c:axId val="478910640"/>
        <c:scaling>
          <c:orientation val="minMax"/>
        </c:scaling>
        <c:delete val="0"/>
        <c:axPos val="b"/>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spc="20" baseline="0">
                <a:solidFill>
                  <a:schemeClr val="tx1">
                    <a:lumMod val="75000"/>
                    <a:lumOff val="25000"/>
                  </a:schemeClr>
                </a:solidFill>
                <a:latin typeface="+mn-lt"/>
                <a:ea typeface="+mn-ea"/>
                <a:cs typeface="+mn-cs"/>
              </a:defRPr>
            </a:pPr>
            <a:endParaRPr lang="en-US"/>
          </a:p>
        </c:txPr>
        <c:crossAx val="478187744"/>
        <c:crosses val="autoZero"/>
        <c:auto val="1"/>
        <c:lblAlgn val="ctr"/>
        <c:lblOffset val="100"/>
        <c:noMultiLvlLbl val="0"/>
      </c:catAx>
      <c:valAx>
        <c:axId val="478187744"/>
        <c:scaling>
          <c:orientation val="minMax"/>
        </c:scaling>
        <c:delete val="0"/>
        <c:axPos val="l"/>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75000"/>
                    <a:lumOff val="25000"/>
                  </a:schemeClr>
                </a:solidFill>
                <a:latin typeface="+mn-lt"/>
                <a:ea typeface="+mn-ea"/>
                <a:cs typeface="+mn-cs"/>
              </a:defRPr>
            </a:pPr>
            <a:endParaRPr lang="en-US"/>
          </a:p>
        </c:txPr>
        <c:crossAx val="478910640"/>
        <c:crosses val="autoZero"/>
        <c:crossBetween val="between"/>
      </c:valAx>
      <c:spPr>
        <a:gradFill>
          <a:gsLst>
            <a:gs pos="100000">
              <a:schemeClr val="lt1">
                <a:lumMod val="95000"/>
              </a:schemeClr>
            </a:gs>
            <a:gs pos="0">
              <a:schemeClr val="lt1"/>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baseline="0"/>
              <a:t>Critical Stock vs. Required Restocking</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v>Critical stock</c:v>
          </c:tx>
          <c:spPr>
            <a:ln w="19050" cap="rnd">
              <a:solidFill>
                <a:srgbClr val="FF0000"/>
              </a:solidFill>
              <a:round/>
            </a:ln>
            <a:effectLst/>
          </c:spPr>
          <c:marker>
            <c:symbol val="circle"/>
            <c:size val="5"/>
            <c:spPr>
              <a:solidFill>
                <a:srgbClr val="FF0000"/>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admin'!$N$11:$N$29</c:f>
              <c:numCache>
                <c:formatCode>General</c:formatCode>
                <c:ptCount val="19"/>
                <c:pt idx="0">
                  <c:v>0</c:v>
                </c:pt>
                <c:pt idx="1">
                  <c:v>0</c:v>
                </c:pt>
                <c:pt idx="2">
                  <c:v>0</c:v>
                </c:pt>
                <c:pt idx="3">
                  <c:v>0</c:v>
                </c:pt>
                <c:pt idx="4">
                  <c:v>0</c:v>
                </c:pt>
                <c:pt idx="5">
                  <c:v>0</c:v>
                </c:pt>
                <c:pt idx="6">
                  <c:v>3</c:v>
                </c:pt>
                <c:pt idx="7">
                  <c:v>4</c:v>
                </c:pt>
                <c:pt idx="8">
                  <c:v>4</c:v>
                </c:pt>
                <c:pt idx="9">
                  <c:v>4</c:v>
                </c:pt>
                <c:pt idx="10">
                  <c:v>4</c:v>
                </c:pt>
                <c:pt idx="11">
                  <c:v>4</c:v>
                </c:pt>
                <c:pt idx="12">
                  <c:v>4</c:v>
                </c:pt>
                <c:pt idx="13">
                  <c:v>4</c:v>
                </c:pt>
                <c:pt idx="14">
                  <c:v>5</c:v>
                </c:pt>
                <c:pt idx="15">
                  <c:v>5</c:v>
                </c:pt>
                <c:pt idx="16">
                  <c:v>6</c:v>
                </c:pt>
                <c:pt idx="17">
                  <c:v>10</c:v>
                </c:pt>
                <c:pt idx="18">
                  <c:v>10</c:v>
                </c:pt>
              </c:numCache>
            </c:numRef>
          </c:val>
          <c:smooth val="0"/>
          <c:extLst>
            <c:ext xmlns:c16="http://schemas.microsoft.com/office/drawing/2014/chart" uri="{C3380CC4-5D6E-409C-BE32-E72D297353CC}">
              <c16:uniqueId val="{00000000-0503-544F-A00D-508A848A5C0F}"/>
            </c:ext>
          </c:extLst>
        </c:ser>
        <c:ser>
          <c:idx val="1"/>
          <c:order val="1"/>
          <c:tx>
            <c:v>Optimal stock</c:v>
          </c:tx>
          <c:spPr>
            <a:ln w="19050" cap="rnd">
              <a:solidFill>
                <a:schemeClr val="accent1"/>
              </a:solidFill>
              <a:round/>
            </a:ln>
            <a:effectLst/>
          </c:spPr>
          <c:marker>
            <c:symbol val="circle"/>
            <c:size val="5"/>
            <c:spPr>
              <a:solidFill>
                <a:srgbClr val="FFC000"/>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admin'!$O$11:$O$29</c:f>
              <c:numCache>
                <c:formatCode>General</c:formatCode>
                <c:ptCount val="19"/>
                <c:pt idx="0">
                  <c:v>20</c:v>
                </c:pt>
                <c:pt idx="1">
                  <c:v>20</c:v>
                </c:pt>
                <c:pt idx="2">
                  <c:v>20</c:v>
                </c:pt>
                <c:pt idx="3">
                  <c:v>15</c:v>
                </c:pt>
                <c:pt idx="4">
                  <c:v>10</c:v>
                </c:pt>
                <c:pt idx="5">
                  <c:v>20</c:v>
                </c:pt>
                <c:pt idx="6">
                  <c:v>14</c:v>
                </c:pt>
                <c:pt idx="7">
                  <c:v>12</c:v>
                </c:pt>
                <c:pt idx="8">
                  <c:v>17</c:v>
                </c:pt>
                <c:pt idx="9">
                  <c:v>10</c:v>
                </c:pt>
                <c:pt idx="10">
                  <c:v>13</c:v>
                </c:pt>
                <c:pt idx="11">
                  <c:v>16</c:v>
                </c:pt>
                <c:pt idx="12">
                  <c:v>19</c:v>
                </c:pt>
                <c:pt idx="13">
                  <c:v>12</c:v>
                </c:pt>
                <c:pt idx="14">
                  <c:v>13</c:v>
                </c:pt>
                <c:pt idx="15">
                  <c:v>18</c:v>
                </c:pt>
                <c:pt idx="16">
                  <c:v>13</c:v>
                </c:pt>
                <c:pt idx="17">
                  <c:v>20</c:v>
                </c:pt>
                <c:pt idx="18">
                  <c:v>19</c:v>
                </c:pt>
              </c:numCache>
            </c:numRef>
          </c:val>
          <c:smooth val="0"/>
          <c:extLst>
            <c:ext xmlns:c16="http://schemas.microsoft.com/office/drawing/2014/chart" uri="{C3380CC4-5D6E-409C-BE32-E72D297353CC}">
              <c16:uniqueId val="{00000001-0503-544F-A00D-508A848A5C0F}"/>
            </c:ext>
          </c:extLst>
        </c:ser>
        <c:dLbls>
          <c:dLblPos val="b"/>
          <c:showLegendKey val="0"/>
          <c:showVal val="1"/>
          <c:showCatName val="0"/>
          <c:showSerName val="0"/>
          <c:showPercent val="0"/>
          <c:showBubbleSize val="0"/>
        </c:dLbls>
        <c:marker val="1"/>
        <c:smooth val="0"/>
        <c:axId val="1059574559"/>
        <c:axId val="431552383"/>
      </c:lineChart>
      <c:catAx>
        <c:axId val="1059574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85000"/>
                    <a:lumOff val="15000"/>
                  </a:schemeClr>
                </a:solidFill>
                <a:latin typeface="+mn-lt"/>
                <a:ea typeface="+mn-ea"/>
                <a:cs typeface="+mn-cs"/>
              </a:defRPr>
            </a:pPr>
            <a:endParaRPr lang="en-US"/>
          </a:p>
        </c:txPr>
        <c:crossAx val="431552383"/>
        <c:crosses val="autoZero"/>
        <c:auto val="1"/>
        <c:lblAlgn val="ctr"/>
        <c:lblOffset val="100"/>
        <c:noMultiLvlLbl val="0"/>
      </c:catAx>
      <c:valAx>
        <c:axId val="43155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59574559"/>
        <c:crosses val="autoZero"/>
        <c:crossBetween val="between"/>
      </c:valAx>
      <c:spPr>
        <a:noFill/>
        <a:ln>
          <a:noFill/>
        </a:ln>
        <a:effectLst/>
      </c:spPr>
    </c:plotArea>
    <c:legend>
      <c:legendPos val="b"/>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performance'!$C$43:$C$52</c:f>
              <c:numCache>
                <c:formatCode>_("$"* #,##0.00_);_("$"* \(#,##0.00\);_("$"* "-"??_);_(@_)</c:formatCode>
                <c:ptCount val="10"/>
                <c:pt idx="0">
                  <c:v>#N/A</c:v>
                </c:pt>
                <c:pt idx="1">
                  <c:v>#N/A</c:v>
                </c:pt>
                <c:pt idx="2">
                  <c:v>#N/A</c:v>
                </c:pt>
                <c:pt idx="3">
                  <c:v>#N/A</c:v>
                </c:pt>
                <c:pt idx="4">
                  <c:v>#N/A</c:v>
                </c:pt>
                <c:pt idx="5">
                  <c:v>#N/A</c:v>
                </c:pt>
                <c:pt idx="6">
                  <c:v>#N/A</c:v>
                </c:pt>
                <c:pt idx="7">
                  <c:v>#N/A</c:v>
                </c:pt>
                <c:pt idx="8">
                  <c:v>#N/A</c:v>
                </c:pt>
                <c:pt idx="9">
                  <c:v>39803</c:v>
                </c:pt>
              </c:numCache>
            </c:numRef>
          </c:val>
          <c:extLst>
            <c:ext xmlns:c16="http://schemas.microsoft.com/office/drawing/2014/chart" uri="{C3380CC4-5D6E-409C-BE32-E72D297353CC}">
              <c16:uniqueId val="{00000000-B4E5-7F47-BFDC-FA7195FE27E4}"/>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performance'!$D$43:$D$52</c:f>
              <c:numCache>
                <c:formatCode>_("$"* #,##0.00_);_("$"* \(#,##0.00\);_("$"* "-"??_);_(@_)</c:formatCode>
                <c:ptCount val="10"/>
                <c:pt idx="0">
                  <c:v>12625</c:v>
                </c:pt>
                <c:pt idx="1">
                  <c:v>15120</c:v>
                </c:pt>
                <c:pt idx="2">
                  <c:v>15344</c:v>
                </c:pt>
                <c:pt idx="3">
                  <c:v>16135</c:v>
                </c:pt>
                <c:pt idx="4">
                  <c:v>17340</c:v>
                </c:pt>
                <c:pt idx="5">
                  <c:v>17344</c:v>
                </c:pt>
                <c:pt idx="6">
                  <c:v>17721</c:v>
                </c:pt>
                <c:pt idx="7">
                  <c:v>24369</c:v>
                </c:pt>
                <c:pt idx="8">
                  <c:v>28746</c:v>
                </c:pt>
                <c:pt idx="9">
                  <c:v>#N/A</c:v>
                </c:pt>
              </c:numCache>
            </c:numRef>
          </c:val>
          <c:extLst>
            <c:ext xmlns:c16="http://schemas.microsoft.com/office/drawing/2014/chart" uri="{C3380CC4-5D6E-409C-BE32-E72D297353CC}">
              <c16:uniqueId val="{00000001-B4E5-7F47-BFDC-FA7195FE27E4}"/>
            </c:ext>
          </c:extLst>
        </c:ser>
        <c:dLbls>
          <c:dLblPos val="inEnd"/>
          <c:showLegendKey val="0"/>
          <c:showVal val="1"/>
          <c:showCatName val="0"/>
          <c:showSerName val="0"/>
          <c:showPercent val="0"/>
          <c:showBubbleSize val="0"/>
        </c:dLbls>
        <c:gapWidth val="100"/>
        <c:axId val="569034128"/>
        <c:axId val="569241040"/>
      </c:barChart>
      <c:catAx>
        <c:axId val="56903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569241040"/>
        <c:crosses val="autoZero"/>
        <c:auto val="1"/>
        <c:lblAlgn val="ctr"/>
        <c:lblOffset val="100"/>
        <c:noMultiLvlLbl val="0"/>
      </c:catAx>
      <c:valAx>
        <c:axId val="569241040"/>
        <c:scaling>
          <c:orientation val="minMax"/>
          <c:min val="5000"/>
        </c:scaling>
        <c:delete val="1"/>
        <c:axPos val="b"/>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56903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Monthly 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performance'!$C$56:$C$67</c:f>
              <c:numCache>
                <c:formatCode>_("$"* #,##0.00_);_("$"* \(#,##0.00\);_("$"* "-"??_);_(@_)</c:formatCode>
                <c:ptCount val="12"/>
                <c:pt idx="0">
                  <c:v>#N/A</c:v>
                </c:pt>
                <c:pt idx="1">
                  <c:v>#N/A</c:v>
                </c:pt>
                <c:pt idx="2">
                  <c:v>#N/A</c:v>
                </c:pt>
                <c:pt idx="3">
                  <c:v>#N/A</c:v>
                </c:pt>
                <c:pt idx="4">
                  <c:v>#N/A</c:v>
                </c:pt>
                <c:pt idx="5">
                  <c:v>#N/A</c:v>
                </c:pt>
                <c:pt idx="6">
                  <c:v>#N/A</c:v>
                </c:pt>
                <c:pt idx="7">
                  <c:v>2000</c:v>
                </c:pt>
                <c:pt idx="8">
                  <c:v>#N/A</c:v>
                </c:pt>
                <c:pt idx="9">
                  <c:v>#N/A</c:v>
                </c:pt>
                <c:pt idx="10">
                  <c:v>#N/A</c:v>
                </c:pt>
                <c:pt idx="11">
                  <c:v>#N/A</c:v>
                </c:pt>
              </c:numCache>
            </c:numRef>
          </c:val>
          <c:extLst>
            <c:ext xmlns:c16="http://schemas.microsoft.com/office/drawing/2014/chart" uri="{C3380CC4-5D6E-409C-BE32-E72D297353CC}">
              <c16:uniqueId val="{00000000-8113-AA44-9F99-2C7A08045D4E}"/>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performance'!$D$56:$D$67</c:f>
              <c:numCache>
                <c:formatCode>_("$"* #,##0.00_);_("$"* \(#,##0.00\);_("$"* "-"??_);_(@_)</c:formatCode>
                <c:ptCount val="12"/>
                <c:pt idx="0">
                  <c:v>0</c:v>
                </c:pt>
                <c:pt idx="1">
                  <c:v>300</c:v>
                </c:pt>
                <c:pt idx="2">
                  <c:v>6947</c:v>
                </c:pt>
                <c:pt idx="3">
                  <c:v>2387</c:v>
                </c:pt>
                <c:pt idx="4">
                  <c:v>0</c:v>
                </c:pt>
                <c:pt idx="5">
                  <c:v>6750</c:v>
                </c:pt>
                <c:pt idx="6">
                  <c:v>0</c:v>
                </c:pt>
                <c:pt idx="7">
                  <c:v>#N/A</c:v>
                </c:pt>
                <c:pt idx="8">
                  <c:v>760</c:v>
                </c:pt>
                <c:pt idx="9">
                  <c:v>13590</c:v>
                </c:pt>
                <c:pt idx="10">
                  <c:v>6340</c:v>
                </c:pt>
                <c:pt idx="11">
                  <c:v>729</c:v>
                </c:pt>
              </c:numCache>
            </c:numRef>
          </c:val>
          <c:extLst>
            <c:ext xmlns:c16="http://schemas.microsoft.com/office/drawing/2014/chart" uri="{C3380CC4-5D6E-409C-BE32-E72D297353CC}">
              <c16:uniqueId val="{00000001-8113-AA44-9F99-2C7A08045D4E}"/>
            </c:ext>
          </c:extLst>
        </c:ser>
        <c:dLbls>
          <c:dLblPos val="outEnd"/>
          <c:showLegendKey val="0"/>
          <c:showVal val="1"/>
          <c:showCatName val="0"/>
          <c:showSerName val="0"/>
          <c:showPercent val="0"/>
          <c:showBubbleSize val="0"/>
        </c:dLbls>
        <c:gapWidth val="100"/>
        <c:overlap val="-24"/>
        <c:axId val="1569856591"/>
        <c:axId val="1819572111"/>
      </c:barChart>
      <c:catAx>
        <c:axId val="156985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819572111"/>
        <c:crosses val="autoZero"/>
        <c:auto val="1"/>
        <c:lblAlgn val="ctr"/>
        <c:lblOffset val="100"/>
        <c:noMultiLvlLbl val="0"/>
      </c:catAx>
      <c:valAx>
        <c:axId val="18195721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5698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'1. Sales_analysis'!$I$3</c:f>
              <c:strCache>
                <c:ptCount val="1"/>
                <c:pt idx="0">
                  <c:v>max</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Lbl>
              <c:idx val="9"/>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15F-7A46-84F8-D237F15B66E2}"/>
                </c:ext>
              </c:extLst>
            </c:dLbl>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Sales_analysis'!$G$4:$G$13</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'1. Sales_analysis'!$I$4:$I$13</c:f>
              <c:numCache>
                <c:formatCode>General</c:formatCode>
                <c:ptCount val="10"/>
                <c:pt idx="0">
                  <c:v>#N/A</c:v>
                </c:pt>
                <c:pt idx="1">
                  <c:v>#N/A</c:v>
                </c:pt>
                <c:pt idx="2">
                  <c:v>#N/A</c:v>
                </c:pt>
                <c:pt idx="3">
                  <c:v>#N/A</c:v>
                </c:pt>
                <c:pt idx="4">
                  <c:v>#N/A</c:v>
                </c:pt>
                <c:pt idx="5">
                  <c:v>#N/A</c:v>
                </c:pt>
                <c:pt idx="6">
                  <c:v>#N/A</c:v>
                </c:pt>
                <c:pt idx="7">
                  <c:v>#N/A</c:v>
                </c:pt>
                <c:pt idx="8">
                  <c:v>#N/A</c:v>
                </c:pt>
                <c:pt idx="9">
                  <c:v>39803</c:v>
                </c:pt>
              </c:numCache>
            </c:numRef>
          </c:val>
          <c:extLst>
            <c:ext xmlns:c16="http://schemas.microsoft.com/office/drawing/2014/chart" uri="{C3380CC4-5D6E-409C-BE32-E72D297353CC}">
              <c16:uniqueId val="{00000000-815F-7A46-84F8-D237F15B66E2}"/>
            </c:ext>
          </c:extLst>
        </c:ser>
        <c:ser>
          <c:idx val="1"/>
          <c:order val="1"/>
          <c:tx>
            <c:strRef>
              <c:f>'1. Sales_analysis'!$J$3</c:f>
              <c:strCache>
                <c:ptCount val="1"/>
                <c:pt idx="0">
                  <c:v>normal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Sales_analysis'!$G$4:$G$13</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'1. Sales_analysis'!$J$4:$J$13</c:f>
              <c:numCache>
                <c:formatCode>General</c:formatCode>
                <c:ptCount val="10"/>
                <c:pt idx="0">
                  <c:v>12625</c:v>
                </c:pt>
                <c:pt idx="1">
                  <c:v>15120</c:v>
                </c:pt>
                <c:pt idx="2">
                  <c:v>15344</c:v>
                </c:pt>
                <c:pt idx="3">
                  <c:v>16135</c:v>
                </c:pt>
                <c:pt idx="4">
                  <c:v>17340</c:v>
                </c:pt>
                <c:pt idx="5">
                  <c:v>17344</c:v>
                </c:pt>
                <c:pt idx="6">
                  <c:v>17721</c:v>
                </c:pt>
                <c:pt idx="7">
                  <c:v>24369</c:v>
                </c:pt>
                <c:pt idx="8">
                  <c:v>28746</c:v>
                </c:pt>
                <c:pt idx="9">
                  <c:v>#N/A</c:v>
                </c:pt>
              </c:numCache>
            </c:numRef>
          </c:val>
          <c:extLst>
            <c:ext xmlns:c16="http://schemas.microsoft.com/office/drawing/2014/chart" uri="{C3380CC4-5D6E-409C-BE32-E72D297353CC}">
              <c16:uniqueId val="{00000001-815F-7A46-84F8-D237F15B66E2}"/>
            </c:ext>
          </c:extLst>
        </c:ser>
        <c:dLbls>
          <c:showLegendKey val="0"/>
          <c:showVal val="0"/>
          <c:showCatName val="0"/>
          <c:showSerName val="0"/>
          <c:showPercent val="0"/>
          <c:showBubbleSize val="0"/>
        </c:dLbls>
        <c:gapWidth val="100"/>
        <c:axId val="1327560863"/>
        <c:axId val="926503392"/>
      </c:barChart>
      <c:catAx>
        <c:axId val="13275608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503392"/>
        <c:crosses val="autoZero"/>
        <c:auto val="1"/>
        <c:lblAlgn val="ctr"/>
        <c:lblOffset val="100"/>
        <c:noMultiLvlLbl val="0"/>
      </c:catAx>
      <c:valAx>
        <c:axId val="926503392"/>
        <c:scaling>
          <c:orientation val="minMax"/>
        </c:scaling>
        <c:delete val="1"/>
        <c:axPos val="b"/>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1327560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r>
              <a:rPr lang="en-US" b="1">
                <a:solidFill>
                  <a:schemeClr val="tx1"/>
                </a:solidFill>
              </a:rPr>
              <a:t>Average</a:t>
            </a:r>
            <a:r>
              <a:rPr lang="en-US" b="1" baseline="0">
                <a:solidFill>
                  <a:schemeClr val="tx1"/>
                </a:solidFill>
              </a:rPr>
              <a:t> Monthly Sales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'1. Sales_analysis'!$E$18</c:f>
              <c:strCache>
                <c:ptCount val="1"/>
                <c:pt idx="0">
                  <c:v>max</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Sales_analysis'!$E$19:$E$30</c:f>
              <c:numCache>
                <c:formatCode>General</c:formatCode>
                <c:ptCount val="12"/>
                <c:pt idx="0">
                  <c:v>#N/A</c:v>
                </c:pt>
                <c:pt idx="1">
                  <c:v>#N/A</c:v>
                </c:pt>
                <c:pt idx="2">
                  <c:v>#N/A</c:v>
                </c:pt>
                <c:pt idx="3">
                  <c:v>#N/A</c:v>
                </c:pt>
                <c:pt idx="4">
                  <c:v>#N/A</c:v>
                </c:pt>
                <c:pt idx="5">
                  <c:v>#N/A</c:v>
                </c:pt>
                <c:pt idx="6">
                  <c:v>#N/A</c:v>
                </c:pt>
                <c:pt idx="7">
                  <c:v>#N/A</c:v>
                </c:pt>
                <c:pt idx="8">
                  <c:v>#N/A</c:v>
                </c:pt>
                <c:pt idx="9">
                  <c:v>#N/A</c:v>
                </c:pt>
                <c:pt idx="10" formatCode="_(&quot;$&quot;* #,##0_);_(&quot;$&quot;* \(#,##0\);_(&quot;$&quot;* &quot;-&quot;??_);_(@_)">
                  <c:v>2745.5</c:v>
                </c:pt>
                <c:pt idx="11">
                  <c:v>#N/A</c:v>
                </c:pt>
              </c:numCache>
            </c:numRef>
          </c:val>
          <c:extLst>
            <c:ext xmlns:c16="http://schemas.microsoft.com/office/drawing/2014/chart" uri="{C3380CC4-5D6E-409C-BE32-E72D297353CC}">
              <c16:uniqueId val="{00000000-87AE-3C4E-A752-F9BA1EF194C1}"/>
            </c:ext>
          </c:extLst>
        </c:ser>
        <c:ser>
          <c:idx val="1"/>
          <c:order val="1"/>
          <c:tx>
            <c:strRef>
              <c:f>'1. Sales_analysis'!$F$18</c:f>
              <c:strCache>
                <c:ptCount val="1"/>
                <c:pt idx="0">
                  <c:v>normal</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Sales_analysis'!$F$19:$F$30</c:f>
              <c:numCache>
                <c:formatCode>_("$"* #,##0_);_("$"* \(#,##0\);_("$"* "-"??_);_(@_)</c:formatCode>
                <c:ptCount val="12"/>
                <c:pt idx="0">
                  <c:v>0</c:v>
                </c:pt>
                <c:pt idx="1">
                  <c:v>1477.1111111111111</c:v>
                </c:pt>
                <c:pt idx="2">
                  <c:v>1598.0833333333333</c:v>
                </c:pt>
                <c:pt idx="3">
                  <c:v>1371.2857142857142</c:v>
                </c:pt>
                <c:pt idx="4">
                  <c:v>2138.8000000000002</c:v>
                </c:pt>
                <c:pt idx="5">
                  <c:v>2392.7777777777778</c:v>
                </c:pt>
                <c:pt idx="6">
                  <c:v>860.55555555555554</c:v>
                </c:pt>
                <c:pt idx="7">
                  <c:v>1429.5454545454545</c:v>
                </c:pt>
                <c:pt idx="8">
                  <c:v>1462.9</c:v>
                </c:pt>
                <c:pt idx="9">
                  <c:v>1589.3846153846155</c:v>
                </c:pt>
                <c:pt idx="10">
                  <c:v>#N/A</c:v>
                </c:pt>
                <c:pt idx="11">
                  <c:v>1824.8</c:v>
                </c:pt>
              </c:numCache>
            </c:numRef>
          </c:val>
          <c:extLst>
            <c:ext xmlns:c16="http://schemas.microsoft.com/office/drawing/2014/chart" uri="{C3380CC4-5D6E-409C-BE32-E72D297353CC}">
              <c16:uniqueId val="{00000001-87AE-3C4E-A752-F9BA1EF194C1}"/>
            </c:ext>
          </c:extLst>
        </c:ser>
        <c:dLbls>
          <c:dLblPos val="outEnd"/>
          <c:showLegendKey val="0"/>
          <c:showVal val="1"/>
          <c:showCatName val="0"/>
          <c:showSerName val="0"/>
          <c:showPercent val="0"/>
          <c:showBubbleSize val="0"/>
        </c:dLbls>
        <c:gapWidth val="100"/>
        <c:overlap val="-24"/>
        <c:axId val="69344864"/>
        <c:axId val="69345552"/>
      </c:barChart>
      <c:catAx>
        <c:axId val="693448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9345552"/>
        <c:crosses val="autoZero"/>
        <c:auto val="1"/>
        <c:lblAlgn val="ctr"/>
        <c:lblOffset val="100"/>
        <c:noMultiLvlLbl val="0"/>
      </c:catAx>
      <c:valAx>
        <c:axId val="69345552"/>
        <c:scaling>
          <c:orientation val="minMax"/>
        </c:scaling>
        <c:delete val="1"/>
        <c:axPos val="l"/>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69344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Sales by</a:t>
            </a:r>
            <a:r>
              <a:rPr lang="en-US" b="1" baseline="0">
                <a:solidFill>
                  <a:schemeClr val="tx1"/>
                </a:solidFill>
              </a:rPr>
              <a:t> Month</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strRef>
              <c:f>'1. Sales_analysis'!$C$18</c:f>
              <c:strCache>
                <c:ptCount val="1"/>
                <c:pt idx="0">
                  <c:v>Total</c:v>
                </c:pt>
              </c:strCache>
            </c:strRef>
          </c:tx>
          <c:spPr>
            <a:ln w="28575" cap="rnd">
              <a:solidFill>
                <a:schemeClr val="accent1"/>
              </a:solidFill>
              <a:round/>
            </a:ln>
            <a:effectLst/>
          </c:spPr>
          <c:marker>
            <c:symbol val="none"/>
          </c:marker>
          <c:cat>
            <c:strRef>
              <c:f>'1. Sales_analysis'!$A$19:$A$30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'1. Sales_analysis'!$C$19:$C$30</c:f>
              <c:numCache>
                <c:formatCode>_([$$-409]* #,##0_);_([$$-409]* \(#,##0\);_([$$-409]* "-"??_);_(@_)</c:formatCode>
                <c:ptCount val="12"/>
                <c:pt idx="0">
                  <c:v>0</c:v>
                </c:pt>
                <c:pt idx="1">
                  <c:v>13294</c:v>
                </c:pt>
                <c:pt idx="2">
                  <c:v>19177</c:v>
                </c:pt>
                <c:pt idx="3">
                  <c:v>19198</c:v>
                </c:pt>
                <c:pt idx="4">
                  <c:v>21388</c:v>
                </c:pt>
                <c:pt idx="5">
                  <c:v>21535</c:v>
                </c:pt>
                <c:pt idx="6">
                  <c:v>7745</c:v>
                </c:pt>
                <c:pt idx="7">
                  <c:v>15725</c:v>
                </c:pt>
                <c:pt idx="8">
                  <c:v>14629</c:v>
                </c:pt>
                <c:pt idx="9">
                  <c:v>20662</c:v>
                </c:pt>
                <c:pt idx="10">
                  <c:v>32946</c:v>
                </c:pt>
                <c:pt idx="11">
                  <c:v>18248</c:v>
                </c:pt>
              </c:numCache>
            </c:numRef>
          </c:val>
          <c:smooth val="0"/>
          <c:extLst>
            <c:ext xmlns:c16="http://schemas.microsoft.com/office/drawing/2014/chart" uri="{C3380CC4-5D6E-409C-BE32-E72D297353CC}">
              <c16:uniqueId val="{00000000-8B33-5148-A823-0FBB0B9F43BE}"/>
            </c:ext>
          </c:extLst>
        </c:ser>
        <c:dLbls>
          <c:showLegendKey val="0"/>
          <c:showVal val="0"/>
          <c:showCatName val="0"/>
          <c:showSerName val="0"/>
          <c:showPercent val="0"/>
          <c:showBubbleSize val="0"/>
        </c:dLbls>
        <c:smooth val="0"/>
        <c:axId val="478910640"/>
        <c:axId val="478187744"/>
      </c:lineChart>
      <c:catAx>
        <c:axId val="478910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187744"/>
        <c:crosses val="autoZero"/>
        <c:auto val="1"/>
        <c:lblAlgn val="ctr"/>
        <c:lblOffset val="100"/>
        <c:noMultiLvlLbl val="0"/>
      </c:catAx>
      <c:valAx>
        <c:axId val="478187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891064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baseline="0">
                <a:solidFill>
                  <a:schemeClr val="tx1"/>
                </a:solidFill>
              </a:rPr>
              <a:t>Top 5 Best-Selling Products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'1. Sales_analysis'!$E$43</c:f>
              <c:strCache>
                <c:ptCount val="1"/>
                <c:pt idx="0">
                  <c:v>total sales</c:v>
                </c:pt>
              </c:strCache>
            </c:strRef>
          </c:tx>
          <c:spPr>
            <a:solidFill>
              <a:schemeClr val="accent1"/>
            </a:solidFill>
            <a:ln>
              <a:noFill/>
            </a:ln>
            <a:effectLst/>
          </c:spPr>
          <c:invertIfNegative val="0"/>
          <c:cat>
            <c:strRef>
              <c:f>'1. Sales_analysis'!$D$44:$D$48</c:f>
              <c:strCache>
                <c:ptCount val="5"/>
                <c:pt idx="0">
                  <c:v>Cámara Canon EOS</c:v>
                </c:pt>
                <c:pt idx="1">
                  <c:v>Laptop HP Spectre</c:v>
                </c:pt>
                <c:pt idx="2">
                  <c:v>iPhone 15 Pro</c:v>
                </c:pt>
                <c:pt idx="3">
                  <c:v>Laptop Dell XPS</c:v>
                </c:pt>
                <c:pt idx="4">
                  <c:v>Xbox Series X</c:v>
                </c:pt>
              </c:strCache>
            </c:strRef>
          </c:cat>
          <c:val>
            <c:numRef>
              <c:f>'1. Sales_analysis'!$E$44:$E$48</c:f>
              <c:numCache>
                <c:formatCode>General</c:formatCode>
                <c:ptCount val="5"/>
                <c:pt idx="0">
                  <c:v>23400</c:v>
                </c:pt>
                <c:pt idx="1">
                  <c:v>18700</c:v>
                </c:pt>
                <c:pt idx="2">
                  <c:v>15984</c:v>
                </c:pt>
                <c:pt idx="3">
                  <c:v>13200</c:v>
                </c:pt>
                <c:pt idx="4">
                  <c:v>11976</c:v>
                </c:pt>
              </c:numCache>
            </c:numRef>
          </c:val>
          <c:extLst>
            <c:ext xmlns:c16="http://schemas.microsoft.com/office/drawing/2014/chart" uri="{C3380CC4-5D6E-409C-BE32-E72D297353CC}">
              <c16:uniqueId val="{00000000-DC7A-7946-A751-E4F0637CB692}"/>
            </c:ext>
          </c:extLst>
        </c:ser>
        <c:dLbls>
          <c:showLegendKey val="0"/>
          <c:showVal val="0"/>
          <c:showCatName val="0"/>
          <c:showSerName val="0"/>
          <c:showPercent val="0"/>
          <c:showBubbleSize val="0"/>
        </c:dLbls>
        <c:gapWidth val="219"/>
        <c:overlap val="-27"/>
        <c:axId val="1375650624"/>
        <c:axId val="1357340832"/>
      </c:barChart>
      <c:catAx>
        <c:axId val="1375650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7340832"/>
        <c:crosses val="autoZero"/>
        <c:auto val="1"/>
        <c:lblAlgn val="ctr"/>
        <c:lblOffset val="100"/>
        <c:noMultiLvlLbl val="0"/>
      </c:catAx>
      <c:valAx>
        <c:axId val="135734083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5650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sz="1400" b="1" i="0" u="none" strike="noStrike" kern="1200" spc="0" baseline="0">
                <a:solidFill>
                  <a:sysClr val="windowText" lastClr="000000"/>
                </a:solidFill>
              </a:rPr>
              <a:t>Critical Stock vs. Required Restocking</a:t>
            </a:r>
            <a:endParaRPr lang="en-US" sz="1400" b="1" i="0" u="none" strike="noStrike" kern="1200" spc="0" baseline="0">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lineChart>
        <c:grouping val="standard"/>
        <c:varyColors val="0"/>
        <c:ser>
          <c:idx val="0"/>
          <c:order val="0"/>
          <c:tx>
            <c:v>Critical stock</c:v>
          </c:tx>
          <c:spPr>
            <a:ln w="19050" cap="rnd">
              <a:solidFill>
                <a:schemeClr val="accent1"/>
              </a:solidFill>
              <a:round/>
            </a:ln>
            <a:effectLst/>
          </c:spPr>
          <c:marker>
            <c:symbol val="circle"/>
            <c:size val="5"/>
            <c:spPr>
              <a:solidFill>
                <a:srgbClr val="FF0000"/>
              </a:solidFill>
              <a:ln w="9525">
                <a:solidFill>
                  <a:srgbClr val="FF0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admin'!$N$11:$N$29</c:f>
              <c:numCache>
                <c:formatCode>General</c:formatCode>
                <c:ptCount val="19"/>
                <c:pt idx="0">
                  <c:v>0</c:v>
                </c:pt>
                <c:pt idx="1">
                  <c:v>0</c:v>
                </c:pt>
                <c:pt idx="2">
                  <c:v>0</c:v>
                </c:pt>
                <c:pt idx="3">
                  <c:v>0</c:v>
                </c:pt>
                <c:pt idx="4">
                  <c:v>0</c:v>
                </c:pt>
                <c:pt idx="5">
                  <c:v>0</c:v>
                </c:pt>
                <c:pt idx="6">
                  <c:v>3</c:v>
                </c:pt>
                <c:pt idx="7">
                  <c:v>4</c:v>
                </c:pt>
                <c:pt idx="8">
                  <c:v>4</c:v>
                </c:pt>
                <c:pt idx="9">
                  <c:v>4</c:v>
                </c:pt>
                <c:pt idx="10">
                  <c:v>4</c:v>
                </c:pt>
                <c:pt idx="11">
                  <c:v>4</c:v>
                </c:pt>
                <c:pt idx="12">
                  <c:v>4</c:v>
                </c:pt>
                <c:pt idx="13">
                  <c:v>4</c:v>
                </c:pt>
                <c:pt idx="14">
                  <c:v>5</c:v>
                </c:pt>
                <c:pt idx="15">
                  <c:v>5</c:v>
                </c:pt>
                <c:pt idx="16">
                  <c:v>6</c:v>
                </c:pt>
                <c:pt idx="17">
                  <c:v>10</c:v>
                </c:pt>
                <c:pt idx="18">
                  <c:v>10</c:v>
                </c:pt>
              </c:numCache>
            </c:numRef>
          </c:val>
          <c:smooth val="0"/>
          <c:extLst>
            <c:ext xmlns:c16="http://schemas.microsoft.com/office/drawing/2014/chart" uri="{C3380CC4-5D6E-409C-BE32-E72D297353CC}">
              <c16:uniqueId val="{00000000-D3CA-5E43-B222-FB6E15724190}"/>
            </c:ext>
          </c:extLst>
        </c:ser>
        <c:ser>
          <c:idx val="1"/>
          <c:order val="1"/>
          <c:tx>
            <c:v>Optimal stock</c:v>
          </c:tx>
          <c:spPr>
            <a:ln w="19050" cap="rnd">
              <a:solidFill>
                <a:schemeClr val="accent2"/>
              </a:solidFill>
              <a:round/>
            </a:ln>
            <a:effectLst/>
          </c:spPr>
          <c:marker>
            <c:symbol val="circle"/>
            <c:size val="5"/>
            <c:spPr>
              <a:solidFill>
                <a:srgbClr val="FFC000"/>
              </a:solidFill>
              <a:ln w="9525">
                <a:solidFill>
                  <a:srgbClr val="FFC000"/>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'2.Inventory admin'!$M$11:$M$29</c:f>
              <c:strCache>
                <c:ptCount val="19"/>
                <c:pt idx="0">
                  <c:v>Laptop Dell XPS</c:v>
                </c:pt>
                <c:pt idx="1">
                  <c:v>iPhone 15 Pro</c:v>
                </c:pt>
                <c:pt idx="2">
                  <c:v>Bocinas JBL</c:v>
                </c:pt>
                <c:pt idx="3">
                  <c:v>Laptop HP Spectre</c:v>
                </c:pt>
                <c:pt idx="4">
                  <c:v>Sofá de Cuero</c:v>
                </c:pt>
                <c:pt idx="5">
                  <c:v>Cama Queen Size</c:v>
                </c:pt>
                <c:pt idx="6">
                  <c:v>Trotadora NordicTrack</c:v>
                </c:pt>
                <c:pt idx="7">
                  <c:v>Lavadora Whirlpool</c:v>
                </c:pt>
                <c:pt idx="8">
                  <c:v>Tenis Nike Air Max</c:v>
                </c:pt>
                <c:pt idx="9">
                  <c:v>Botas Timberland</c:v>
                </c:pt>
                <c:pt idx="10">
                  <c:v>Chaqueta North Face</c:v>
                </c:pt>
                <c:pt idx="11">
                  <c:v>Pantalón Levi's 501</c:v>
                </c:pt>
                <c:pt idx="12">
                  <c:v>Mochila Adidas</c:v>
                </c:pt>
                <c:pt idx="13">
                  <c:v>Perfume Dior Sauvage</c:v>
                </c:pt>
                <c:pt idx="14">
                  <c:v>Secadora Whirlpool</c:v>
                </c:pt>
                <c:pt idx="15">
                  <c:v>Cafetera Nespresso</c:v>
                </c:pt>
                <c:pt idx="16">
                  <c:v>Aspiradora Dyson</c:v>
                </c:pt>
                <c:pt idx="17">
                  <c:v>Cámara Canon EOS</c:v>
                </c:pt>
                <c:pt idx="18">
                  <c:v>Bolígrafo Montblanc</c:v>
                </c:pt>
              </c:strCache>
            </c:strRef>
          </c:cat>
          <c:val>
            <c:numRef>
              <c:f>'2.Inventory admin'!$O$11:$O$29</c:f>
              <c:numCache>
                <c:formatCode>General</c:formatCode>
                <c:ptCount val="19"/>
                <c:pt idx="0">
                  <c:v>20</c:v>
                </c:pt>
                <c:pt idx="1">
                  <c:v>20</c:v>
                </c:pt>
                <c:pt idx="2">
                  <c:v>20</c:v>
                </c:pt>
                <c:pt idx="3">
                  <c:v>15</c:v>
                </c:pt>
                <c:pt idx="4">
                  <c:v>10</c:v>
                </c:pt>
                <c:pt idx="5">
                  <c:v>20</c:v>
                </c:pt>
                <c:pt idx="6">
                  <c:v>14</c:v>
                </c:pt>
                <c:pt idx="7">
                  <c:v>12</c:v>
                </c:pt>
                <c:pt idx="8">
                  <c:v>17</c:v>
                </c:pt>
                <c:pt idx="9">
                  <c:v>10</c:v>
                </c:pt>
                <c:pt idx="10">
                  <c:v>13</c:v>
                </c:pt>
                <c:pt idx="11">
                  <c:v>16</c:v>
                </c:pt>
                <c:pt idx="12">
                  <c:v>19</c:v>
                </c:pt>
                <c:pt idx="13">
                  <c:v>12</c:v>
                </c:pt>
                <c:pt idx="14">
                  <c:v>13</c:v>
                </c:pt>
                <c:pt idx="15">
                  <c:v>18</c:v>
                </c:pt>
                <c:pt idx="16">
                  <c:v>13</c:v>
                </c:pt>
                <c:pt idx="17">
                  <c:v>20</c:v>
                </c:pt>
                <c:pt idx="18">
                  <c:v>19</c:v>
                </c:pt>
              </c:numCache>
            </c:numRef>
          </c:val>
          <c:smooth val="0"/>
          <c:extLst>
            <c:ext xmlns:c16="http://schemas.microsoft.com/office/drawing/2014/chart" uri="{C3380CC4-5D6E-409C-BE32-E72D297353CC}">
              <c16:uniqueId val="{00000001-D3CA-5E43-B222-FB6E15724190}"/>
            </c:ext>
          </c:extLst>
        </c:ser>
        <c:dLbls>
          <c:showLegendKey val="0"/>
          <c:showVal val="0"/>
          <c:showCatName val="0"/>
          <c:showSerName val="0"/>
          <c:showPercent val="0"/>
          <c:showBubbleSize val="0"/>
        </c:dLbls>
        <c:marker val="1"/>
        <c:smooth val="0"/>
        <c:axId val="1059574559"/>
        <c:axId val="431552383"/>
      </c:lineChart>
      <c:catAx>
        <c:axId val="1059574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5400000" spcFirstLastPara="1" vertOverflow="ellipsis"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431552383"/>
        <c:crosses val="autoZero"/>
        <c:auto val="0"/>
        <c:lblAlgn val="ctr"/>
        <c:lblOffset val="100"/>
        <c:noMultiLvlLbl val="0"/>
      </c:catAx>
      <c:valAx>
        <c:axId val="431552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059574559"/>
        <c:crosses val="autoZero"/>
        <c:crossBetween val="between"/>
      </c:valAx>
      <c:spPr>
        <a:noFill/>
        <a:ln>
          <a:noFill/>
        </a:ln>
        <a:effectLst/>
      </c:spPr>
    </c:plotArea>
    <c:legend>
      <c:legendPos val="b"/>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r>
              <a:rPr lang="en-US">
                <a:solidFill>
                  <a:schemeClr val="tx1"/>
                </a:solidFill>
              </a:rPr>
              <a:t>Sales</a:t>
            </a:r>
            <a:r>
              <a:rPr lang="en-US" baseline="0">
                <a:solidFill>
                  <a:schemeClr val="tx1"/>
                </a:solidFill>
              </a:rPr>
              <a:t> by employee</a:t>
            </a:r>
            <a:endParaRPr lang="en-US">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'3. Employee performance'!$B$23</c:f>
              <c:strCache>
                <c:ptCount val="1"/>
                <c:pt idx="0">
                  <c:v>Total sales SUMIF</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performance'!$A$24:$A$33</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performance'!$B$24:$B$33</c:f>
              <c:numCache>
                <c:formatCode>_([$$-409]* #,##0_);_([$$-409]* \(#,##0\);_([$$-409]* "-"??_);_(@_)</c:formatCode>
                <c:ptCount val="10"/>
                <c:pt idx="0">
                  <c:v>12625</c:v>
                </c:pt>
                <c:pt idx="1">
                  <c:v>15120</c:v>
                </c:pt>
                <c:pt idx="2">
                  <c:v>15344</c:v>
                </c:pt>
                <c:pt idx="3">
                  <c:v>16135</c:v>
                </c:pt>
                <c:pt idx="4">
                  <c:v>17340</c:v>
                </c:pt>
                <c:pt idx="5">
                  <c:v>17344</c:v>
                </c:pt>
                <c:pt idx="6">
                  <c:v>17721</c:v>
                </c:pt>
                <c:pt idx="7">
                  <c:v>24369</c:v>
                </c:pt>
                <c:pt idx="8">
                  <c:v>28746</c:v>
                </c:pt>
                <c:pt idx="9">
                  <c:v>39803</c:v>
                </c:pt>
              </c:numCache>
            </c:numRef>
          </c:val>
          <c:extLst>
            <c:ext xmlns:c16="http://schemas.microsoft.com/office/drawing/2014/chart" uri="{C3380CC4-5D6E-409C-BE32-E72D297353CC}">
              <c16:uniqueId val="{00000000-CB99-3842-B0EE-D97F7812DBD6}"/>
            </c:ext>
          </c:extLst>
        </c:ser>
        <c:dLbls>
          <c:showLegendKey val="0"/>
          <c:showVal val="0"/>
          <c:showCatName val="0"/>
          <c:showSerName val="0"/>
          <c:showPercent val="0"/>
          <c:showBubbleSize val="0"/>
        </c:dLbls>
        <c:gapWidth val="100"/>
        <c:axId val="42049216"/>
        <c:axId val="2090257215"/>
      </c:barChart>
      <c:catAx>
        <c:axId val="420492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2090257215"/>
        <c:crosses val="autoZero"/>
        <c:auto val="1"/>
        <c:lblAlgn val="ctr"/>
        <c:lblOffset val="100"/>
        <c:noMultiLvlLbl val="0"/>
      </c:catAx>
      <c:valAx>
        <c:axId val="2090257215"/>
        <c:scaling>
          <c:orientation val="minMax"/>
        </c:scaling>
        <c:delete val="1"/>
        <c:axPos val="b"/>
        <c:majorGridlines>
          <c:spPr>
            <a:ln w="9525" cap="flat" cmpd="sng" algn="ctr">
              <a:solidFill>
                <a:schemeClr val="tx1">
                  <a:lumMod val="15000"/>
                  <a:lumOff val="85000"/>
                </a:schemeClr>
              </a:solidFill>
              <a:round/>
            </a:ln>
            <a:effectLst/>
          </c:spPr>
        </c:majorGridlines>
        <c:numFmt formatCode="0.0,&quot;k&quot;" sourceLinked="0"/>
        <c:majorTickMark val="none"/>
        <c:minorTickMark val="none"/>
        <c:tickLblPos val="nextTo"/>
        <c:crossAx val="4204921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bar"/>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performance'!$C$43:$C$52</c:f>
              <c:numCache>
                <c:formatCode>_("$"* #,##0.00_);_("$"* \(#,##0.00\);_("$"* "-"??_);_(@_)</c:formatCode>
                <c:ptCount val="10"/>
                <c:pt idx="0">
                  <c:v>#N/A</c:v>
                </c:pt>
                <c:pt idx="1">
                  <c:v>#N/A</c:v>
                </c:pt>
                <c:pt idx="2">
                  <c:v>#N/A</c:v>
                </c:pt>
                <c:pt idx="3">
                  <c:v>#N/A</c:v>
                </c:pt>
                <c:pt idx="4">
                  <c:v>#N/A</c:v>
                </c:pt>
                <c:pt idx="5">
                  <c:v>#N/A</c:v>
                </c:pt>
                <c:pt idx="6">
                  <c:v>#N/A</c:v>
                </c:pt>
                <c:pt idx="7">
                  <c:v>#N/A</c:v>
                </c:pt>
                <c:pt idx="8">
                  <c:v>#N/A</c:v>
                </c:pt>
                <c:pt idx="9">
                  <c:v>39803</c:v>
                </c:pt>
              </c:numCache>
            </c:numRef>
          </c:val>
          <c:extLst>
            <c:ext xmlns:c16="http://schemas.microsoft.com/office/drawing/2014/chart" uri="{C3380CC4-5D6E-409C-BE32-E72D297353CC}">
              <c16:uniqueId val="{00000000-5B13-8946-A6CF-600C3D3B1FDF}"/>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numFmt formatCode="&quot;$&quot;0.0,&quot;k&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'3. Employee performance'!$A$43:$A$52</c:f>
              <c:strCache>
                <c:ptCount val="10"/>
                <c:pt idx="0">
                  <c:v>Andrés Torres</c:v>
                </c:pt>
                <c:pt idx="1">
                  <c:v>Patricia Herrera</c:v>
                </c:pt>
                <c:pt idx="2">
                  <c:v>Elena Morales</c:v>
                </c:pt>
                <c:pt idx="3">
                  <c:v>Sofía Ramírez</c:v>
                </c:pt>
                <c:pt idx="4">
                  <c:v>Carlos Ruiz</c:v>
                </c:pt>
                <c:pt idx="5">
                  <c:v>Juan Pérez</c:v>
                </c:pt>
                <c:pt idx="6">
                  <c:v>Luis Gómez</c:v>
                </c:pt>
                <c:pt idx="7">
                  <c:v>Diego Castro</c:v>
                </c:pt>
                <c:pt idx="8">
                  <c:v>María Fernández</c:v>
                </c:pt>
                <c:pt idx="9">
                  <c:v>Ana López</c:v>
                </c:pt>
              </c:strCache>
            </c:strRef>
          </c:cat>
          <c:val>
            <c:numRef>
              <c:f>'3. Employee performance'!$D$43:$D$52</c:f>
              <c:numCache>
                <c:formatCode>_("$"* #,##0.00_);_("$"* \(#,##0.00\);_("$"* "-"??_);_(@_)</c:formatCode>
                <c:ptCount val="10"/>
                <c:pt idx="0">
                  <c:v>12625</c:v>
                </c:pt>
                <c:pt idx="1">
                  <c:v>15120</c:v>
                </c:pt>
                <c:pt idx="2">
                  <c:v>15344</c:v>
                </c:pt>
                <c:pt idx="3">
                  <c:v>16135</c:v>
                </c:pt>
                <c:pt idx="4">
                  <c:v>17340</c:v>
                </c:pt>
                <c:pt idx="5">
                  <c:v>17344</c:v>
                </c:pt>
                <c:pt idx="6">
                  <c:v>17721</c:v>
                </c:pt>
                <c:pt idx="7">
                  <c:v>24369</c:v>
                </c:pt>
                <c:pt idx="8">
                  <c:v>28746</c:v>
                </c:pt>
                <c:pt idx="9">
                  <c:v>#N/A</c:v>
                </c:pt>
              </c:numCache>
            </c:numRef>
          </c:val>
          <c:extLst>
            <c:ext xmlns:c16="http://schemas.microsoft.com/office/drawing/2014/chart" uri="{C3380CC4-5D6E-409C-BE32-E72D297353CC}">
              <c16:uniqueId val="{00000001-5B13-8946-A6CF-600C3D3B1FDF}"/>
            </c:ext>
          </c:extLst>
        </c:ser>
        <c:dLbls>
          <c:dLblPos val="inEnd"/>
          <c:showLegendKey val="0"/>
          <c:showVal val="1"/>
          <c:showCatName val="0"/>
          <c:showSerName val="0"/>
          <c:showPercent val="0"/>
          <c:showBubbleSize val="0"/>
        </c:dLbls>
        <c:gapWidth val="100"/>
        <c:axId val="569034128"/>
        <c:axId val="569241040"/>
      </c:barChart>
      <c:catAx>
        <c:axId val="5690341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569241040"/>
        <c:crosses val="autoZero"/>
        <c:auto val="1"/>
        <c:lblAlgn val="ctr"/>
        <c:lblOffset val="100"/>
        <c:noMultiLvlLbl val="0"/>
      </c:catAx>
      <c:valAx>
        <c:axId val="569241040"/>
        <c:scaling>
          <c:orientation val="minMax"/>
          <c:min val="5000"/>
        </c:scaling>
        <c:delete val="1"/>
        <c:axPos val="b"/>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crossAx val="5690341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r>
              <a:rPr lang="en-US" b="1">
                <a:solidFill>
                  <a:schemeClr val="tx1">
                    <a:lumMod val="75000"/>
                    <a:lumOff val="25000"/>
                  </a:schemeClr>
                </a:solidFill>
              </a:rPr>
              <a:t>Monthly Sales by Employee</a:t>
            </a:r>
          </a:p>
        </c:rich>
      </c:tx>
      <c:overlay val="0"/>
      <c:spPr>
        <a:noFill/>
        <a:ln>
          <a:noFill/>
        </a:ln>
        <a:effectLst/>
      </c:spPr>
      <c:txPr>
        <a:bodyPr rot="0" spcFirstLastPara="1" vertOverflow="ellipsis" vert="horz" wrap="square" anchor="ctr" anchorCtr="1"/>
        <a:lstStyle/>
        <a:p>
          <a:pPr>
            <a:defRPr sz="1400" b="1" i="0" u="none" strike="noStrike" kern="1200" cap="none" spc="20" baseline="0">
              <a:solidFill>
                <a:schemeClr val="tx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performance'!$C$56:$C$67</c:f>
              <c:numCache>
                <c:formatCode>_("$"* #,##0.00_);_("$"* \(#,##0.00\);_("$"* "-"??_);_(@_)</c:formatCode>
                <c:ptCount val="12"/>
                <c:pt idx="0">
                  <c:v>#N/A</c:v>
                </c:pt>
                <c:pt idx="1">
                  <c:v>#N/A</c:v>
                </c:pt>
                <c:pt idx="2">
                  <c:v>#N/A</c:v>
                </c:pt>
                <c:pt idx="3">
                  <c:v>#N/A</c:v>
                </c:pt>
                <c:pt idx="4">
                  <c:v>#N/A</c:v>
                </c:pt>
                <c:pt idx="5">
                  <c:v>#N/A</c:v>
                </c:pt>
                <c:pt idx="6">
                  <c:v>#N/A</c:v>
                </c:pt>
                <c:pt idx="7">
                  <c:v>2000</c:v>
                </c:pt>
                <c:pt idx="8">
                  <c:v>#N/A</c:v>
                </c:pt>
                <c:pt idx="9">
                  <c:v>#N/A</c:v>
                </c:pt>
                <c:pt idx="10">
                  <c:v>#N/A</c:v>
                </c:pt>
                <c:pt idx="11">
                  <c:v>#N/A</c:v>
                </c:pt>
              </c:numCache>
            </c:numRef>
          </c:val>
          <c:extLst>
            <c:ext xmlns:c16="http://schemas.microsoft.com/office/drawing/2014/chart" uri="{C3380CC4-5D6E-409C-BE32-E72D297353CC}">
              <c16:uniqueId val="{00000000-043F-8940-836D-0B5BDF867A0D}"/>
            </c:ext>
          </c:extLst>
        </c:ser>
        <c:ser>
          <c:idx val="1"/>
          <c:order val="1"/>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delete val="1"/>
          </c:dLbls>
          <c:cat>
            <c:strRef>
              <c:f>'3. Employee performance'!$A$56:$A$67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'3. Employee performance'!$D$56:$D$67</c:f>
              <c:numCache>
                <c:formatCode>_("$"* #,##0.00_);_("$"* \(#,##0.00\);_("$"* "-"??_);_(@_)</c:formatCode>
                <c:ptCount val="12"/>
                <c:pt idx="0">
                  <c:v>0</c:v>
                </c:pt>
                <c:pt idx="1">
                  <c:v>300</c:v>
                </c:pt>
                <c:pt idx="2">
                  <c:v>6947</c:v>
                </c:pt>
                <c:pt idx="3">
                  <c:v>2387</c:v>
                </c:pt>
                <c:pt idx="4">
                  <c:v>0</c:v>
                </c:pt>
                <c:pt idx="5">
                  <c:v>6750</c:v>
                </c:pt>
                <c:pt idx="6">
                  <c:v>0</c:v>
                </c:pt>
                <c:pt idx="7">
                  <c:v>#N/A</c:v>
                </c:pt>
                <c:pt idx="8">
                  <c:v>760</c:v>
                </c:pt>
                <c:pt idx="9">
                  <c:v>13590</c:v>
                </c:pt>
                <c:pt idx="10">
                  <c:v>6340</c:v>
                </c:pt>
                <c:pt idx="11">
                  <c:v>729</c:v>
                </c:pt>
              </c:numCache>
            </c:numRef>
          </c:val>
          <c:extLst>
            <c:ext xmlns:c16="http://schemas.microsoft.com/office/drawing/2014/chart" uri="{C3380CC4-5D6E-409C-BE32-E72D297353CC}">
              <c16:uniqueId val="{00000001-043F-8940-836D-0B5BDF867A0D}"/>
            </c:ext>
          </c:extLst>
        </c:ser>
        <c:dLbls>
          <c:dLblPos val="outEnd"/>
          <c:showLegendKey val="0"/>
          <c:showVal val="1"/>
          <c:showCatName val="0"/>
          <c:showSerName val="0"/>
          <c:showPercent val="0"/>
          <c:showBubbleSize val="0"/>
        </c:dLbls>
        <c:gapWidth val="100"/>
        <c:overlap val="-24"/>
        <c:axId val="1569856591"/>
        <c:axId val="1819572111"/>
      </c:barChart>
      <c:catAx>
        <c:axId val="15698565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819572111"/>
        <c:crosses val="autoZero"/>
        <c:auto val="1"/>
        <c:lblAlgn val="ctr"/>
        <c:lblOffset val="100"/>
        <c:noMultiLvlLbl val="0"/>
      </c:catAx>
      <c:valAx>
        <c:axId val="1819572111"/>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quot;k&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75000"/>
                    <a:lumOff val="25000"/>
                  </a:schemeClr>
                </a:solidFill>
                <a:latin typeface="+mn-lt"/>
                <a:ea typeface="+mn-ea"/>
                <a:cs typeface="+mn-cs"/>
              </a:defRPr>
            </a:pPr>
            <a:endParaRPr lang="en-US"/>
          </a:p>
        </c:txPr>
        <c:crossAx val="15698565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900"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900"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4" Type="http://schemas.openxmlformats.org/officeDocument/2006/relationships/chart" Target="../charts/chart9.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6</xdr:col>
      <xdr:colOff>88901</xdr:colOff>
      <xdr:row>17</xdr:row>
      <xdr:rowOff>177799</xdr:rowOff>
    </xdr:from>
    <xdr:to>
      <xdr:col>11</xdr:col>
      <xdr:colOff>165101</xdr:colOff>
      <xdr:row>30</xdr:row>
      <xdr:rowOff>107950</xdr:rowOff>
    </xdr:to>
    <xdr:graphicFrame macro="">
      <xdr:nvGraphicFramePr>
        <xdr:cNvPr id="4" name="Chart 3">
          <a:extLst>
            <a:ext uri="{FF2B5EF4-FFF2-40B4-BE49-F238E27FC236}">
              <a16:creationId xmlns:a16="http://schemas.microsoft.com/office/drawing/2014/main" id="{6CF5AB97-37CA-A346-81FF-F4E2438D1B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45720</xdr:colOff>
      <xdr:row>18</xdr:row>
      <xdr:rowOff>5080</xdr:rowOff>
    </xdr:from>
    <xdr:to>
      <xdr:col>5</xdr:col>
      <xdr:colOff>819150</xdr:colOff>
      <xdr:row>30</xdr:row>
      <xdr:rowOff>88900</xdr:rowOff>
    </xdr:to>
    <xdr:graphicFrame macro="">
      <xdr:nvGraphicFramePr>
        <xdr:cNvPr id="5" name="Chart 4">
          <a:extLst>
            <a:ext uri="{FF2B5EF4-FFF2-40B4-BE49-F238E27FC236}">
              <a16:creationId xmlns:a16="http://schemas.microsoft.com/office/drawing/2014/main" id="{28443B09-910E-CA4A-9B35-282B590AFD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1265</xdr:colOff>
      <xdr:row>53</xdr:row>
      <xdr:rowOff>929</xdr:rowOff>
    </xdr:from>
    <xdr:to>
      <xdr:col>9</xdr:col>
      <xdr:colOff>469900</xdr:colOff>
      <xdr:row>68</xdr:row>
      <xdr:rowOff>152400</xdr:rowOff>
    </xdr:to>
    <xdr:graphicFrame macro="">
      <xdr:nvGraphicFramePr>
        <xdr:cNvPr id="3" name="Chart 2">
          <a:extLst>
            <a:ext uri="{FF2B5EF4-FFF2-40B4-BE49-F238E27FC236}">
              <a16:creationId xmlns:a16="http://schemas.microsoft.com/office/drawing/2014/main" id="{63552ACC-3850-E040-9A52-A91CD1125C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814257</xdr:colOff>
      <xdr:row>36</xdr:row>
      <xdr:rowOff>19050</xdr:rowOff>
    </xdr:from>
    <xdr:to>
      <xdr:col>6</xdr:col>
      <xdr:colOff>0</xdr:colOff>
      <xdr:row>49</xdr:row>
      <xdr:rowOff>103302</xdr:rowOff>
    </xdr:to>
    <xdr:graphicFrame macro="">
      <xdr:nvGraphicFramePr>
        <xdr:cNvPr id="9" name="Chart 8">
          <a:extLst>
            <a:ext uri="{FF2B5EF4-FFF2-40B4-BE49-F238E27FC236}">
              <a16:creationId xmlns:a16="http://schemas.microsoft.com/office/drawing/2014/main" id="{BECFDE2C-4EE5-374D-8208-38DE34C42F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101600</xdr:colOff>
      <xdr:row>36</xdr:row>
      <xdr:rowOff>19050</xdr:rowOff>
    </xdr:from>
    <xdr:to>
      <xdr:col>11</xdr:col>
      <xdr:colOff>234462</xdr:colOff>
      <xdr:row>49</xdr:row>
      <xdr:rowOff>97692</xdr:rowOff>
    </xdr:to>
    <xdr:graphicFrame macro="">
      <xdr:nvGraphicFramePr>
        <xdr:cNvPr id="13" name="Chart 12">
          <a:extLst>
            <a:ext uri="{FF2B5EF4-FFF2-40B4-BE49-F238E27FC236}">
              <a16:creationId xmlns:a16="http://schemas.microsoft.com/office/drawing/2014/main" id="{8E72C227-9A2A-0D4C-B05B-EE07011D19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230371</xdr:colOff>
      <xdr:row>0</xdr:row>
      <xdr:rowOff>586562</xdr:rowOff>
    </xdr:from>
    <xdr:to>
      <xdr:col>17</xdr:col>
      <xdr:colOff>88604</xdr:colOff>
      <xdr:row>14</xdr:row>
      <xdr:rowOff>145902</xdr:rowOff>
    </xdr:to>
    <xdr:graphicFrame macro="">
      <xdr:nvGraphicFramePr>
        <xdr:cNvPr id="14" name="Chart 13">
          <a:extLst>
            <a:ext uri="{FF2B5EF4-FFF2-40B4-BE49-F238E27FC236}">
              <a16:creationId xmlns:a16="http://schemas.microsoft.com/office/drawing/2014/main" id="{BF27997D-681E-15D5-2AD5-921CA6497C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106325</xdr:colOff>
      <xdr:row>15</xdr:row>
      <xdr:rowOff>129952</xdr:rowOff>
    </xdr:from>
    <xdr:to>
      <xdr:col>17</xdr:col>
      <xdr:colOff>637953</xdr:colOff>
      <xdr:row>29</xdr:row>
      <xdr:rowOff>96873</xdr:rowOff>
    </xdr:to>
    <xdr:graphicFrame macro="">
      <xdr:nvGraphicFramePr>
        <xdr:cNvPr id="15" name="Chart 14">
          <a:extLst>
            <a:ext uri="{FF2B5EF4-FFF2-40B4-BE49-F238E27FC236}">
              <a16:creationId xmlns:a16="http://schemas.microsoft.com/office/drawing/2014/main" id="{0A37CD60-51AB-2244-92C0-E96E7FD8CA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1107557</xdr:colOff>
      <xdr:row>15</xdr:row>
      <xdr:rowOff>137633</xdr:rowOff>
    </xdr:from>
    <xdr:to>
      <xdr:col>9</xdr:col>
      <xdr:colOff>776766</xdr:colOff>
      <xdr:row>29</xdr:row>
      <xdr:rowOff>104554</xdr:rowOff>
    </xdr:to>
    <xdr:graphicFrame macro="">
      <xdr:nvGraphicFramePr>
        <xdr:cNvPr id="16" name="Chart 15">
          <a:extLst>
            <a:ext uri="{FF2B5EF4-FFF2-40B4-BE49-F238E27FC236}">
              <a16:creationId xmlns:a16="http://schemas.microsoft.com/office/drawing/2014/main" id="{652FD6E1-A5A0-AB9C-7E41-EAF9F2B64E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1199116</xdr:colOff>
      <xdr:row>48</xdr:row>
      <xdr:rowOff>184889</xdr:rowOff>
    </xdr:from>
    <xdr:to>
      <xdr:col>6</xdr:col>
      <xdr:colOff>1683488</xdr:colOff>
      <xdr:row>63</xdr:row>
      <xdr:rowOff>92740</xdr:rowOff>
    </xdr:to>
    <xdr:graphicFrame macro="">
      <xdr:nvGraphicFramePr>
        <xdr:cNvPr id="17" name="Chart 16">
          <a:extLst>
            <a:ext uri="{FF2B5EF4-FFF2-40B4-BE49-F238E27FC236}">
              <a16:creationId xmlns:a16="http://schemas.microsoft.com/office/drawing/2014/main" id="{7E143F4A-9076-2EB2-33D0-47170EB7E9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1371247</xdr:colOff>
      <xdr:row>11</xdr:row>
      <xdr:rowOff>26812</xdr:rowOff>
    </xdr:from>
    <xdr:to>
      <xdr:col>25</xdr:col>
      <xdr:colOff>216326</xdr:colOff>
      <xdr:row>27</xdr:row>
      <xdr:rowOff>67361</xdr:rowOff>
    </xdr:to>
    <xdr:graphicFrame macro="">
      <xdr:nvGraphicFramePr>
        <xdr:cNvPr id="3" name="Chart 2">
          <a:extLst>
            <a:ext uri="{FF2B5EF4-FFF2-40B4-BE49-F238E27FC236}">
              <a16:creationId xmlns:a16="http://schemas.microsoft.com/office/drawing/2014/main" id="{D04BCF01-0117-06C9-C571-EFEFA74AD3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377825</xdr:colOff>
      <xdr:row>6</xdr:row>
      <xdr:rowOff>285750</xdr:rowOff>
    </xdr:from>
    <xdr:to>
      <xdr:col>8</xdr:col>
      <xdr:colOff>593725</xdr:colOff>
      <xdr:row>20</xdr:row>
      <xdr:rowOff>69850</xdr:rowOff>
    </xdr:to>
    <xdr:graphicFrame macro="">
      <xdr:nvGraphicFramePr>
        <xdr:cNvPr id="4" name="Chart 3">
          <a:extLst>
            <a:ext uri="{FF2B5EF4-FFF2-40B4-BE49-F238E27FC236}">
              <a16:creationId xmlns:a16="http://schemas.microsoft.com/office/drawing/2014/main" id="{D34C3661-CC47-891B-BF24-A1DA3297E35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149225</xdr:colOff>
      <xdr:row>38</xdr:row>
      <xdr:rowOff>133350</xdr:rowOff>
    </xdr:from>
    <xdr:to>
      <xdr:col>8</xdr:col>
      <xdr:colOff>279400</xdr:colOff>
      <xdr:row>52</xdr:row>
      <xdr:rowOff>25400</xdr:rowOff>
    </xdr:to>
    <xdr:graphicFrame macro="">
      <xdr:nvGraphicFramePr>
        <xdr:cNvPr id="2" name="Chart 1">
          <a:extLst>
            <a:ext uri="{FF2B5EF4-FFF2-40B4-BE49-F238E27FC236}">
              <a16:creationId xmlns:a16="http://schemas.microsoft.com/office/drawing/2014/main" id="{117674C2-F16E-43CD-954C-2A3911FFC4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225425</xdr:colOff>
      <xdr:row>53</xdr:row>
      <xdr:rowOff>6350</xdr:rowOff>
    </xdr:from>
    <xdr:to>
      <xdr:col>8</xdr:col>
      <xdr:colOff>441325</xdr:colOff>
      <xdr:row>67</xdr:row>
      <xdr:rowOff>82550</xdr:rowOff>
    </xdr:to>
    <xdr:graphicFrame macro="">
      <xdr:nvGraphicFramePr>
        <xdr:cNvPr id="5" name="Chart 4">
          <a:extLst>
            <a:ext uri="{FF2B5EF4-FFF2-40B4-BE49-F238E27FC236}">
              <a16:creationId xmlns:a16="http://schemas.microsoft.com/office/drawing/2014/main" id="{5CA78B92-96F4-45D7-48F3-A119EE68E2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ia Valero" refreshedDate="45699.736337731483" createdVersion="8" refreshedVersion="8" minRefreshableVersion="3" recordCount="119" xr:uid="{ABEEBC01-520F-45DA-81DF-264D9E31BDC8}">
  <cacheSource type="worksheet">
    <worksheetSource name="sales"/>
  </cacheSource>
  <cacheFields count="11">
    <cacheField name="product_id" numFmtId="0">
      <sharedItems containsSemiMixedTypes="0" containsString="0" containsNumber="1" containsInteger="1" minValue="1001" maxValue="1119"/>
    </cacheField>
    <cacheField name="date" numFmtId="14">
      <sharedItems containsSemiMixedTypes="0" containsNonDate="0" containsDate="1" containsString="0" minDate="2024-02-01T00:00:00" maxDate="2025-01-01T00:00:00" count="100">
        <d v="2024-12-16T00:00:00"/>
        <d v="2024-10-24T00:00:00"/>
        <d v="2024-06-08T00:00:00"/>
        <d v="2024-06-12T00:00:00"/>
        <d v="2024-10-01T00:00:00"/>
        <d v="2024-04-04T00:00:00"/>
        <d v="2024-03-10T00:00:00"/>
        <d v="2024-12-20T00:00:00"/>
        <d v="2024-05-01T00:00:00"/>
        <d v="2024-08-01T00:00:00"/>
        <d v="2024-07-05T00:00:00"/>
        <d v="2024-08-26T00:00:00"/>
        <d v="2024-02-22T00:00:00"/>
        <d v="2024-03-14T00:00:00"/>
        <d v="2024-09-27T00:00:00"/>
        <d v="2024-06-03T00:00:00"/>
        <d v="2024-03-02T00:00:00"/>
        <d v="2024-05-12T00:00:00"/>
        <d v="2024-03-26T00:00:00"/>
        <d v="2024-11-23T00:00:00"/>
        <d v="2024-03-30T00:00:00"/>
        <d v="2024-10-10T00:00:00"/>
        <d v="2024-04-27T00:00:00"/>
        <d v="2024-06-29T00:00:00"/>
        <d v="2024-02-17T00:00:00"/>
        <d v="2024-09-02T00:00:00"/>
        <d v="2024-11-08T00:00:00"/>
        <d v="2024-07-14T00:00:00"/>
        <d v="2024-08-27T00:00:00"/>
        <d v="2024-12-31T00:00:00"/>
        <d v="2024-02-12T00:00:00"/>
        <d v="2024-07-23T00:00:00"/>
        <d v="2024-08-14T00:00:00"/>
        <d v="2024-09-03T00:00:00"/>
        <d v="2024-07-12T00:00:00"/>
        <d v="2024-10-20T00:00:00"/>
        <d v="2024-02-18T00:00:00"/>
        <d v="2024-06-27T00:00:00"/>
        <d v="2024-07-29T00:00:00"/>
        <d v="2024-06-04T00:00:00"/>
        <d v="2024-10-02T00:00:00"/>
        <d v="2024-04-25T00:00:00"/>
        <d v="2024-07-08T00:00:00"/>
        <d v="2024-05-17T00:00:00"/>
        <d v="2024-11-06T00:00:00"/>
        <d v="2024-08-04T00:00:00"/>
        <d v="2024-03-22T00:00:00"/>
        <d v="2024-03-20T00:00:00"/>
        <d v="2024-04-28T00:00:00"/>
        <d v="2024-09-20T00:00:00"/>
        <d v="2024-02-25T00:00:00"/>
        <d v="2024-10-25T00:00:00"/>
        <d v="2024-12-19T00:00:00"/>
        <d v="2024-04-11T00:00:00"/>
        <d v="2024-10-17T00:00:00"/>
        <d v="2024-09-17T00:00:00"/>
        <d v="2024-06-11T00:00:00"/>
        <d v="2024-08-24T00:00:00"/>
        <d v="2024-04-07T00:00:00"/>
        <d v="2024-09-21T00:00:00"/>
        <d v="2024-09-28T00:00:00"/>
        <d v="2024-11-25T00:00:00"/>
        <d v="2024-12-03T00:00:00"/>
        <d v="2024-05-05T00:00:00"/>
        <d v="2024-04-23T00:00:00"/>
        <d v="2024-03-31T00:00:00"/>
        <d v="2024-11-11T00:00:00"/>
        <d v="2024-04-30T00:00:00"/>
        <d v="2024-08-31T00:00:00"/>
        <d v="2024-11-18T00:00:00"/>
        <d v="2024-09-18T00:00:00"/>
        <d v="2024-12-22T00:00:00"/>
        <d v="2024-05-04T00:00:00"/>
        <d v="2024-03-09T00:00:00"/>
        <d v="2024-04-10T00:00:00"/>
        <d v="2024-11-28T00:00:00"/>
        <d v="2024-02-08T00:00:00"/>
        <d v="2024-11-01T00:00:00"/>
        <d v="2024-10-22T00:00:00"/>
        <d v="2024-04-21T00:00:00"/>
        <d v="2024-09-13T00:00:00"/>
        <d v="2024-08-22T00:00:00"/>
        <d v="2024-07-22T00:00:00"/>
        <d v="2024-02-01T00:00:00"/>
        <d v="2024-10-29T00:00:00"/>
        <d v="2024-10-23T00:00:00"/>
        <d v="2024-05-08T00:00:00"/>
        <d v="2024-09-26T00:00:00"/>
        <d v="2024-08-08T00:00:00"/>
        <d v="2024-05-06T00:00:00"/>
        <d v="2024-10-04T00:00:00"/>
        <d v="2024-12-30T00:00:00"/>
        <d v="2024-11-30T00:00:00"/>
        <d v="2024-11-13T00:00:00"/>
        <d v="2024-04-16T00:00:00"/>
        <d v="2024-05-30T00:00:00"/>
        <d v="2024-06-22T00:00:00"/>
        <d v="2024-04-26T00:00:00"/>
        <d v="2024-12-15T00:00:00"/>
        <d v="2024-10-18T00:00:00"/>
      </sharedItems>
      <fieldGroup par="10"/>
    </cacheField>
    <cacheField name="product_name" numFmtId="0">
      <sharedItems count="48">
        <s v="Laptop Dell XPS"/>
        <s v="iPhone 15 Pro"/>
        <s v="Samsung Galaxy S23"/>
        <s v="Smart TV LG 55&quot;"/>
        <s v="PlayStation 5"/>
        <s v="Xbox Series X"/>
        <s v="AirPods Pro"/>
        <s v="Cámara Canon EOS"/>
        <s v="Reloj Apple Watch"/>
        <s v="Bocinas JBL"/>
        <s v="Laptop HP Spectre"/>
        <s v="Monitor Dell 27&quot;"/>
        <s v="Mouse Logitech MX"/>
        <s v="Teclado Mecánico Razer"/>
        <s v="Silla Gamer Corsair"/>
        <s v="Escritorio Ejecutivo"/>
        <s v="Sofá de Cuero"/>
        <s v="Cama Queen Size"/>
        <s v="Almohada Memory Foam"/>
        <s v="Refrigerador Samsung"/>
        <s v="Microondas LG"/>
        <s v="Licuadora Ninja"/>
        <s v="Lavadora Whirlpool"/>
        <s v="Secadora Whirlpool"/>
        <s v="Cafetera Nespresso"/>
        <s v="Aspiradora Dyson"/>
        <s v="Purificador de Aire"/>
        <s v="Bicicleta Montaña"/>
        <s v="Patines Rollerblade"/>
        <s v="Mancuernas 20kg"/>
        <s v="Trotadora NordicTrack"/>
        <s v="Barra Olímpica"/>
        <s v="Tenis Nike Air Max"/>
        <s v="Botas Timberland"/>
        <s v="Chaqueta North Face"/>
        <s v="Pantalón Levi's 501"/>
        <s v="Mochila Adidas"/>
        <s v="Perfume Dior Sauvage"/>
        <s v="Maquillaje MAC"/>
        <s v="Crema Hidratante CeraVe"/>
        <s v="Protector Solar La Roche"/>
        <s v="Shampoo Redken"/>
        <s v="Lentes de Sol RayBan"/>
        <s v="Reloj Casio Vintage"/>
        <s v="Maleta Samsonite"/>
        <s v="Cinturón Cuero Hugo Boss"/>
        <s v="Guantes de Cuero"/>
        <s v="Bolígrafo Montblanc"/>
      </sharedItems>
    </cacheField>
    <cacheField name="category" numFmtId="0">
      <sharedItems/>
    </cacheField>
    <cacheField name="price_unit" numFmtId="0">
      <sharedItems containsSemiMixedTypes="0" containsString="0" containsNumber="1" containsInteger="1" minValue="20" maxValue="1300"/>
    </cacheField>
    <cacheField name="quantity" numFmtId="0">
      <sharedItems containsSemiMixedTypes="0" containsString="0" containsNumber="1" containsInteger="1" minValue="1" maxValue="10"/>
    </cacheField>
    <cacheField name="total" numFmtId="1">
      <sharedItems containsSemiMixedTypes="0" containsString="0" containsNumber="1" containsInteger="1" minValue="20" maxValue="9990"/>
    </cacheField>
    <cacheField name="employee" numFmtId="0">
      <sharedItems count="10">
        <s v="Juan Pérez"/>
        <s v="Ana López"/>
        <s v="Carlos Ruiz"/>
        <s v="María Fernández"/>
        <s v="Luis Gómez"/>
        <s v="Sofía Ramírez"/>
        <s v="Andrés Torres"/>
        <s v="Patricia Herrera"/>
        <s v="Diego Castro"/>
        <s v="Elena Morales"/>
      </sharedItems>
    </cacheField>
    <cacheField name="platform" numFmtId="0">
      <sharedItems/>
    </cacheField>
    <cacheField name="Days (date)" numFmtId="0" databaseField="0">
      <fieldGroup base="1">
        <rangePr groupBy="days" startDate="2024-02-01T00:00:00" endDate="2025-01-01T00:00:00"/>
        <groupItems count="368">
          <s v="&lt;2/1/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5"/>
        </groupItems>
      </fieldGroup>
    </cacheField>
    <cacheField name="Months (date)" numFmtId="0" databaseField="0">
      <fieldGroup base="1">
        <rangePr groupBy="months" startDate="2024-02-01T00:00:00" endDate="2025-01-01T00:00:00"/>
        <groupItems count="14">
          <s v="&lt;2/1/24"/>
          <s v="Jan"/>
          <s v="Feb"/>
          <s v="Mar"/>
          <s v="Apr"/>
          <s v="May"/>
          <s v="Jun"/>
          <s v="Jul"/>
          <s v="Aug"/>
          <s v="Sep"/>
          <s v="Oct"/>
          <s v="Nov"/>
          <s v="Dec"/>
          <s v="&gt;1/1/25"/>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9">
  <r>
    <n v="1001"/>
    <x v="0"/>
    <x v="0"/>
    <s v="Electrónica"/>
    <n v="1200"/>
    <n v="5"/>
    <n v="6000"/>
    <x v="0"/>
    <s v="store"/>
  </r>
  <r>
    <n v="1002"/>
    <x v="1"/>
    <x v="1"/>
    <s v="Electrónica"/>
    <n v="999"/>
    <n v="10"/>
    <n v="9990"/>
    <x v="1"/>
    <s v="online"/>
  </r>
  <r>
    <n v="1003"/>
    <x v="2"/>
    <x v="2"/>
    <s v="Electrónica"/>
    <n v="950"/>
    <n v="5"/>
    <n v="4750"/>
    <x v="2"/>
    <s v="store"/>
  </r>
  <r>
    <n v="1004"/>
    <x v="3"/>
    <x v="3"/>
    <s v="Electrónica"/>
    <n v="750"/>
    <n v="5"/>
    <n v="3750"/>
    <x v="1"/>
    <s v="online"/>
  </r>
  <r>
    <n v="1005"/>
    <x v="4"/>
    <x v="4"/>
    <s v="Electrónica"/>
    <n v="500"/>
    <n v="1"/>
    <n v="500"/>
    <x v="0"/>
    <s v="store"/>
  </r>
  <r>
    <n v="1006"/>
    <x v="5"/>
    <x v="5"/>
    <s v="Electrónica"/>
    <n v="499"/>
    <n v="6"/>
    <n v="2994"/>
    <x v="0"/>
    <s v="store"/>
  </r>
  <r>
    <n v="1007"/>
    <x v="6"/>
    <x v="6"/>
    <s v="Electrónica"/>
    <n v="249"/>
    <n v="3"/>
    <n v="747"/>
    <x v="1"/>
    <s v="store"/>
  </r>
  <r>
    <n v="1008"/>
    <x v="7"/>
    <x v="7"/>
    <s v="Electrónica"/>
    <n v="1300"/>
    <n v="1"/>
    <n v="1300"/>
    <x v="2"/>
    <s v="online"/>
  </r>
  <r>
    <n v="1009"/>
    <x v="8"/>
    <x v="8"/>
    <s v="Electrónica"/>
    <n v="429"/>
    <n v="5"/>
    <n v="2145"/>
    <x v="3"/>
    <s v="store"/>
  </r>
  <r>
    <n v="1010"/>
    <x v="9"/>
    <x v="9"/>
    <s v="Electrónica"/>
    <n v="150"/>
    <n v="2"/>
    <n v="300"/>
    <x v="4"/>
    <s v="store"/>
  </r>
  <r>
    <n v="1011"/>
    <x v="10"/>
    <x v="10"/>
    <s v="Electrónica"/>
    <n v="1100"/>
    <n v="2"/>
    <n v="2200"/>
    <x v="5"/>
    <s v="online"/>
  </r>
  <r>
    <n v="1012"/>
    <x v="11"/>
    <x v="11"/>
    <s v="Electrónica"/>
    <n v="350"/>
    <n v="6"/>
    <n v="2100"/>
    <x v="6"/>
    <s v="store"/>
  </r>
  <r>
    <n v="1013"/>
    <x v="12"/>
    <x v="12"/>
    <s v="Electrónica"/>
    <n v="100"/>
    <n v="2"/>
    <n v="200"/>
    <x v="7"/>
    <s v="store"/>
  </r>
  <r>
    <n v="1014"/>
    <x v="13"/>
    <x v="13"/>
    <s v="Electrónica"/>
    <n v="120"/>
    <n v="4"/>
    <n v="480"/>
    <x v="8"/>
    <s v="online"/>
  </r>
  <r>
    <n v="1015"/>
    <x v="14"/>
    <x v="14"/>
    <s v="Muebles"/>
    <n v="320"/>
    <n v="2"/>
    <n v="640"/>
    <x v="9"/>
    <s v="online"/>
  </r>
  <r>
    <n v="1016"/>
    <x v="15"/>
    <x v="15"/>
    <s v="Muebles"/>
    <n v="500"/>
    <n v="6"/>
    <n v="3000"/>
    <x v="1"/>
    <s v="online"/>
  </r>
  <r>
    <n v="1017"/>
    <x v="16"/>
    <x v="16"/>
    <s v="Muebles"/>
    <n v="800"/>
    <n v="3"/>
    <n v="2400"/>
    <x v="2"/>
    <s v="online"/>
  </r>
  <r>
    <n v="1018"/>
    <x v="17"/>
    <x v="17"/>
    <s v="Muebles"/>
    <n v="700"/>
    <n v="4"/>
    <n v="2800"/>
    <x v="3"/>
    <s v="online"/>
  </r>
  <r>
    <n v="1019"/>
    <x v="18"/>
    <x v="18"/>
    <s v="Muebles"/>
    <n v="50"/>
    <n v="2"/>
    <n v="100"/>
    <x v="4"/>
    <s v="online"/>
  </r>
  <r>
    <n v="1020"/>
    <x v="19"/>
    <x v="19"/>
    <s v="Electrodomésticos"/>
    <n v="1200"/>
    <n v="1"/>
    <n v="1200"/>
    <x v="8"/>
    <s v="store"/>
  </r>
  <r>
    <n v="1021"/>
    <x v="20"/>
    <x v="20"/>
    <s v="Electrodomésticos"/>
    <n v="150"/>
    <n v="6"/>
    <n v="900"/>
    <x v="9"/>
    <s v="store"/>
  </r>
  <r>
    <n v="1022"/>
    <x v="0"/>
    <x v="21"/>
    <s v="Electrodomésticos"/>
    <n v="120"/>
    <n v="4"/>
    <n v="480"/>
    <x v="1"/>
    <s v="online"/>
  </r>
  <r>
    <n v="1023"/>
    <x v="21"/>
    <x v="22"/>
    <s v="Electrodomésticos"/>
    <n v="900"/>
    <n v="1"/>
    <n v="900"/>
    <x v="3"/>
    <s v="online"/>
  </r>
  <r>
    <n v="1024"/>
    <x v="22"/>
    <x v="23"/>
    <s v="Electrodomésticos"/>
    <n v="850"/>
    <n v="6"/>
    <n v="5100"/>
    <x v="4"/>
    <s v="store"/>
  </r>
  <r>
    <n v="1025"/>
    <x v="23"/>
    <x v="24"/>
    <s v="Electrodomésticos"/>
    <n v="180"/>
    <n v="4"/>
    <n v="720"/>
    <x v="5"/>
    <s v="store"/>
  </r>
  <r>
    <n v="1026"/>
    <x v="24"/>
    <x v="25"/>
    <s v="Electrodomésticos"/>
    <n v="500"/>
    <n v="5"/>
    <n v="2500"/>
    <x v="6"/>
    <s v="store"/>
  </r>
  <r>
    <n v="1027"/>
    <x v="25"/>
    <x v="26"/>
    <s v="Electrodomésticos"/>
    <n v="250"/>
    <n v="3"/>
    <n v="750"/>
    <x v="7"/>
    <s v="online"/>
  </r>
  <r>
    <n v="1028"/>
    <x v="26"/>
    <x v="27"/>
    <s v="Deportes"/>
    <n v="600"/>
    <n v="6"/>
    <n v="3600"/>
    <x v="8"/>
    <s v="store"/>
  </r>
  <r>
    <n v="1029"/>
    <x v="27"/>
    <x v="28"/>
    <s v="Deportes"/>
    <n v="150"/>
    <n v="1"/>
    <n v="150"/>
    <x v="9"/>
    <s v="store"/>
  </r>
  <r>
    <n v="1030"/>
    <x v="28"/>
    <x v="29"/>
    <s v="Deportes"/>
    <n v="120"/>
    <n v="5"/>
    <n v="600"/>
    <x v="1"/>
    <s v="online"/>
  </r>
  <r>
    <n v="1031"/>
    <x v="29"/>
    <x v="30"/>
    <s v="Deportes"/>
    <n v="1300"/>
    <n v="3"/>
    <n v="3900"/>
    <x v="2"/>
    <s v="store"/>
  </r>
  <r>
    <n v="1032"/>
    <x v="30"/>
    <x v="31"/>
    <s v="Deportes"/>
    <n v="200"/>
    <n v="5"/>
    <n v="1000"/>
    <x v="3"/>
    <s v="store"/>
  </r>
  <r>
    <n v="1033"/>
    <x v="31"/>
    <x v="32"/>
    <s v="Ropa/Calzado"/>
    <n v="160"/>
    <n v="4"/>
    <n v="640"/>
    <x v="8"/>
    <s v="online"/>
  </r>
  <r>
    <n v="1034"/>
    <x v="32"/>
    <x v="33"/>
    <s v="Ropa/Calzado"/>
    <n v="180"/>
    <n v="1"/>
    <n v="180"/>
    <x v="9"/>
    <s v="online"/>
  </r>
  <r>
    <n v="1035"/>
    <x v="33"/>
    <x v="34"/>
    <s v="Ropa/Calzado"/>
    <n v="220"/>
    <n v="3"/>
    <n v="660"/>
    <x v="1"/>
    <s v="online"/>
  </r>
  <r>
    <n v="1036"/>
    <x v="34"/>
    <x v="35"/>
    <s v="Ropa/Calzado"/>
    <n v="90"/>
    <n v="6"/>
    <n v="540"/>
    <x v="3"/>
    <s v="online"/>
  </r>
  <r>
    <n v="1037"/>
    <x v="35"/>
    <x v="36"/>
    <s v="Ropa/Calzado"/>
    <n v="70"/>
    <n v="3"/>
    <n v="210"/>
    <x v="4"/>
    <s v="online"/>
  </r>
  <r>
    <n v="1038"/>
    <x v="36"/>
    <x v="37"/>
    <s v="Belleza"/>
    <n v="110"/>
    <n v="3"/>
    <n v="330"/>
    <x v="5"/>
    <s v="online"/>
  </r>
  <r>
    <n v="1039"/>
    <x v="37"/>
    <x v="38"/>
    <s v="Belleza"/>
    <n v="75"/>
    <n v="2"/>
    <n v="150"/>
    <x v="6"/>
    <s v="store"/>
  </r>
  <r>
    <n v="1040"/>
    <x v="38"/>
    <x v="39"/>
    <s v="Belleza"/>
    <n v="20"/>
    <n v="1"/>
    <n v="20"/>
    <x v="7"/>
    <s v="store"/>
  </r>
  <r>
    <n v="1041"/>
    <x v="39"/>
    <x v="40"/>
    <s v="Belleza"/>
    <n v="30"/>
    <n v="3"/>
    <n v="90"/>
    <x v="8"/>
    <s v="store"/>
  </r>
  <r>
    <n v="1042"/>
    <x v="40"/>
    <x v="41"/>
    <s v="Belleza"/>
    <n v="25"/>
    <n v="3"/>
    <n v="75"/>
    <x v="9"/>
    <s v="store"/>
  </r>
  <r>
    <n v="1043"/>
    <x v="41"/>
    <x v="42"/>
    <s v="Accesorios"/>
    <n v="200"/>
    <n v="1"/>
    <n v="200"/>
    <x v="1"/>
    <s v="online"/>
  </r>
  <r>
    <n v="1044"/>
    <x v="10"/>
    <x v="43"/>
    <s v="Accesorios"/>
    <n v="50"/>
    <n v="6"/>
    <n v="300"/>
    <x v="2"/>
    <s v="online"/>
  </r>
  <r>
    <n v="1045"/>
    <x v="42"/>
    <x v="44"/>
    <s v="Accesorios"/>
    <n v="250"/>
    <n v="6"/>
    <n v="1500"/>
    <x v="3"/>
    <s v="online"/>
  </r>
  <r>
    <n v="1046"/>
    <x v="43"/>
    <x v="45"/>
    <s v="Accesorios"/>
    <n v="80"/>
    <n v="3"/>
    <n v="240"/>
    <x v="2"/>
    <s v="online"/>
  </r>
  <r>
    <n v="1047"/>
    <x v="44"/>
    <x v="46"/>
    <s v="Accesorios"/>
    <n v="40"/>
    <n v="6"/>
    <n v="240"/>
    <x v="1"/>
    <s v="store"/>
  </r>
  <r>
    <n v="1048"/>
    <x v="45"/>
    <x v="47"/>
    <s v="Accesorios"/>
    <n v="300"/>
    <n v="1"/>
    <n v="300"/>
    <x v="0"/>
    <s v="store"/>
  </r>
  <r>
    <n v="1049"/>
    <x v="46"/>
    <x v="18"/>
    <s v="Muebles"/>
    <n v="50"/>
    <n v="6"/>
    <n v="300"/>
    <x v="0"/>
    <s v="store"/>
  </r>
  <r>
    <n v="1050"/>
    <x v="47"/>
    <x v="19"/>
    <s v="Electrodomésticos"/>
    <n v="1200"/>
    <n v="5"/>
    <n v="6000"/>
    <x v="1"/>
    <s v="store"/>
  </r>
  <r>
    <n v="1051"/>
    <x v="48"/>
    <x v="20"/>
    <s v="Electrodomésticos"/>
    <n v="150"/>
    <n v="4"/>
    <n v="600"/>
    <x v="2"/>
    <s v="store"/>
  </r>
  <r>
    <n v="1052"/>
    <x v="49"/>
    <x v="21"/>
    <s v="Electrodomésticos"/>
    <n v="120"/>
    <n v="4"/>
    <n v="480"/>
    <x v="3"/>
    <s v="store"/>
  </r>
  <r>
    <n v="1053"/>
    <x v="50"/>
    <x v="22"/>
    <s v="Electrodomésticos"/>
    <n v="900"/>
    <n v="3"/>
    <n v="2700"/>
    <x v="4"/>
    <s v="online"/>
  </r>
  <r>
    <n v="1054"/>
    <x v="51"/>
    <x v="23"/>
    <s v="Electrodomésticos"/>
    <n v="850"/>
    <n v="1"/>
    <n v="850"/>
    <x v="5"/>
    <s v="online"/>
  </r>
  <r>
    <n v="1055"/>
    <x v="52"/>
    <x v="24"/>
    <s v="Electrodomésticos"/>
    <n v="180"/>
    <n v="6"/>
    <n v="1080"/>
    <x v="6"/>
    <s v="online"/>
  </r>
  <r>
    <n v="1056"/>
    <x v="53"/>
    <x v="25"/>
    <s v="Electrodomésticos"/>
    <n v="500"/>
    <n v="3"/>
    <n v="1500"/>
    <x v="7"/>
    <s v="online"/>
  </r>
  <r>
    <n v="1057"/>
    <x v="34"/>
    <x v="26"/>
    <s v="Electrodomésticos"/>
    <n v="250"/>
    <n v="1"/>
    <n v="250"/>
    <x v="8"/>
    <s v="store"/>
  </r>
  <r>
    <n v="1058"/>
    <x v="54"/>
    <x v="27"/>
    <s v="Deportes"/>
    <n v="600"/>
    <n v="2"/>
    <n v="1200"/>
    <x v="9"/>
    <s v="online"/>
  </r>
  <r>
    <n v="1059"/>
    <x v="55"/>
    <x v="39"/>
    <s v="Belleza"/>
    <n v="20"/>
    <n v="5"/>
    <n v="100"/>
    <x v="1"/>
    <s v="store"/>
  </r>
  <r>
    <n v="1060"/>
    <x v="36"/>
    <x v="40"/>
    <s v="Belleza"/>
    <n v="30"/>
    <n v="4"/>
    <n v="120"/>
    <x v="2"/>
    <s v="store"/>
  </r>
  <r>
    <n v="1061"/>
    <x v="56"/>
    <x v="41"/>
    <s v="Belleza"/>
    <n v="25"/>
    <n v="5"/>
    <n v="125"/>
    <x v="8"/>
    <s v="store"/>
  </r>
  <r>
    <n v="1062"/>
    <x v="20"/>
    <x v="42"/>
    <s v="Accesorios"/>
    <n v="200"/>
    <n v="6"/>
    <n v="1200"/>
    <x v="9"/>
    <s v="online"/>
  </r>
  <r>
    <n v="1063"/>
    <x v="16"/>
    <x v="43"/>
    <s v="Accesorios"/>
    <n v="50"/>
    <n v="4"/>
    <n v="200"/>
    <x v="1"/>
    <s v="store"/>
  </r>
  <r>
    <n v="1064"/>
    <x v="57"/>
    <x v="44"/>
    <s v="Accesorios"/>
    <n v="250"/>
    <n v="6"/>
    <n v="1500"/>
    <x v="3"/>
    <s v="store"/>
  </r>
  <r>
    <n v="1065"/>
    <x v="58"/>
    <x v="45"/>
    <s v="Accesorios"/>
    <n v="80"/>
    <n v="4"/>
    <n v="320"/>
    <x v="4"/>
    <s v="online"/>
  </r>
  <r>
    <n v="1066"/>
    <x v="21"/>
    <x v="46"/>
    <s v="Accesorios"/>
    <n v="40"/>
    <n v="6"/>
    <n v="240"/>
    <x v="5"/>
    <s v="store"/>
  </r>
  <r>
    <n v="1067"/>
    <x v="16"/>
    <x v="47"/>
    <s v="Accesorios"/>
    <n v="300"/>
    <n v="3"/>
    <n v="900"/>
    <x v="6"/>
    <s v="store"/>
  </r>
  <r>
    <n v="1068"/>
    <x v="59"/>
    <x v="3"/>
    <s v="Electrónica"/>
    <n v="750"/>
    <n v="3"/>
    <n v="2250"/>
    <x v="7"/>
    <s v="online"/>
  </r>
  <r>
    <n v="1069"/>
    <x v="60"/>
    <x v="4"/>
    <s v="Electrónica"/>
    <n v="500"/>
    <n v="6"/>
    <n v="3000"/>
    <x v="8"/>
    <s v="online"/>
  </r>
  <r>
    <n v="1070"/>
    <x v="61"/>
    <x v="5"/>
    <s v="Electrónica"/>
    <n v="499"/>
    <n v="1"/>
    <n v="499"/>
    <x v="9"/>
    <s v="online"/>
  </r>
  <r>
    <n v="1071"/>
    <x v="62"/>
    <x v="6"/>
    <s v="Electrónica"/>
    <n v="249"/>
    <n v="1"/>
    <n v="249"/>
    <x v="1"/>
    <s v="online"/>
  </r>
  <r>
    <n v="1072"/>
    <x v="63"/>
    <x v="7"/>
    <s v="Electrónica"/>
    <n v="1300"/>
    <n v="4"/>
    <n v="5200"/>
    <x v="0"/>
    <s v="online"/>
  </r>
  <r>
    <n v="1073"/>
    <x v="64"/>
    <x v="8"/>
    <s v="Electrónica"/>
    <n v="429"/>
    <n v="3"/>
    <n v="1287"/>
    <x v="1"/>
    <s v="online"/>
  </r>
  <r>
    <n v="1074"/>
    <x v="65"/>
    <x v="9"/>
    <s v="Electrónica"/>
    <n v="150"/>
    <n v="5"/>
    <n v="750"/>
    <x v="2"/>
    <s v="store"/>
  </r>
  <r>
    <n v="1075"/>
    <x v="66"/>
    <x v="10"/>
    <s v="Electrónica"/>
    <n v="1100"/>
    <n v="5"/>
    <n v="5500"/>
    <x v="1"/>
    <s v="store"/>
  </r>
  <r>
    <n v="1076"/>
    <x v="67"/>
    <x v="11"/>
    <s v="Electrónica"/>
    <n v="350"/>
    <n v="5"/>
    <n v="1750"/>
    <x v="0"/>
    <s v="online"/>
  </r>
  <r>
    <n v="1077"/>
    <x v="68"/>
    <x v="12"/>
    <s v="Electrónica"/>
    <n v="100"/>
    <n v="3"/>
    <n v="300"/>
    <x v="0"/>
    <s v="online"/>
  </r>
  <r>
    <n v="1078"/>
    <x v="69"/>
    <x v="13"/>
    <s v="Electrónica"/>
    <n v="120"/>
    <n v="5"/>
    <n v="600"/>
    <x v="1"/>
    <s v="store"/>
  </r>
  <r>
    <n v="1079"/>
    <x v="70"/>
    <x v="4"/>
    <s v="Electrónica"/>
    <n v="500"/>
    <n v="5"/>
    <n v="2500"/>
    <x v="2"/>
    <s v="store"/>
  </r>
  <r>
    <n v="1080"/>
    <x v="71"/>
    <x v="5"/>
    <s v="Electrónica"/>
    <n v="499"/>
    <n v="6"/>
    <n v="2994"/>
    <x v="3"/>
    <s v="store"/>
  </r>
  <r>
    <n v="1081"/>
    <x v="72"/>
    <x v="6"/>
    <s v="Electrónica"/>
    <n v="249"/>
    <n v="2"/>
    <n v="498"/>
    <x v="4"/>
    <s v="online"/>
  </r>
  <r>
    <n v="1082"/>
    <x v="73"/>
    <x v="7"/>
    <s v="Electrónica"/>
    <n v="1300"/>
    <n v="4"/>
    <n v="5200"/>
    <x v="5"/>
    <s v="store"/>
  </r>
  <r>
    <n v="1083"/>
    <x v="57"/>
    <x v="8"/>
    <s v="Electrónica"/>
    <n v="429"/>
    <n v="5"/>
    <n v="2145"/>
    <x v="6"/>
    <s v="store"/>
  </r>
  <r>
    <n v="1084"/>
    <x v="74"/>
    <x v="9"/>
    <s v="Electrónica"/>
    <n v="150"/>
    <n v="3"/>
    <n v="450"/>
    <x v="7"/>
    <s v="online"/>
  </r>
  <r>
    <n v="1085"/>
    <x v="75"/>
    <x v="10"/>
    <s v="Electrónica"/>
    <n v="1100"/>
    <n v="4"/>
    <n v="4400"/>
    <x v="8"/>
    <s v="store"/>
  </r>
  <r>
    <n v="1086"/>
    <x v="17"/>
    <x v="11"/>
    <s v="Electrónica"/>
    <n v="350"/>
    <n v="6"/>
    <n v="2100"/>
    <x v="9"/>
    <s v="store"/>
  </r>
  <r>
    <n v="1087"/>
    <x v="12"/>
    <x v="12"/>
    <s v="Electrónica"/>
    <n v="100"/>
    <n v="3"/>
    <n v="300"/>
    <x v="1"/>
    <s v="online"/>
  </r>
  <r>
    <n v="1088"/>
    <x v="69"/>
    <x v="13"/>
    <s v="Electrónica"/>
    <n v="120"/>
    <n v="1"/>
    <n v="120"/>
    <x v="2"/>
    <s v="online"/>
  </r>
  <r>
    <n v="1089"/>
    <x v="23"/>
    <x v="0"/>
    <s v="Electrónica"/>
    <n v="1200"/>
    <n v="6"/>
    <n v="7200"/>
    <x v="3"/>
    <s v="online"/>
  </r>
  <r>
    <n v="1090"/>
    <x v="76"/>
    <x v="1"/>
    <s v="Electrónica"/>
    <n v="999"/>
    <n v="6"/>
    <n v="5994"/>
    <x v="4"/>
    <s v="online"/>
  </r>
  <r>
    <n v="1091"/>
    <x v="77"/>
    <x v="2"/>
    <s v="Electrónica"/>
    <n v="950"/>
    <n v="6"/>
    <n v="5700"/>
    <x v="8"/>
    <s v="online"/>
  </r>
  <r>
    <n v="1092"/>
    <x v="32"/>
    <x v="3"/>
    <s v="Electrónica"/>
    <n v="750"/>
    <n v="4"/>
    <n v="3000"/>
    <x v="9"/>
    <s v="online"/>
  </r>
  <r>
    <n v="1093"/>
    <x v="78"/>
    <x v="4"/>
    <s v="Electrónica"/>
    <n v="500"/>
    <n v="6"/>
    <n v="3000"/>
    <x v="1"/>
    <s v="store"/>
  </r>
  <r>
    <n v="1094"/>
    <x v="79"/>
    <x v="5"/>
    <s v="Electrónica"/>
    <n v="499"/>
    <n v="3"/>
    <n v="1497"/>
    <x v="3"/>
    <s v="store"/>
  </r>
  <r>
    <n v="1095"/>
    <x v="80"/>
    <x v="6"/>
    <s v="Electrónica"/>
    <n v="249"/>
    <n v="1"/>
    <n v="249"/>
    <x v="4"/>
    <s v="store"/>
  </r>
  <r>
    <n v="1096"/>
    <x v="81"/>
    <x v="7"/>
    <s v="Electrónica"/>
    <n v="1300"/>
    <n v="3"/>
    <n v="3900"/>
    <x v="5"/>
    <s v="online"/>
  </r>
  <r>
    <n v="1097"/>
    <x v="82"/>
    <x v="8"/>
    <s v="Electrónica"/>
    <n v="429"/>
    <n v="5"/>
    <n v="2145"/>
    <x v="6"/>
    <s v="store"/>
  </r>
  <r>
    <n v="1098"/>
    <x v="83"/>
    <x v="9"/>
    <s v="Electrónica"/>
    <n v="150"/>
    <n v="1"/>
    <n v="150"/>
    <x v="7"/>
    <s v="store"/>
  </r>
  <r>
    <n v="1099"/>
    <x v="84"/>
    <x v="10"/>
    <s v="Electrónica"/>
    <n v="1100"/>
    <n v="1"/>
    <n v="1100"/>
    <x v="8"/>
    <s v="online"/>
  </r>
  <r>
    <n v="1100"/>
    <x v="53"/>
    <x v="11"/>
    <s v="Electrónica"/>
    <n v="350"/>
    <n v="4"/>
    <n v="1400"/>
    <x v="9"/>
    <s v="store"/>
  </r>
  <r>
    <n v="1101"/>
    <x v="85"/>
    <x v="12"/>
    <s v="Electrónica"/>
    <n v="100"/>
    <n v="6"/>
    <n v="600"/>
    <x v="1"/>
    <s v="store"/>
  </r>
  <r>
    <n v="1102"/>
    <x v="86"/>
    <x v="13"/>
    <s v="Electrónica"/>
    <n v="120"/>
    <n v="3"/>
    <n v="360"/>
    <x v="2"/>
    <s v="online"/>
  </r>
  <r>
    <n v="1103"/>
    <x v="62"/>
    <x v="14"/>
    <s v="Muebles"/>
    <n v="320"/>
    <n v="2"/>
    <n v="640"/>
    <x v="3"/>
    <s v="online"/>
  </r>
  <r>
    <n v="1104"/>
    <x v="22"/>
    <x v="15"/>
    <s v="Muebles"/>
    <n v="500"/>
    <n v="2"/>
    <n v="1000"/>
    <x v="8"/>
    <s v="online"/>
  </r>
  <r>
    <n v="1105"/>
    <x v="87"/>
    <x v="16"/>
    <s v="Muebles"/>
    <n v="800"/>
    <n v="5"/>
    <n v="4000"/>
    <x v="9"/>
    <s v="store"/>
  </r>
  <r>
    <n v="1106"/>
    <x v="88"/>
    <x v="17"/>
    <s v="Muebles"/>
    <n v="700"/>
    <n v="2"/>
    <n v="1400"/>
    <x v="1"/>
    <s v="store"/>
  </r>
  <r>
    <n v="1107"/>
    <x v="89"/>
    <x v="18"/>
    <s v="Muebles"/>
    <n v="50"/>
    <n v="1"/>
    <n v="50"/>
    <x v="3"/>
    <s v="store"/>
  </r>
  <r>
    <n v="1108"/>
    <x v="90"/>
    <x v="4"/>
    <s v="Electrónica"/>
    <n v="500"/>
    <n v="1"/>
    <n v="500"/>
    <x v="4"/>
    <s v="online"/>
  </r>
  <r>
    <n v="1109"/>
    <x v="63"/>
    <x v="5"/>
    <s v="Electrónica"/>
    <n v="499"/>
    <n v="5"/>
    <n v="2495"/>
    <x v="5"/>
    <s v="store"/>
  </r>
  <r>
    <n v="1110"/>
    <x v="91"/>
    <x v="6"/>
    <s v="Electrónica"/>
    <n v="249"/>
    <n v="5"/>
    <n v="1245"/>
    <x v="6"/>
    <s v="store"/>
  </r>
  <r>
    <n v="1111"/>
    <x v="92"/>
    <x v="7"/>
    <s v="Electrónica"/>
    <n v="1300"/>
    <n v="6"/>
    <n v="7800"/>
    <x v="7"/>
    <s v="online"/>
  </r>
  <r>
    <n v="1112"/>
    <x v="93"/>
    <x v="8"/>
    <s v="Electrónica"/>
    <n v="429"/>
    <n v="3"/>
    <n v="1287"/>
    <x v="8"/>
    <s v="store"/>
  </r>
  <r>
    <n v="1113"/>
    <x v="94"/>
    <x v="9"/>
    <s v="Electrónica"/>
    <n v="150"/>
    <n v="6"/>
    <n v="900"/>
    <x v="1"/>
    <s v="store"/>
  </r>
  <r>
    <n v="1114"/>
    <x v="95"/>
    <x v="10"/>
    <s v="Electrónica"/>
    <n v="1100"/>
    <n v="5"/>
    <n v="5500"/>
    <x v="3"/>
    <s v="online"/>
  </r>
  <r>
    <n v="1115"/>
    <x v="96"/>
    <x v="11"/>
    <s v="Electrónica"/>
    <n v="350"/>
    <n v="5"/>
    <n v="1750"/>
    <x v="4"/>
    <s v="online"/>
  </r>
  <r>
    <n v="1116"/>
    <x v="97"/>
    <x v="12"/>
    <s v="Electrónica"/>
    <n v="100"/>
    <n v="2"/>
    <n v="200"/>
    <x v="5"/>
    <s v="online"/>
  </r>
  <r>
    <n v="1117"/>
    <x v="98"/>
    <x v="13"/>
    <s v="Electrónica"/>
    <n v="120"/>
    <n v="3"/>
    <n v="360"/>
    <x v="6"/>
    <s v="online"/>
  </r>
  <r>
    <n v="1118"/>
    <x v="44"/>
    <x v="4"/>
    <s v="Electrónica"/>
    <n v="500"/>
    <n v="4"/>
    <n v="2000"/>
    <x v="7"/>
    <s v="online"/>
  </r>
  <r>
    <n v="1119"/>
    <x v="99"/>
    <x v="5"/>
    <s v="Electrónica"/>
    <n v="499"/>
    <n v="3"/>
    <n v="1497"/>
    <x v="8"/>
    <s v="onlin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1B5D0B-D7F0-4E55-A228-4A511EFFCF8A}" name="PivotTable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C52" firstHeaderRow="0" firstDataRow="1" firstDataCol="1"/>
  <pivotFields count="11">
    <pivotField compact="0" outline="0" showAll="0"/>
    <pivotField compact="0" numFmtId="14" outline="0" showAll="0">
      <items count="101">
        <item x="83"/>
        <item x="76"/>
        <item x="30"/>
        <item x="24"/>
        <item x="36"/>
        <item x="12"/>
        <item x="50"/>
        <item x="16"/>
        <item x="73"/>
        <item x="6"/>
        <item x="13"/>
        <item x="47"/>
        <item x="46"/>
        <item x="18"/>
        <item x="20"/>
        <item x="65"/>
        <item x="5"/>
        <item x="58"/>
        <item x="74"/>
        <item x="53"/>
        <item x="94"/>
        <item x="79"/>
        <item x="64"/>
        <item x="41"/>
        <item x="97"/>
        <item x="22"/>
        <item x="48"/>
        <item x="67"/>
        <item x="8"/>
        <item x="72"/>
        <item x="63"/>
        <item x="89"/>
        <item x="86"/>
        <item x="17"/>
        <item x="43"/>
        <item x="95"/>
        <item x="15"/>
        <item x="39"/>
        <item x="2"/>
        <item x="56"/>
        <item x="3"/>
        <item x="96"/>
        <item x="37"/>
        <item x="23"/>
        <item x="10"/>
        <item x="42"/>
        <item x="34"/>
        <item x="27"/>
        <item x="82"/>
        <item x="31"/>
        <item x="38"/>
        <item x="9"/>
        <item x="45"/>
        <item x="88"/>
        <item x="32"/>
        <item x="81"/>
        <item x="57"/>
        <item x="11"/>
        <item x="28"/>
        <item x="68"/>
        <item x="25"/>
        <item x="33"/>
        <item x="80"/>
        <item x="55"/>
        <item x="70"/>
        <item x="49"/>
        <item x="59"/>
        <item x="87"/>
        <item x="14"/>
        <item x="60"/>
        <item x="4"/>
        <item x="40"/>
        <item x="90"/>
        <item x="21"/>
        <item x="54"/>
        <item x="99"/>
        <item x="35"/>
        <item x="78"/>
        <item x="85"/>
        <item x="1"/>
        <item x="51"/>
        <item x="84"/>
        <item x="77"/>
        <item x="44"/>
        <item x="26"/>
        <item x="66"/>
        <item x="93"/>
        <item x="69"/>
        <item x="19"/>
        <item x="61"/>
        <item x="75"/>
        <item x="92"/>
        <item x="62"/>
        <item x="98"/>
        <item x="0"/>
        <item x="52"/>
        <item x="7"/>
        <item x="71"/>
        <item x="91"/>
        <item x="29"/>
        <item t="default"/>
      </items>
    </pivotField>
    <pivotField axis="axisRow" compact="0" outline="0" showAll="0" sortType="descending">
      <items count="49">
        <item x="6"/>
        <item x="18"/>
        <item x="25"/>
        <item x="31"/>
        <item x="27"/>
        <item x="9"/>
        <item x="47"/>
        <item x="33"/>
        <item x="24"/>
        <item x="17"/>
        <item x="7"/>
        <item x="34"/>
        <item x="45"/>
        <item x="39"/>
        <item x="15"/>
        <item x="46"/>
        <item x="1"/>
        <item x="0"/>
        <item x="10"/>
        <item x="22"/>
        <item x="42"/>
        <item x="21"/>
        <item x="44"/>
        <item x="29"/>
        <item x="38"/>
        <item x="20"/>
        <item x="36"/>
        <item x="11"/>
        <item x="12"/>
        <item x="35"/>
        <item x="28"/>
        <item x="37"/>
        <item x="4"/>
        <item x="40"/>
        <item x="26"/>
        <item x="19"/>
        <item x="8"/>
        <item x="43"/>
        <item x="2"/>
        <item x="23"/>
        <item x="41"/>
        <item x="14"/>
        <item x="3"/>
        <item x="16"/>
        <item x="13"/>
        <item x="32"/>
        <item x="30"/>
        <item x="5"/>
        <item t="default"/>
      </items>
      <autoSortScope>
        <pivotArea dataOnly="0" outline="0" fieldPosition="0">
          <references count="1">
            <reference field="4294967294" count="1" selected="0">
              <x v="1"/>
            </reference>
          </references>
        </pivotArea>
      </autoSortScope>
    </pivotField>
    <pivotField compact="0" outline="0" showAll="0"/>
    <pivotField compact="0" outline="0" showAll="0"/>
    <pivotField dataField="1" compact="0" outline="0" showAll="0"/>
    <pivotField dataField="1" compact="0" numFmtId="164" outline="0" showAll="0"/>
    <pivotField compact="0" outline="0" showAll="0"/>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items count="15">
        <item x="0"/>
        <item x="1"/>
        <item x="2"/>
        <item x="3"/>
        <item x="4"/>
        <item x="5"/>
        <item x="6"/>
        <item x="7"/>
        <item x="8"/>
        <item x="9"/>
        <item x="10"/>
        <item x="11"/>
        <item x="12"/>
        <item x="13"/>
        <item t="default"/>
      </items>
    </pivotField>
  </pivotFields>
  <rowFields count="1">
    <field x="2"/>
  </rowFields>
  <rowItems count="49">
    <i>
      <x v="10"/>
    </i>
    <i>
      <x v="18"/>
    </i>
    <i>
      <x v="16"/>
    </i>
    <i>
      <x v="17"/>
    </i>
    <i>
      <x v="47"/>
    </i>
    <i>
      <x v="32"/>
    </i>
    <i>
      <x v="38"/>
    </i>
    <i>
      <x v="27"/>
    </i>
    <i>
      <x v="36"/>
    </i>
    <i>
      <x v="42"/>
    </i>
    <i>
      <x v="35"/>
    </i>
    <i>
      <x v="43"/>
    </i>
    <i>
      <x v="39"/>
    </i>
    <i>
      <x v="4"/>
    </i>
    <i>
      <x v="9"/>
    </i>
    <i>
      <x v="14"/>
    </i>
    <i>
      <x v="2"/>
    </i>
    <i>
      <x v="46"/>
    </i>
    <i>
      <x v="19"/>
    </i>
    <i>
      <x v="22"/>
    </i>
    <i>
      <x/>
    </i>
    <i>
      <x v="5"/>
    </i>
    <i>
      <x v="44"/>
    </i>
    <i>
      <x v="8"/>
    </i>
    <i>
      <x v="28"/>
    </i>
    <i>
      <x v="25"/>
    </i>
    <i>
      <x v="20"/>
    </i>
    <i>
      <x v="41"/>
    </i>
    <i>
      <x v="6"/>
    </i>
    <i>
      <x v="3"/>
    </i>
    <i>
      <x v="34"/>
    </i>
    <i>
      <x v="21"/>
    </i>
    <i>
      <x v="11"/>
    </i>
    <i>
      <x v="45"/>
    </i>
    <i>
      <x v="23"/>
    </i>
    <i>
      <x v="12"/>
    </i>
    <i>
      <x v="29"/>
    </i>
    <i>
      <x v="37"/>
    </i>
    <i>
      <x v="15"/>
    </i>
    <i>
      <x v="1"/>
    </i>
    <i>
      <x v="31"/>
    </i>
    <i>
      <x v="26"/>
    </i>
    <i>
      <x v="33"/>
    </i>
    <i>
      <x v="40"/>
    </i>
    <i>
      <x v="7"/>
    </i>
    <i>
      <x v="30"/>
    </i>
    <i>
      <x v="24"/>
    </i>
    <i>
      <x v="13"/>
    </i>
    <i t="grand">
      <x/>
    </i>
  </rowItems>
  <colFields count="1">
    <field x="-2"/>
  </colFields>
  <colItems count="2">
    <i>
      <x/>
    </i>
    <i i="1">
      <x v="1"/>
    </i>
  </colItems>
  <dataFields count="2">
    <dataField name="Sum of quantity" fld="5" baseField="0" baseItem="0"/>
    <dataField name="Sum of total" fld="6" baseField="0" baseItem="0" numFmtId="164"/>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2AED79-E806-4742-99D2-9467593C4D4F}" name="sales" displayName="sales" ref="A1:I120" totalsRowShown="0" headerRowDxfId="4">
  <autoFilter ref="A1:I120" xr:uid="{D12AED79-E806-4742-99D2-9467593C4D4F}"/>
  <tableColumns count="9">
    <tableColumn id="1" xr3:uid="{757D98C4-9702-4FC4-A262-8F3ABBE913B5}" name="product_id"/>
    <tableColumn id="2" xr3:uid="{25F5ED76-2A4B-45FD-AE9C-50FDD27BF12D}" name="date" dataDxfId="3"/>
    <tableColumn id="3" xr3:uid="{6D06DA04-E868-49A5-8806-331FEC1FB0E0}" name="product_name"/>
    <tableColumn id="4" xr3:uid="{5EE66B75-BB01-4375-AD59-DA4ED85F6E24}" name="category" dataDxfId="2"/>
    <tableColumn id="5" xr3:uid="{730292D2-DC70-4D78-BD0A-BFB05001DD4E}" name="price_unit"/>
    <tableColumn id="6" xr3:uid="{04EAF04D-5A67-43BA-B1BD-E345FA79B8F4}" name="quantity"/>
    <tableColumn id="7" xr3:uid="{5276EA8D-FA80-4036-9C0A-AAA47AB86E60}" name="total" dataDxfId="1">
      <calculatedColumnFormula>E2*F2</calculatedColumnFormula>
    </tableColumn>
    <tableColumn id="8" xr3:uid="{780A6139-7299-408F-BE03-3DDABAC956EA}" name="employee"/>
    <tableColumn id="9" xr3:uid="{F47A8D15-C32D-4282-946B-444E165148D8}" name="platform"/>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35A9E2-15E6-4333-B318-D68014586B0A}" name="inventory" displayName="inventory" ref="A1:C50" totalsRowShown="0" headerRowDxfId="0">
  <autoFilter ref="A1:C50" xr:uid="{6635A9E2-15E6-4333-B318-D68014586B0A}"/>
  <tableColumns count="3">
    <tableColumn id="1" xr3:uid="{86DA2190-0BA7-4B1F-B677-84F023482C4A}" name="product_name"/>
    <tableColumn id="2" xr3:uid="{97F18E29-662C-468B-966E-8EF8E12595AE}" name="current_stock"/>
    <tableColumn id="3" xr3:uid="{FFA42AA6-13B2-4079-9622-688911D6A915}" name="minimum_stock"/>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CC9F489-1F83-4B22-9BDE-A91E8C60078D}">
  <we:reference id="wa200005502" version="1.0.0.11" store="en-US" storeType="omex"/>
  <we:alternateReferences>
    <we:reference id="wa200005502" version="1.0.0.11" store="en-US" storeType="omex"/>
  </we:alternateReferences>
  <we:properties>
    <we:property name="docId" value="&quot;nNbj9Gs9bep1GICmpvtlE&quot;"/>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166F6-1FFD-024D-A2B3-E36D85D1A5F4}">
  <dimension ref="B3:L69"/>
  <sheetViews>
    <sheetView showGridLines="0" zoomScale="254" zoomScaleNormal="223" workbookViewId="0">
      <selection activeCell="O58" sqref="O58"/>
    </sheetView>
  </sheetViews>
  <sheetFormatPr baseColWidth="10" defaultRowHeight="15" x14ac:dyDescent="0.2"/>
  <sheetData>
    <row r="3" spans="3:10" ht="19" x14ac:dyDescent="0.25">
      <c r="C3" s="54" t="s">
        <v>189</v>
      </c>
      <c r="D3" s="54"/>
      <c r="E3" s="54"/>
      <c r="F3" s="54"/>
      <c r="G3" s="54"/>
      <c r="H3" s="54"/>
      <c r="I3" s="54"/>
      <c r="J3" s="54"/>
    </row>
    <row r="5" spans="3:10" ht="16" x14ac:dyDescent="0.2">
      <c r="C5" s="71" t="s">
        <v>159</v>
      </c>
      <c r="D5" s="71"/>
      <c r="E5" s="71"/>
      <c r="F5" s="71"/>
      <c r="G5" s="71"/>
      <c r="H5" s="71"/>
      <c r="I5" s="71"/>
      <c r="J5" s="71"/>
    </row>
    <row r="6" spans="3:10" ht="16" x14ac:dyDescent="0.2">
      <c r="C6" s="71" t="s">
        <v>160</v>
      </c>
      <c r="D6" s="71"/>
      <c r="E6" s="71"/>
      <c r="F6" s="71"/>
      <c r="G6" s="71"/>
      <c r="H6" s="71"/>
      <c r="I6" s="71"/>
      <c r="J6" s="71"/>
    </row>
    <row r="7" spans="3:10" ht="17" thickBot="1" x14ac:dyDescent="0.25">
      <c r="C7" s="36"/>
      <c r="D7" s="36"/>
      <c r="E7" s="36"/>
      <c r="F7" s="36"/>
      <c r="G7" s="36"/>
      <c r="H7" s="36"/>
      <c r="I7" s="36"/>
      <c r="J7" s="36"/>
    </row>
    <row r="8" spans="3:10" ht="16" x14ac:dyDescent="0.2">
      <c r="C8" s="68" t="s">
        <v>143</v>
      </c>
      <c r="D8" s="69"/>
      <c r="F8" s="68" t="s">
        <v>155</v>
      </c>
      <c r="G8" s="69"/>
      <c r="I8" s="68" t="s">
        <v>144</v>
      </c>
      <c r="J8" s="69"/>
    </row>
    <row r="9" spans="3:10" x14ac:dyDescent="0.2">
      <c r="C9" s="57">
        <f>total_sales</f>
        <v>204547</v>
      </c>
      <c r="D9" s="58"/>
      <c r="F9" s="57">
        <f>max_sales</f>
        <v>9990</v>
      </c>
      <c r="G9" s="58"/>
      <c r="I9" s="70">
        <f>day_highest_sales</f>
        <v>45589</v>
      </c>
      <c r="J9" s="65"/>
    </row>
    <row r="10" spans="3:10" ht="16" thickBot="1" x14ac:dyDescent="0.25">
      <c r="C10" s="59"/>
      <c r="D10" s="60"/>
      <c r="F10" s="59"/>
      <c r="G10" s="60"/>
      <c r="I10" s="66"/>
      <c r="J10" s="67"/>
    </row>
    <row r="11" spans="3:10" ht="16" thickBot="1" x14ac:dyDescent="0.25"/>
    <row r="12" spans="3:10" ht="33" customHeight="1" x14ac:dyDescent="0.2">
      <c r="C12" s="55" t="s">
        <v>161</v>
      </c>
      <c r="D12" s="56"/>
      <c r="F12" s="55" t="s">
        <v>163</v>
      </c>
      <c r="G12" s="56"/>
      <c r="I12" s="42" t="s">
        <v>167</v>
      </c>
      <c r="J12" s="43"/>
    </row>
    <row r="13" spans="3:10" x14ac:dyDescent="0.2">
      <c r="C13" s="57" t="str">
        <f>best_employee</f>
        <v>Ana López</v>
      </c>
      <c r="D13" s="58"/>
      <c r="F13" s="61">
        <f>'2.Inventory admin'!E62</f>
        <v>0.26530612244897961</v>
      </c>
      <c r="G13" s="62"/>
      <c r="I13" s="50">
        <f>'2.Inventory admin'!F62</f>
        <v>0.12244897959183673</v>
      </c>
      <c r="J13" s="65"/>
    </row>
    <row r="14" spans="3:10" ht="16" thickBot="1" x14ac:dyDescent="0.25">
      <c r="C14" s="59"/>
      <c r="D14" s="60"/>
      <c r="F14" s="63"/>
      <c r="G14" s="64"/>
      <c r="I14" s="66"/>
      <c r="J14" s="67"/>
    </row>
    <row r="16" spans="3:10" ht="16" x14ac:dyDescent="0.2">
      <c r="C16" s="71" t="s">
        <v>168</v>
      </c>
      <c r="D16" s="71"/>
      <c r="E16" s="71"/>
      <c r="F16" s="71"/>
      <c r="G16" s="71"/>
      <c r="H16" s="71"/>
      <c r="I16" s="71"/>
      <c r="J16" s="71"/>
    </row>
    <row r="17" spans="3:10" ht="16" x14ac:dyDescent="0.2">
      <c r="C17" s="71" t="s">
        <v>191</v>
      </c>
      <c r="D17" s="71"/>
      <c r="E17" s="71"/>
      <c r="F17" s="71"/>
      <c r="G17" s="71"/>
      <c r="H17" s="71"/>
      <c r="I17" s="71"/>
      <c r="J17" s="71"/>
    </row>
    <row r="32" spans="3:10" ht="16" x14ac:dyDescent="0.2">
      <c r="C32" s="71" t="s">
        <v>190</v>
      </c>
      <c r="D32" s="71"/>
      <c r="E32" s="71"/>
      <c r="F32" s="71"/>
      <c r="G32" s="71"/>
      <c r="H32" s="71"/>
      <c r="I32" s="71"/>
      <c r="J32" s="71"/>
    </row>
    <row r="34" spans="3:10" ht="25" customHeight="1" x14ac:dyDescent="0.2">
      <c r="C34" s="76" t="s">
        <v>193</v>
      </c>
      <c r="D34" s="76"/>
      <c r="E34" s="76"/>
      <c r="H34" s="72" t="s">
        <v>192</v>
      </c>
      <c r="I34" s="72"/>
      <c r="J34" s="72"/>
    </row>
    <row r="35" spans="3:10" ht="17" customHeight="1" x14ac:dyDescent="0.2">
      <c r="C35" s="73" t="s">
        <v>64</v>
      </c>
      <c r="D35" s="74"/>
      <c r="E35" s="75"/>
      <c r="H35" s="73" t="s">
        <v>103</v>
      </c>
      <c r="I35" s="74"/>
      <c r="J35" s="75"/>
    </row>
    <row r="51" spans="2:12" ht="16" x14ac:dyDescent="0.2">
      <c r="C51" s="71" t="s">
        <v>177</v>
      </c>
      <c r="D51" s="71"/>
      <c r="E51" s="71"/>
      <c r="F51" s="71"/>
      <c r="G51" s="71"/>
      <c r="H51" s="71"/>
      <c r="I51" s="71"/>
      <c r="J51" s="71"/>
    </row>
    <row r="52" spans="2:12" ht="16" x14ac:dyDescent="0.2">
      <c r="C52" s="71" t="s">
        <v>178</v>
      </c>
      <c r="D52" s="71"/>
      <c r="E52" s="71"/>
      <c r="F52" s="71"/>
      <c r="G52" s="71"/>
      <c r="H52" s="71"/>
      <c r="I52" s="71"/>
      <c r="J52" s="71"/>
    </row>
    <row r="53" spans="2:12" ht="16" thickBot="1" x14ac:dyDescent="0.25">
      <c r="B53" s="41"/>
    </row>
    <row r="54" spans="2:12" ht="24" customHeight="1" x14ac:dyDescent="0.2">
      <c r="K54" s="42" t="s">
        <v>184</v>
      </c>
      <c r="L54" s="43"/>
    </row>
    <row r="55" spans="2:12" ht="15" customHeight="1" x14ac:dyDescent="0.2">
      <c r="K55" s="50">
        <f>'2.Inventory admin'!E62</f>
        <v>0.26530612244897961</v>
      </c>
      <c r="L55" s="51"/>
    </row>
    <row r="56" spans="2:12" ht="16" customHeight="1" thickBot="1" x14ac:dyDescent="0.25">
      <c r="K56" s="52"/>
      <c r="L56" s="53"/>
    </row>
    <row r="57" spans="2:12" ht="16" thickBot="1" x14ac:dyDescent="0.25"/>
    <row r="58" spans="2:12" ht="16" x14ac:dyDescent="0.2">
      <c r="K58" s="42" t="s">
        <v>187</v>
      </c>
      <c r="L58" s="43"/>
    </row>
    <row r="59" spans="2:12" ht="16" customHeight="1" x14ac:dyDescent="0.2">
      <c r="K59" s="50">
        <f>'2.Inventory admin'!F62</f>
        <v>0.12244897959183673</v>
      </c>
      <c r="L59" s="51"/>
    </row>
    <row r="60" spans="2:12" ht="16" customHeight="1" thickBot="1" x14ac:dyDescent="0.25">
      <c r="K60" s="52"/>
      <c r="L60" s="53"/>
    </row>
    <row r="61" spans="2:12" ht="16" thickBot="1" x14ac:dyDescent="0.25"/>
    <row r="62" spans="2:12" ht="16" x14ac:dyDescent="0.2">
      <c r="K62" s="42" t="s">
        <v>181</v>
      </c>
      <c r="L62" s="43"/>
    </row>
    <row r="63" spans="2:12" ht="15" customHeight="1" x14ac:dyDescent="0.2">
      <c r="K63" s="44">
        <f>'2.Inventory admin'!E65</f>
        <v>19</v>
      </c>
      <c r="L63" s="45"/>
    </row>
    <row r="64" spans="2:12" ht="16" customHeight="1" thickBot="1" x14ac:dyDescent="0.25">
      <c r="K64" s="46"/>
      <c r="L64" s="47"/>
    </row>
    <row r="65" spans="11:12" ht="16" thickBot="1" x14ac:dyDescent="0.25"/>
    <row r="66" spans="11:12" ht="15" customHeight="1" x14ac:dyDescent="0.2">
      <c r="K66" s="42" t="s">
        <v>182</v>
      </c>
      <c r="L66" s="43"/>
    </row>
    <row r="67" spans="11:12" ht="15" customHeight="1" x14ac:dyDescent="0.2">
      <c r="K67" s="48"/>
      <c r="L67" s="49"/>
    </row>
    <row r="68" spans="11:12" ht="15" customHeight="1" x14ac:dyDescent="0.2">
      <c r="K68" s="44">
        <f>'2.Inventory admin'!D58</f>
        <v>234</v>
      </c>
      <c r="L68" s="45"/>
    </row>
    <row r="69" spans="11:12" ht="16" customHeight="1" thickBot="1" x14ac:dyDescent="0.25">
      <c r="K69" s="46"/>
      <c r="L69" s="47"/>
    </row>
  </sheetData>
  <mergeCells count="32">
    <mergeCell ref="C16:J16"/>
    <mergeCell ref="C51:J51"/>
    <mergeCell ref="C52:J52"/>
    <mergeCell ref="C5:J5"/>
    <mergeCell ref="C6:J6"/>
    <mergeCell ref="C32:J32"/>
    <mergeCell ref="C17:J17"/>
    <mergeCell ref="H34:J34"/>
    <mergeCell ref="H35:J35"/>
    <mergeCell ref="C34:E34"/>
    <mergeCell ref="C35:E35"/>
    <mergeCell ref="C3:J3"/>
    <mergeCell ref="C12:D12"/>
    <mergeCell ref="C13:D14"/>
    <mergeCell ref="F12:G12"/>
    <mergeCell ref="F13:G14"/>
    <mergeCell ref="I12:J12"/>
    <mergeCell ref="I13:J14"/>
    <mergeCell ref="C8:D8"/>
    <mergeCell ref="C9:D10"/>
    <mergeCell ref="F8:G8"/>
    <mergeCell ref="F9:G10"/>
    <mergeCell ref="I8:J8"/>
    <mergeCell ref="I9:J10"/>
    <mergeCell ref="K54:L54"/>
    <mergeCell ref="K68:L69"/>
    <mergeCell ref="K66:L67"/>
    <mergeCell ref="K55:L56"/>
    <mergeCell ref="K58:L58"/>
    <mergeCell ref="K59:L60"/>
    <mergeCell ref="K62:L62"/>
    <mergeCell ref="K63:L64"/>
  </mergeCell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2E0307D8-93CE-024D-A94E-AF89707E4DF8}">
          <x14:formula1>
            <xm:f>'1. Sales_analysis'!$A$19:$A$30</xm:f>
          </x14:formula1>
          <xm:sqref>H35</xm:sqref>
        </x14:dataValidation>
        <x14:dataValidation type="list" allowBlank="1" showInputMessage="1" showErrorMessage="1" xr:uid="{2FCEE6AD-4855-7D4B-AAB5-9B3544B291E0}">
          <x14:formula1>
            <xm:f>Employees_db!$A$2:$A$11</xm:f>
          </x14:formula1>
          <xm:sqref>C35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
  <sheetViews>
    <sheetView zoomScale="220" workbookViewId="0">
      <selection activeCell="C5" sqref="C5"/>
    </sheetView>
  </sheetViews>
  <sheetFormatPr baseColWidth="10" defaultColWidth="8.83203125" defaultRowHeight="15" x14ac:dyDescent="0.2"/>
  <cols>
    <col min="1" max="1" width="12.6640625" bestFit="1" customWidth="1"/>
    <col min="2" max="2" width="14.1640625" customWidth="1"/>
    <col min="3" max="3" width="23.33203125" bestFit="1" customWidth="1"/>
    <col min="4" max="4" width="22.5" customWidth="1"/>
    <col min="5" max="5" width="12" bestFit="1" customWidth="1"/>
    <col min="6" max="6" width="14.5" bestFit="1" customWidth="1"/>
    <col min="7" max="7" width="12.5" style="12" bestFit="1" customWidth="1"/>
    <col min="8" max="8" width="14.83203125" bestFit="1" customWidth="1"/>
    <col min="9" max="9" width="10.83203125" bestFit="1" customWidth="1"/>
    <col min="11" max="11" width="36.5" bestFit="1" customWidth="1"/>
  </cols>
  <sheetData>
    <row r="1" spans="1:11" x14ac:dyDescent="0.2">
      <c r="A1" s="1" t="s">
        <v>53</v>
      </c>
      <c r="B1" s="1" t="s">
        <v>54</v>
      </c>
      <c r="C1" s="1" t="s">
        <v>1</v>
      </c>
      <c r="D1" s="1" t="s">
        <v>55</v>
      </c>
      <c r="E1" s="1" t="s">
        <v>56</v>
      </c>
      <c r="F1" s="1" t="s">
        <v>57</v>
      </c>
      <c r="G1" s="11" t="s">
        <v>58</v>
      </c>
      <c r="H1" s="1" t="s">
        <v>59</v>
      </c>
      <c r="I1" s="1" t="s">
        <v>60</v>
      </c>
    </row>
    <row r="2" spans="1:11" ht="16" x14ac:dyDescent="0.2">
      <c r="A2">
        <v>1001</v>
      </c>
      <c r="B2" s="2">
        <v>45642</v>
      </c>
      <c r="C2" t="s">
        <v>6</v>
      </c>
      <c r="D2" s="4" t="s">
        <v>61</v>
      </c>
      <c r="E2">
        <v>1200</v>
      </c>
      <c r="F2">
        <v>5</v>
      </c>
      <c r="G2" s="12">
        <f>E2*F2</f>
        <v>6000</v>
      </c>
      <c r="H2" t="s">
        <v>62</v>
      </c>
      <c r="I2" t="s">
        <v>63</v>
      </c>
    </row>
    <row r="3" spans="1:11" ht="16" x14ac:dyDescent="0.2">
      <c r="A3">
        <v>1002</v>
      </c>
      <c r="B3" s="2">
        <v>45589</v>
      </c>
      <c r="C3" t="s">
        <v>14</v>
      </c>
      <c r="D3" s="4" t="s">
        <v>61</v>
      </c>
      <c r="E3">
        <v>999</v>
      </c>
      <c r="F3">
        <v>10</v>
      </c>
      <c r="G3" s="12">
        <f t="shared" ref="G3:G33" si="0">E3*F3</f>
        <v>9990</v>
      </c>
      <c r="H3" t="s">
        <v>64</v>
      </c>
      <c r="I3" t="s">
        <v>65</v>
      </c>
    </row>
    <row r="4" spans="1:11" ht="16" x14ac:dyDescent="0.2">
      <c r="A4">
        <v>1003</v>
      </c>
      <c r="B4" s="2">
        <v>45451</v>
      </c>
      <c r="C4" t="s">
        <v>9</v>
      </c>
      <c r="D4" s="4" t="s">
        <v>61</v>
      </c>
      <c r="E4">
        <v>950</v>
      </c>
      <c r="F4">
        <v>5</v>
      </c>
      <c r="G4" s="12">
        <f t="shared" si="0"/>
        <v>4750</v>
      </c>
      <c r="H4" t="s">
        <v>66</v>
      </c>
      <c r="I4" t="s">
        <v>63</v>
      </c>
    </row>
    <row r="5" spans="1:11" ht="16" x14ac:dyDescent="0.2">
      <c r="A5">
        <v>1004</v>
      </c>
      <c r="B5" s="2">
        <v>45455</v>
      </c>
      <c r="C5" t="s">
        <v>12</v>
      </c>
      <c r="D5" s="4" t="s">
        <v>61</v>
      </c>
      <c r="E5">
        <v>750</v>
      </c>
      <c r="F5">
        <v>5</v>
      </c>
      <c r="G5" s="12">
        <f t="shared" si="0"/>
        <v>3750</v>
      </c>
      <c r="H5" t="s">
        <v>64</v>
      </c>
      <c r="I5" t="s">
        <v>65</v>
      </c>
    </row>
    <row r="6" spans="1:11" ht="16" x14ac:dyDescent="0.2">
      <c r="A6">
        <v>1005</v>
      </c>
      <c r="B6" s="2">
        <v>45566</v>
      </c>
      <c r="C6" t="s">
        <v>8</v>
      </c>
      <c r="D6" s="4" t="s">
        <v>61</v>
      </c>
      <c r="E6">
        <v>500</v>
      </c>
      <c r="F6">
        <v>1</v>
      </c>
      <c r="G6" s="12">
        <f t="shared" si="0"/>
        <v>500</v>
      </c>
      <c r="H6" t="s">
        <v>62</v>
      </c>
      <c r="I6" t="s">
        <v>63</v>
      </c>
      <c r="K6" s="4"/>
    </row>
    <row r="7" spans="1:11" ht="16" x14ac:dyDescent="0.2">
      <c r="A7">
        <v>1006</v>
      </c>
      <c r="B7" s="2">
        <v>45386</v>
      </c>
      <c r="C7" t="s">
        <v>7</v>
      </c>
      <c r="D7" s="4" t="s">
        <v>61</v>
      </c>
      <c r="E7">
        <v>499</v>
      </c>
      <c r="F7">
        <v>6</v>
      </c>
      <c r="G7" s="12">
        <f t="shared" si="0"/>
        <v>2994</v>
      </c>
      <c r="H7" t="s">
        <v>62</v>
      </c>
      <c r="I7" t="s">
        <v>63</v>
      </c>
    </row>
    <row r="8" spans="1:11" ht="16" x14ac:dyDescent="0.2">
      <c r="A8">
        <v>1007</v>
      </c>
      <c r="B8" s="2">
        <v>45361</v>
      </c>
      <c r="C8" t="s">
        <v>24</v>
      </c>
      <c r="D8" s="4" t="s">
        <v>61</v>
      </c>
      <c r="E8">
        <v>249</v>
      </c>
      <c r="F8">
        <v>3</v>
      </c>
      <c r="G8" s="12">
        <f t="shared" si="0"/>
        <v>747</v>
      </c>
      <c r="H8" t="s">
        <v>64</v>
      </c>
      <c r="I8" t="s">
        <v>63</v>
      </c>
    </row>
    <row r="9" spans="1:11" ht="16" x14ac:dyDescent="0.2">
      <c r="A9">
        <v>1008</v>
      </c>
      <c r="B9" s="2">
        <v>45646</v>
      </c>
      <c r="C9" t="s">
        <v>4</v>
      </c>
      <c r="D9" s="4" t="s">
        <v>61</v>
      </c>
      <c r="E9">
        <v>1300</v>
      </c>
      <c r="F9">
        <v>1</v>
      </c>
      <c r="G9" s="12">
        <f t="shared" si="0"/>
        <v>1300</v>
      </c>
      <c r="H9" t="s">
        <v>66</v>
      </c>
      <c r="I9" t="s">
        <v>65</v>
      </c>
    </row>
    <row r="10" spans="1:11" ht="16" x14ac:dyDescent="0.2">
      <c r="A10">
        <v>1009</v>
      </c>
      <c r="B10" s="2">
        <v>45413</v>
      </c>
      <c r="C10" t="s">
        <v>11</v>
      </c>
      <c r="D10" s="4" t="s">
        <v>61</v>
      </c>
      <c r="E10">
        <v>429</v>
      </c>
      <c r="F10">
        <v>5</v>
      </c>
      <c r="G10" s="12">
        <f t="shared" si="0"/>
        <v>2145</v>
      </c>
      <c r="H10" t="s">
        <v>67</v>
      </c>
      <c r="I10" t="s">
        <v>63</v>
      </c>
    </row>
    <row r="11" spans="1:11" ht="16" x14ac:dyDescent="0.2">
      <c r="A11">
        <v>1010</v>
      </c>
      <c r="B11" s="2">
        <v>45505</v>
      </c>
      <c r="C11" t="s">
        <v>25</v>
      </c>
      <c r="D11" s="4" t="s">
        <v>61</v>
      </c>
      <c r="E11">
        <v>150</v>
      </c>
      <c r="F11">
        <v>2</v>
      </c>
      <c r="G11" s="12">
        <f t="shared" si="0"/>
        <v>300</v>
      </c>
      <c r="H11" t="s">
        <v>68</v>
      </c>
      <c r="I11" t="s">
        <v>63</v>
      </c>
    </row>
    <row r="12" spans="1:11" ht="16" x14ac:dyDescent="0.2">
      <c r="A12">
        <v>1011</v>
      </c>
      <c r="B12" s="2">
        <v>45478</v>
      </c>
      <c r="C12" t="s">
        <v>5</v>
      </c>
      <c r="D12" s="4" t="s">
        <v>61</v>
      </c>
      <c r="E12">
        <v>1100</v>
      </c>
      <c r="F12">
        <v>2</v>
      </c>
      <c r="G12" s="12">
        <f t="shared" si="0"/>
        <v>2200</v>
      </c>
      <c r="H12" t="s">
        <v>69</v>
      </c>
      <c r="I12" t="s">
        <v>65</v>
      </c>
    </row>
    <row r="13" spans="1:11" ht="16" x14ac:dyDescent="0.2">
      <c r="A13">
        <v>1012</v>
      </c>
      <c r="B13" s="2">
        <v>45530</v>
      </c>
      <c r="C13" t="s">
        <v>10</v>
      </c>
      <c r="D13" s="4" t="s">
        <v>61</v>
      </c>
      <c r="E13">
        <v>350</v>
      </c>
      <c r="F13">
        <v>6</v>
      </c>
      <c r="G13" s="12">
        <f t="shared" si="0"/>
        <v>2100</v>
      </c>
      <c r="H13" t="s">
        <v>70</v>
      </c>
      <c r="I13" t="s">
        <v>63</v>
      </c>
    </row>
    <row r="14" spans="1:11" ht="16" x14ac:dyDescent="0.2">
      <c r="A14">
        <v>1013</v>
      </c>
      <c r="B14" s="2">
        <v>45344</v>
      </c>
      <c r="C14" t="s">
        <v>28</v>
      </c>
      <c r="D14" s="4" t="s">
        <v>61</v>
      </c>
      <c r="E14">
        <v>100</v>
      </c>
      <c r="F14">
        <v>2</v>
      </c>
      <c r="G14" s="12">
        <f t="shared" si="0"/>
        <v>200</v>
      </c>
      <c r="H14" t="s">
        <v>71</v>
      </c>
      <c r="I14" t="s">
        <v>63</v>
      </c>
    </row>
    <row r="15" spans="1:11" ht="16" x14ac:dyDescent="0.2">
      <c r="A15">
        <v>1014</v>
      </c>
      <c r="B15" s="2">
        <v>45365</v>
      </c>
      <c r="C15" t="s">
        <v>26</v>
      </c>
      <c r="D15" s="4" t="s">
        <v>61</v>
      </c>
      <c r="E15">
        <v>120</v>
      </c>
      <c r="F15">
        <v>4</v>
      </c>
      <c r="G15" s="12">
        <f t="shared" si="0"/>
        <v>480</v>
      </c>
      <c r="H15" t="s">
        <v>72</v>
      </c>
      <c r="I15" t="s">
        <v>65</v>
      </c>
    </row>
    <row r="16" spans="1:11" ht="16" x14ac:dyDescent="0.2">
      <c r="A16">
        <v>1015</v>
      </c>
      <c r="B16" s="2">
        <v>45562</v>
      </c>
      <c r="C16" t="s">
        <v>31</v>
      </c>
      <c r="D16" s="4" t="s">
        <v>73</v>
      </c>
      <c r="E16">
        <v>320</v>
      </c>
      <c r="F16">
        <v>2</v>
      </c>
      <c r="G16" s="12">
        <f t="shared" si="0"/>
        <v>640</v>
      </c>
      <c r="H16" t="s">
        <v>74</v>
      </c>
      <c r="I16" t="s">
        <v>65</v>
      </c>
    </row>
    <row r="17" spans="1:9" ht="16" x14ac:dyDescent="0.2">
      <c r="A17">
        <v>1016</v>
      </c>
      <c r="B17" s="2">
        <v>45446</v>
      </c>
      <c r="C17" t="s">
        <v>19</v>
      </c>
      <c r="D17" s="4" t="s">
        <v>73</v>
      </c>
      <c r="E17">
        <v>500</v>
      </c>
      <c r="F17">
        <v>6</v>
      </c>
      <c r="G17" s="12">
        <f t="shared" si="0"/>
        <v>3000</v>
      </c>
      <c r="H17" t="s">
        <v>64</v>
      </c>
      <c r="I17" t="s">
        <v>65</v>
      </c>
    </row>
    <row r="18" spans="1:9" ht="16" x14ac:dyDescent="0.2">
      <c r="A18">
        <v>1017</v>
      </c>
      <c r="B18" s="2">
        <v>45353</v>
      </c>
      <c r="C18" t="s">
        <v>15</v>
      </c>
      <c r="D18" s="4" t="s">
        <v>73</v>
      </c>
      <c r="E18">
        <v>800</v>
      </c>
      <c r="F18">
        <v>3</v>
      </c>
      <c r="G18" s="12">
        <f t="shared" si="0"/>
        <v>2400</v>
      </c>
      <c r="H18" t="s">
        <v>66</v>
      </c>
      <c r="I18" t="s">
        <v>65</v>
      </c>
    </row>
    <row r="19" spans="1:9" ht="16" x14ac:dyDescent="0.2">
      <c r="A19">
        <v>1018</v>
      </c>
      <c r="B19" s="2">
        <v>45424</v>
      </c>
      <c r="C19" t="s">
        <v>18</v>
      </c>
      <c r="D19" s="4" t="s">
        <v>73</v>
      </c>
      <c r="E19">
        <v>700</v>
      </c>
      <c r="F19">
        <v>4</v>
      </c>
      <c r="G19" s="12">
        <f t="shared" si="0"/>
        <v>2800</v>
      </c>
      <c r="H19" t="s">
        <v>67</v>
      </c>
      <c r="I19" t="s">
        <v>65</v>
      </c>
    </row>
    <row r="20" spans="1:9" ht="16" x14ac:dyDescent="0.2">
      <c r="A20">
        <v>1019</v>
      </c>
      <c r="B20" s="2">
        <v>45377</v>
      </c>
      <c r="C20" t="s">
        <v>43</v>
      </c>
      <c r="D20" s="4" t="s">
        <v>73</v>
      </c>
      <c r="E20">
        <v>50</v>
      </c>
      <c r="F20">
        <v>2</v>
      </c>
      <c r="G20" s="12">
        <f t="shared" si="0"/>
        <v>100</v>
      </c>
      <c r="H20" t="s">
        <v>68</v>
      </c>
      <c r="I20" t="s">
        <v>65</v>
      </c>
    </row>
    <row r="21" spans="1:9" ht="16.5" customHeight="1" x14ac:dyDescent="0.2">
      <c r="A21">
        <v>1020</v>
      </c>
      <c r="B21" s="2">
        <v>45619</v>
      </c>
      <c r="C21" t="s">
        <v>13</v>
      </c>
      <c r="D21" s="4" t="s">
        <v>75</v>
      </c>
      <c r="E21">
        <v>1200</v>
      </c>
      <c r="F21">
        <v>1</v>
      </c>
      <c r="G21" s="12">
        <f t="shared" si="0"/>
        <v>1200</v>
      </c>
      <c r="H21" t="s">
        <v>72</v>
      </c>
      <c r="I21" t="s">
        <v>63</v>
      </c>
    </row>
    <row r="22" spans="1:9" ht="16.5" customHeight="1" x14ac:dyDescent="0.2">
      <c r="A22">
        <v>1021</v>
      </c>
      <c r="B22" s="2">
        <v>45381</v>
      </c>
      <c r="C22" t="s">
        <v>29</v>
      </c>
      <c r="D22" s="4" t="s">
        <v>75</v>
      </c>
      <c r="E22">
        <v>150</v>
      </c>
      <c r="F22">
        <v>6</v>
      </c>
      <c r="G22" s="12">
        <f t="shared" si="0"/>
        <v>900</v>
      </c>
      <c r="H22" t="s">
        <v>74</v>
      </c>
      <c r="I22" t="s">
        <v>63</v>
      </c>
    </row>
    <row r="23" spans="1:9" ht="16.5" customHeight="1" x14ac:dyDescent="0.2">
      <c r="A23">
        <v>1022</v>
      </c>
      <c r="B23" s="2">
        <v>45642</v>
      </c>
      <c r="C23" t="s">
        <v>35</v>
      </c>
      <c r="D23" s="4" t="s">
        <v>75</v>
      </c>
      <c r="E23">
        <v>120</v>
      </c>
      <c r="F23">
        <v>4</v>
      </c>
      <c r="G23" s="12">
        <f t="shared" si="0"/>
        <v>480</v>
      </c>
      <c r="H23" t="s">
        <v>64</v>
      </c>
      <c r="I23" t="s">
        <v>65</v>
      </c>
    </row>
    <row r="24" spans="1:9" ht="16.5" customHeight="1" x14ac:dyDescent="0.2">
      <c r="A24">
        <v>1023</v>
      </c>
      <c r="B24" s="2">
        <v>45575</v>
      </c>
      <c r="C24" t="s">
        <v>22</v>
      </c>
      <c r="D24" s="4" t="s">
        <v>75</v>
      </c>
      <c r="E24">
        <v>900</v>
      </c>
      <c r="F24">
        <v>1</v>
      </c>
      <c r="G24" s="12">
        <f t="shared" si="0"/>
        <v>900</v>
      </c>
      <c r="H24" t="s">
        <v>67</v>
      </c>
      <c r="I24" t="s">
        <v>65</v>
      </c>
    </row>
    <row r="25" spans="1:9" ht="16.5" customHeight="1" x14ac:dyDescent="0.2">
      <c r="A25">
        <v>1024</v>
      </c>
      <c r="B25" s="2">
        <v>45409</v>
      </c>
      <c r="C25" t="s">
        <v>16</v>
      </c>
      <c r="D25" s="4" t="s">
        <v>75</v>
      </c>
      <c r="E25">
        <v>850</v>
      </c>
      <c r="F25">
        <v>6</v>
      </c>
      <c r="G25" s="12">
        <f t="shared" si="0"/>
        <v>5100</v>
      </c>
      <c r="H25" t="s">
        <v>68</v>
      </c>
      <c r="I25" t="s">
        <v>63</v>
      </c>
    </row>
    <row r="26" spans="1:9" ht="16.5" customHeight="1" x14ac:dyDescent="0.2">
      <c r="A26">
        <v>1025</v>
      </c>
      <c r="B26" s="2">
        <v>45472</v>
      </c>
      <c r="C26" t="s">
        <v>27</v>
      </c>
      <c r="D26" s="4" t="s">
        <v>75</v>
      </c>
      <c r="E26">
        <v>180</v>
      </c>
      <c r="F26">
        <v>4</v>
      </c>
      <c r="G26" s="12">
        <f t="shared" si="0"/>
        <v>720</v>
      </c>
      <c r="H26" t="s">
        <v>69</v>
      </c>
      <c r="I26" t="s">
        <v>63</v>
      </c>
    </row>
    <row r="27" spans="1:9" ht="16.5" customHeight="1" x14ac:dyDescent="0.2">
      <c r="A27">
        <v>1026</v>
      </c>
      <c r="B27" s="2">
        <v>45339</v>
      </c>
      <c r="C27" t="s">
        <v>20</v>
      </c>
      <c r="D27" s="4" t="s">
        <v>75</v>
      </c>
      <c r="E27">
        <v>500</v>
      </c>
      <c r="F27">
        <v>5</v>
      </c>
      <c r="G27" s="12">
        <f t="shared" si="0"/>
        <v>2500</v>
      </c>
      <c r="H27" t="s">
        <v>70</v>
      </c>
      <c r="I27" t="s">
        <v>63</v>
      </c>
    </row>
    <row r="28" spans="1:9" ht="16.5" customHeight="1" x14ac:dyDescent="0.2">
      <c r="A28">
        <v>1027</v>
      </c>
      <c r="B28" s="2">
        <v>45537</v>
      </c>
      <c r="C28" t="s">
        <v>33</v>
      </c>
      <c r="D28" s="4" t="s">
        <v>75</v>
      </c>
      <c r="E28">
        <v>250</v>
      </c>
      <c r="F28">
        <v>3</v>
      </c>
      <c r="G28" s="12">
        <f t="shared" si="0"/>
        <v>750</v>
      </c>
      <c r="H28" t="s">
        <v>71</v>
      </c>
      <c r="I28" t="s">
        <v>65</v>
      </c>
    </row>
    <row r="29" spans="1:9" ht="16" x14ac:dyDescent="0.2">
      <c r="A29">
        <v>1028</v>
      </c>
      <c r="B29" s="2">
        <v>45604</v>
      </c>
      <c r="C29" t="s">
        <v>17</v>
      </c>
      <c r="D29" s="4" t="s">
        <v>76</v>
      </c>
      <c r="E29">
        <v>600</v>
      </c>
      <c r="F29">
        <v>6</v>
      </c>
      <c r="G29" s="12">
        <f t="shared" si="0"/>
        <v>3600</v>
      </c>
      <c r="H29" t="s">
        <v>72</v>
      </c>
      <c r="I29" t="s">
        <v>63</v>
      </c>
    </row>
    <row r="30" spans="1:9" ht="16" x14ac:dyDescent="0.2">
      <c r="A30">
        <v>1029</v>
      </c>
      <c r="B30" s="2">
        <v>45487</v>
      </c>
      <c r="C30" t="s">
        <v>49</v>
      </c>
      <c r="D30" s="4" t="s">
        <v>76</v>
      </c>
      <c r="E30">
        <v>150</v>
      </c>
      <c r="F30">
        <v>1</v>
      </c>
      <c r="G30" s="12">
        <f t="shared" si="0"/>
        <v>150</v>
      </c>
      <c r="H30" t="s">
        <v>74</v>
      </c>
      <c r="I30" t="s">
        <v>63</v>
      </c>
    </row>
    <row r="31" spans="1:9" ht="16" x14ac:dyDescent="0.2">
      <c r="A31">
        <v>1030</v>
      </c>
      <c r="B31" s="2">
        <v>45531</v>
      </c>
      <c r="C31" t="s">
        <v>38</v>
      </c>
      <c r="D31" s="4" t="s">
        <v>76</v>
      </c>
      <c r="E31">
        <v>120</v>
      </c>
      <c r="F31">
        <v>5</v>
      </c>
      <c r="G31" s="12">
        <f t="shared" si="0"/>
        <v>600</v>
      </c>
      <c r="H31" t="s">
        <v>64</v>
      </c>
      <c r="I31" t="s">
        <v>65</v>
      </c>
    </row>
    <row r="32" spans="1:9" ht="16" x14ac:dyDescent="0.2">
      <c r="A32">
        <v>1031</v>
      </c>
      <c r="B32" s="2">
        <v>45657</v>
      </c>
      <c r="C32" t="s">
        <v>21</v>
      </c>
      <c r="D32" s="4" t="s">
        <v>76</v>
      </c>
      <c r="E32">
        <v>1300</v>
      </c>
      <c r="F32">
        <v>3</v>
      </c>
      <c r="G32" s="12">
        <f t="shared" si="0"/>
        <v>3900</v>
      </c>
      <c r="H32" t="s">
        <v>66</v>
      </c>
      <c r="I32" t="s">
        <v>63</v>
      </c>
    </row>
    <row r="33" spans="1:9" ht="16" x14ac:dyDescent="0.2">
      <c r="A33">
        <v>1032</v>
      </c>
      <c r="B33" s="2">
        <v>45334</v>
      </c>
      <c r="C33" t="s">
        <v>34</v>
      </c>
      <c r="D33" s="4" t="s">
        <v>76</v>
      </c>
      <c r="E33">
        <v>200</v>
      </c>
      <c r="F33">
        <v>5</v>
      </c>
      <c r="G33" s="12">
        <f t="shared" si="0"/>
        <v>1000</v>
      </c>
      <c r="H33" t="s">
        <v>67</v>
      </c>
      <c r="I33" t="s">
        <v>63</v>
      </c>
    </row>
    <row r="34" spans="1:9" ht="16" x14ac:dyDescent="0.2">
      <c r="A34">
        <v>1033</v>
      </c>
      <c r="B34" s="2">
        <v>45496</v>
      </c>
      <c r="C34" t="s">
        <v>37</v>
      </c>
      <c r="D34" s="4" t="s">
        <v>77</v>
      </c>
      <c r="E34">
        <v>160</v>
      </c>
      <c r="F34">
        <v>4</v>
      </c>
      <c r="G34" s="12">
        <f t="shared" ref="G34:G65" si="1">E34*F34</f>
        <v>640</v>
      </c>
      <c r="H34" t="s">
        <v>72</v>
      </c>
      <c r="I34" t="s">
        <v>65</v>
      </c>
    </row>
    <row r="35" spans="1:9" ht="16" x14ac:dyDescent="0.2">
      <c r="A35">
        <v>1034</v>
      </c>
      <c r="B35" s="2">
        <v>45518</v>
      </c>
      <c r="C35" t="s">
        <v>48</v>
      </c>
      <c r="D35" s="4" t="s">
        <v>77</v>
      </c>
      <c r="E35">
        <v>180</v>
      </c>
      <c r="F35">
        <v>1</v>
      </c>
      <c r="G35" s="12">
        <f t="shared" si="1"/>
        <v>180</v>
      </c>
      <c r="H35" t="s">
        <v>74</v>
      </c>
      <c r="I35" t="s">
        <v>65</v>
      </c>
    </row>
    <row r="36" spans="1:9" ht="16" x14ac:dyDescent="0.2">
      <c r="A36">
        <v>1035</v>
      </c>
      <c r="B36" s="2">
        <v>45538</v>
      </c>
      <c r="C36" t="s">
        <v>36</v>
      </c>
      <c r="D36" s="4" t="s">
        <v>77</v>
      </c>
      <c r="E36">
        <v>220</v>
      </c>
      <c r="F36">
        <v>3</v>
      </c>
      <c r="G36" s="12">
        <f t="shared" si="1"/>
        <v>660</v>
      </c>
      <c r="H36" t="s">
        <v>64</v>
      </c>
      <c r="I36" t="s">
        <v>65</v>
      </c>
    </row>
    <row r="37" spans="1:9" ht="16" x14ac:dyDescent="0.2">
      <c r="A37">
        <v>1036</v>
      </c>
      <c r="B37" s="2">
        <v>45485</v>
      </c>
      <c r="C37" t="s">
        <v>40</v>
      </c>
      <c r="D37" s="4" t="s">
        <v>77</v>
      </c>
      <c r="E37">
        <v>90</v>
      </c>
      <c r="F37">
        <v>6</v>
      </c>
      <c r="G37" s="12">
        <f t="shared" si="1"/>
        <v>540</v>
      </c>
      <c r="H37" t="s">
        <v>67</v>
      </c>
      <c r="I37" t="s">
        <v>65</v>
      </c>
    </row>
    <row r="38" spans="1:9" ht="16" x14ac:dyDescent="0.2">
      <c r="A38">
        <v>1037</v>
      </c>
      <c r="B38" s="2">
        <v>45585</v>
      </c>
      <c r="C38" t="s">
        <v>45</v>
      </c>
      <c r="D38" s="4" t="s">
        <v>77</v>
      </c>
      <c r="E38">
        <v>70</v>
      </c>
      <c r="F38">
        <v>3</v>
      </c>
      <c r="G38" s="12">
        <f t="shared" si="1"/>
        <v>210</v>
      </c>
      <c r="H38" t="s">
        <v>68</v>
      </c>
      <c r="I38" t="s">
        <v>65</v>
      </c>
    </row>
    <row r="39" spans="1:9" ht="16" x14ac:dyDescent="0.2">
      <c r="A39">
        <v>1038</v>
      </c>
      <c r="B39" s="2">
        <v>45340</v>
      </c>
      <c r="C39" t="s">
        <v>44</v>
      </c>
      <c r="D39" s="4" t="s">
        <v>78</v>
      </c>
      <c r="E39">
        <v>110</v>
      </c>
      <c r="F39">
        <v>3</v>
      </c>
      <c r="G39" s="12">
        <f t="shared" si="1"/>
        <v>330</v>
      </c>
      <c r="H39" t="s">
        <v>69</v>
      </c>
      <c r="I39" t="s">
        <v>65</v>
      </c>
    </row>
    <row r="40" spans="1:9" ht="16" x14ac:dyDescent="0.2">
      <c r="A40">
        <v>1039</v>
      </c>
      <c r="B40" s="2">
        <v>45470</v>
      </c>
      <c r="C40" t="s">
        <v>50</v>
      </c>
      <c r="D40" s="4" t="s">
        <v>78</v>
      </c>
      <c r="E40">
        <v>75</v>
      </c>
      <c r="F40">
        <v>2</v>
      </c>
      <c r="G40" s="12">
        <f t="shared" si="1"/>
        <v>150</v>
      </c>
      <c r="H40" t="s">
        <v>70</v>
      </c>
      <c r="I40" t="s">
        <v>63</v>
      </c>
    </row>
    <row r="41" spans="1:9" ht="16" x14ac:dyDescent="0.2">
      <c r="A41">
        <v>1040</v>
      </c>
      <c r="B41" s="2">
        <v>45502</v>
      </c>
      <c r="C41" t="s">
        <v>51</v>
      </c>
      <c r="D41" s="4" t="s">
        <v>78</v>
      </c>
      <c r="E41">
        <v>20</v>
      </c>
      <c r="F41">
        <v>1</v>
      </c>
      <c r="G41" s="12">
        <f t="shared" si="1"/>
        <v>20</v>
      </c>
      <c r="H41" t="s">
        <v>71</v>
      </c>
      <c r="I41" t="s">
        <v>63</v>
      </c>
    </row>
    <row r="42" spans="1:9" ht="16" x14ac:dyDescent="0.2">
      <c r="A42">
        <v>1041</v>
      </c>
      <c r="B42" s="2">
        <v>45447</v>
      </c>
      <c r="C42" t="s">
        <v>46</v>
      </c>
      <c r="D42" s="4" t="s">
        <v>78</v>
      </c>
      <c r="E42">
        <v>30</v>
      </c>
      <c r="F42">
        <v>3</v>
      </c>
      <c r="G42" s="12">
        <f t="shared" si="1"/>
        <v>90</v>
      </c>
      <c r="H42" t="s">
        <v>72</v>
      </c>
      <c r="I42" t="s">
        <v>63</v>
      </c>
    </row>
    <row r="43" spans="1:9" ht="16" x14ac:dyDescent="0.2">
      <c r="A43">
        <v>1042</v>
      </c>
      <c r="B43" s="2">
        <v>45567</v>
      </c>
      <c r="C43" t="s">
        <v>47</v>
      </c>
      <c r="D43" s="4" t="s">
        <v>78</v>
      </c>
      <c r="E43">
        <v>25</v>
      </c>
      <c r="F43">
        <v>3</v>
      </c>
      <c r="G43" s="12">
        <f t="shared" si="1"/>
        <v>75</v>
      </c>
      <c r="H43" t="s">
        <v>74</v>
      </c>
      <c r="I43" t="s">
        <v>63</v>
      </c>
    </row>
    <row r="44" spans="1:9" ht="16" x14ac:dyDescent="0.2">
      <c r="A44">
        <v>1043</v>
      </c>
      <c r="B44" s="2">
        <v>45407</v>
      </c>
      <c r="C44" t="s">
        <v>30</v>
      </c>
      <c r="D44" s="4" t="s">
        <v>79</v>
      </c>
      <c r="E44">
        <v>200</v>
      </c>
      <c r="F44">
        <v>1</v>
      </c>
      <c r="G44" s="12">
        <f t="shared" si="1"/>
        <v>200</v>
      </c>
      <c r="H44" t="s">
        <v>64</v>
      </c>
      <c r="I44" t="s">
        <v>65</v>
      </c>
    </row>
    <row r="45" spans="1:9" ht="16" x14ac:dyDescent="0.2">
      <c r="A45">
        <v>1044</v>
      </c>
      <c r="B45" s="2">
        <v>45478</v>
      </c>
      <c r="C45" t="s">
        <v>41</v>
      </c>
      <c r="D45" s="4" t="s">
        <v>79</v>
      </c>
      <c r="E45">
        <v>50</v>
      </c>
      <c r="F45">
        <v>6</v>
      </c>
      <c r="G45" s="12">
        <f t="shared" si="1"/>
        <v>300</v>
      </c>
      <c r="H45" t="s">
        <v>66</v>
      </c>
      <c r="I45" t="s">
        <v>65</v>
      </c>
    </row>
    <row r="46" spans="1:9" ht="16" x14ac:dyDescent="0.2">
      <c r="A46">
        <v>1045</v>
      </c>
      <c r="B46" s="2">
        <v>45481</v>
      </c>
      <c r="C46" t="s">
        <v>23</v>
      </c>
      <c r="D46" s="4" t="s">
        <v>79</v>
      </c>
      <c r="E46">
        <v>250</v>
      </c>
      <c r="F46">
        <v>6</v>
      </c>
      <c r="G46" s="12">
        <f t="shared" si="1"/>
        <v>1500</v>
      </c>
      <c r="H46" t="s">
        <v>67</v>
      </c>
      <c r="I46" t="s">
        <v>65</v>
      </c>
    </row>
    <row r="47" spans="1:9" ht="16" x14ac:dyDescent="0.2">
      <c r="A47">
        <v>1046</v>
      </c>
      <c r="B47" s="2">
        <v>45429</v>
      </c>
      <c r="C47" t="s">
        <v>39</v>
      </c>
      <c r="D47" s="4" t="s">
        <v>79</v>
      </c>
      <c r="E47">
        <v>80</v>
      </c>
      <c r="F47">
        <v>3</v>
      </c>
      <c r="G47" s="12">
        <f t="shared" si="1"/>
        <v>240</v>
      </c>
      <c r="H47" t="s">
        <v>66</v>
      </c>
      <c r="I47" t="s">
        <v>65</v>
      </c>
    </row>
    <row r="48" spans="1:9" ht="16" x14ac:dyDescent="0.2">
      <c r="A48">
        <v>1047</v>
      </c>
      <c r="B48" s="2">
        <v>45602</v>
      </c>
      <c r="C48" t="s">
        <v>42</v>
      </c>
      <c r="D48" s="4" t="s">
        <v>79</v>
      </c>
      <c r="E48">
        <v>40</v>
      </c>
      <c r="F48">
        <v>6</v>
      </c>
      <c r="G48" s="12">
        <f t="shared" si="1"/>
        <v>240</v>
      </c>
      <c r="H48" t="s">
        <v>64</v>
      </c>
      <c r="I48" t="s">
        <v>63</v>
      </c>
    </row>
    <row r="49" spans="1:9" ht="16" x14ac:dyDescent="0.2">
      <c r="A49">
        <v>1048</v>
      </c>
      <c r="B49" s="2">
        <v>45508</v>
      </c>
      <c r="C49" t="s">
        <v>32</v>
      </c>
      <c r="D49" s="4" t="s">
        <v>79</v>
      </c>
      <c r="E49">
        <v>300</v>
      </c>
      <c r="F49">
        <v>1</v>
      </c>
      <c r="G49" s="12">
        <f t="shared" si="1"/>
        <v>300</v>
      </c>
      <c r="H49" t="s">
        <v>62</v>
      </c>
      <c r="I49" t="s">
        <v>63</v>
      </c>
    </row>
    <row r="50" spans="1:9" ht="16" x14ac:dyDescent="0.2">
      <c r="A50">
        <v>1049</v>
      </c>
      <c r="B50" s="2">
        <v>45373</v>
      </c>
      <c r="C50" t="s">
        <v>43</v>
      </c>
      <c r="D50" s="4" t="s">
        <v>73</v>
      </c>
      <c r="E50">
        <v>50</v>
      </c>
      <c r="F50">
        <v>6</v>
      </c>
      <c r="G50" s="12">
        <f t="shared" si="1"/>
        <v>300</v>
      </c>
      <c r="H50" t="s">
        <v>62</v>
      </c>
      <c r="I50" t="s">
        <v>63</v>
      </c>
    </row>
    <row r="51" spans="1:9" ht="16" x14ac:dyDescent="0.2">
      <c r="A51">
        <v>1050</v>
      </c>
      <c r="B51" s="2">
        <v>45371</v>
      </c>
      <c r="C51" t="s">
        <v>13</v>
      </c>
      <c r="D51" s="4" t="s">
        <v>75</v>
      </c>
      <c r="E51">
        <v>1200</v>
      </c>
      <c r="F51">
        <v>5</v>
      </c>
      <c r="G51" s="12">
        <f t="shared" si="1"/>
        <v>6000</v>
      </c>
      <c r="H51" t="s">
        <v>64</v>
      </c>
      <c r="I51" t="s">
        <v>63</v>
      </c>
    </row>
    <row r="52" spans="1:9" ht="16" x14ac:dyDescent="0.2">
      <c r="A52">
        <v>1051</v>
      </c>
      <c r="B52" s="2">
        <v>45410</v>
      </c>
      <c r="C52" t="s">
        <v>29</v>
      </c>
      <c r="D52" s="4" t="s">
        <v>75</v>
      </c>
      <c r="E52">
        <v>150</v>
      </c>
      <c r="F52">
        <v>4</v>
      </c>
      <c r="G52" s="12">
        <f t="shared" si="1"/>
        <v>600</v>
      </c>
      <c r="H52" t="s">
        <v>66</v>
      </c>
      <c r="I52" t="s">
        <v>63</v>
      </c>
    </row>
    <row r="53" spans="1:9" ht="16" x14ac:dyDescent="0.2">
      <c r="A53">
        <v>1052</v>
      </c>
      <c r="B53" s="2">
        <v>45555</v>
      </c>
      <c r="C53" t="s">
        <v>35</v>
      </c>
      <c r="D53" s="4" t="s">
        <v>75</v>
      </c>
      <c r="E53">
        <v>120</v>
      </c>
      <c r="F53">
        <v>4</v>
      </c>
      <c r="G53" s="12">
        <f t="shared" si="1"/>
        <v>480</v>
      </c>
      <c r="H53" t="s">
        <v>67</v>
      </c>
      <c r="I53" t="s">
        <v>63</v>
      </c>
    </row>
    <row r="54" spans="1:9" ht="16" x14ac:dyDescent="0.2">
      <c r="A54">
        <v>1053</v>
      </c>
      <c r="B54" s="2">
        <v>45347</v>
      </c>
      <c r="C54" t="s">
        <v>22</v>
      </c>
      <c r="D54" s="4" t="s">
        <v>75</v>
      </c>
      <c r="E54">
        <v>900</v>
      </c>
      <c r="F54">
        <v>3</v>
      </c>
      <c r="G54" s="12">
        <f t="shared" si="1"/>
        <v>2700</v>
      </c>
      <c r="H54" t="s">
        <v>68</v>
      </c>
      <c r="I54" t="s">
        <v>65</v>
      </c>
    </row>
    <row r="55" spans="1:9" ht="16" x14ac:dyDescent="0.2">
      <c r="A55">
        <v>1054</v>
      </c>
      <c r="B55" s="2">
        <v>45590</v>
      </c>
      <c r="C55" t="s">
        <v>16</v>
      </c>
      <c r="D55" s="4" t="s">
        <v>75</v>
      </c>
      <c r="E55">
        <v>850</v>
      </c>
      <c r="F55">
        <v>1</v>
      </c>
      <c r="G55" s="12">
        <f t="shared" si="1"/>
        <v>850</v>
      </c>
      <c r="H55" t="s">
        <v>69</v>
      </c>
      <c r="I55" t="s">
        <v>65</v>
      </c>
    </row>
    <row r="56" spans="1:9" ht="16" x14ac:dyDescent="0.2">
      <c r="A56">
        <v>1055</v>
      </c>
      <c r="B56" s="2">
        <v>45645</v>
      </c>
      <c r="C56" t="s">
        <v>27</v>
      </c>
      <c r="D56" s="4" t="s">
        <v>75</v>
      </c>
      <c r="E56">
        <v>180</v>
      </c>
      <c r="F56">
        <v>6</v>
      </c>
      <c r="G56" s="12">
        <f t="shared" si="1"/>
        <v>1080</v>
      </c>
      <c r="H56" t="s">
        <v>70</v>
      </c>
      <c r="I56" t="s">
        <v>65</v>
      </c>
    </row>
    <row r="57" spans="1:9" ht="16" x14ac:dyDescent="0.2">
      <c r="A57">
        <v>1056</v>
      </c>
      <c r="B57" s="2">
        <v>45393</v>
      </c>
      <c r="C57" t="s">
        <v>20</v>
      </c>
      <c r="D57" s="4" t="s">
        <v>75</v>
      </c>
      <c r="E57">
        <v>500</v>
      </c>
      <c r="F57">
        <v>3</v>
      </c>
      <c r="G57" s="12">
        <f t="shared" si="1"/>
        <v>1500</v>
      </c>
      <c r="H57" t="s">
        <v>71</v>
      </c>
      <c r="I57" t="s">
        <v>65</v>
      </c>
    </row>
    <row r="58" spans="1:9" ht="16" x14ac:dyDescent="0.2">
      <c r="A58">
        <v>1057</v>
      </c>
      <c r="B58" s="2">
        <v>45485</v>
      </c>
      <c r="C58" t="s">
        <v>33</v>
      </c>
      <c r="D58" s="4" t="s">
        <v>75</v>
      </c>
      <c r="E58">
        <v>250</v>
      </c>
      <c r="F58">
        <v>1</v>
      </c>
      <c r="G58" s="12">
        <f t="shared" si="1"/>
        <v>250</v>
      </c>
      <c r="H58" t="s">
        <v>72</v>
      </c>
      <c r="I58" t="s">
        <v>63</v>
      </c>
    </row>
    <row r="59" spans="1:9" ht="16" x14ac:dyDescent="0.2">
      <c r="A59">
        <v>1058</v>
      </c>
      <c r="B59" s="2">
        <v>45582</v>
      </c>
      <c r="C59" t="s">
        <v>17</v>
      </c>
      <c r="D59" s="4" t="s">
        <v>76</v>
      </c>
      <c r="E59">
        <v>600</v>
      </c>
      <c r="F59">
        <v>2</v>
      </c>
      <c r="G59" s="12">
        <f t="shared" si="1"/>
        <v>1200</v>
      </c>
      <c r="H59" t="s">
        <v>74</v>
      </c>
      <c r="I59" t="s">
        <v>65</v>
      </c>
    </row>
    <row r="60" spans="1:9" ht="16" x14ac:dyDescent="0.2">
      <c r="A60">
        <v>1059</v>
      </c>
      <c r="B60" s="2">
        <v>45552</v>
      </c>
      <c r="C60" t="s">
        <v>51</v>
      </c>
      <c r="D60" s="4" t="s">
        <v>78</v>
      </c>
      <c r="E60">
        <v>20</v>
      </c>
      <c r="F60">
        <v>5</v>
      </c>
      <c r="G60" s="12">
        <f t="shared" si="1"/>
        <v>100</v>
      </c>
      <c r="H60" t="s">
        <v>64</v>
      </c>
      <c r="I60" t="s">
        <v>63</v>
      </c>
    </row>
    <row r="61" spans="1:9" ht="16" x14ac:dyDescent="0.2">
      <c r="A61">
        <v>1060</v>
      </c>
      <c r="B61" s="2">
        <v>45340</v>
      </c>
      <c r="C61" t="s">
        <v>46</v>
      </c>
      <c r="D61" s="4" t="s">
        <v>78</v>
      </c>
      <c r="E61">
        <v>30</v>
      </c>
      <c r="F61">
        <v>4</v>
      </c>
      <c r="G61" s="12">
        <f t="shared" si="1"/>
        <v>120</v>
      </c>
      <c r="H61" t="s">
        <v>66</v>
      </c>
      <c r="I61" t="s">
        <v>63</v>
      </c>
    </row>
    <row r="62" spans="1:9" ht="16" x14ac:dyDescent="0.2">
      <c r="A62">
        <v>1061</v>
      </c>
      <c r="B62" s="2">
        <v>45454</v>
      </c>
      <c r="C62" t="s">
        <v>47</v>
      </c>
      <c r="D62" s="4" t="s">
        <v>78</v>
      </c>
      <c r="E62">
        <v>25</v>
      </c>
      <c r="F62">
        <v>5</v>
      </c>
      <c r="G62" s="12">
        <f t="shared" si="1"/>
        <v>125</v>
      </c>
      <c r="H62" t="s">
        <v>72</v>
      </c>
      <c r="I62" t="s">
        <v>63</v>
      </c>
    </row>
    <row r="63" spans="1:9" ht="16" x14ac:dyDescent="0.2">
      <c r="A63">
        <v>1062</v>
      </c>
      <c r="B63" s="2">
        <v>45381</v>
      </c>
      <c r="C63" t="s">
        <v>30</v>
      </c>
      <c r="D63" s="4" t="s">
        <v>79</v>
      </c>
      <c r="E63">
        <v>200</v>
      </c>
      <c r="F63">
        <v>6</v>
      </c>
      <c r="G63" s="12">
        <f t="shared" si="1"/>
        <v>1200</v>
      </c>
      <c r="H63" t="s">
        <v>74</v>
      </c>
      <c r="I63" t="s">
        <v>65</v>
      </c>
    </row>
    <row r="64" spans="1:9" ht="16" x14ac:dyDescent="0.2">
      <c r="A64">
        <v>1063</v>
      </c>
      <c r="B64" s="2">
        <v>45353</v>
      </c>
      <c r="C64" t="s">
        <v>41</v>
      </c>
      <c r="D64" s="4" t="s">
        <v>79</v>
      </c>
      <c r="E64">
        <v>50</v>
      </c>
      <c r="F64">
        <v>4</v>
      </c>
      <c r="G64" s="12">
        <f t="shared" si="1"/>
        <v>200</v>
      </c>
      <c r="H64" t="s">
        <v>64</v>
      </c>
      <c r="I64" t="s">
        <v>63</v>
      </c>
    </row>
    <row r="65" spans="1:9" ht="16" x14ac:dyDescent="0.2">
      <c r="A65">
        <v>1064</v>
      </c>
      <c r="B65" s="2">
        <v>45528</v>
      </c>
      <c r="C65" t="s">
        <v>23</v>
      </c>
      <c r="D65" s="4" t="s">
        <v>79</v>
      </c>
      <c r="E65">
        <v>250</v>
      </c>
      <c r="F65">
        <v>6</v>
      </c>
      <c r="G65" s="12">
        <f t="shared" si="1"/>
        <v>1500</v>
      </c>
      <c r="H65" t="s">
        <v>67</v>
      </c>
      <c r="I65" t="s">
        <v>63</v>
      </c>
    </row>
    <row r="66" spans="1:9" ht="16" x14ac:dyDescent="0.2">
      <c r="A66">
        <v>1065</v>
      </c>
      <c r="B66" s="2">
        <v>45389</v>
      </c>
      <c r="C66" t="s">
        <v>39</v>
      </c>
      <c r="D66" s="4" t="s">
        <v>79</v>
      </c>
      <c r="E66">
        <v>80</v>
      </c>
      <c r="F66">
        <v>4</v>
      </c>
      <c r="G66" s="12">
        <f t="shared" ref="G66:G97" si="2">E66*F66</f>
        <v>320</v>
      </c>
      <c r="H66" t="s">
        <v>68</v>
      </c>
      <c r="I66" t="s">
        <v>65</v>
      </c>
    </row>
    <row r="67" spans="1:9" ht="16" x14ac:dyDescent="0.2">
      <c r="A67">
        <v>1066</v>
      </c>
      <c r="B67" s="2">
        <v>45575</v>
      </c>
      <c r="C67" t="s">
        <v>42</v>
      </c>
      <c r="D67" s="4" t="s">
        <v>79</v>
      </c>
      <c r="E67">
        <v>40</v>
      </c>
      <c r="F67">
        <v>6</v>
      </c>
      <c r="G67" s="12">
        <f t="shared" si="2"/>
        <v>240</v>
      </c>
      <c r="H67" t="s">
        <v>69</v>
      </c>
      <c r="I67" t="s">
        <v>63</v>
      </c>
    </row>
    <row r="68" spans="1:9" ht="16" x14ac:dyDescent="0.2">
      <c r="A68">
        <v>1067</v>
      </c>
      <c r="B68" s="2">
        <v>45353</v>
      </c>
      <c r="C68" t="s">
        <v>32</v>
      </c>
      <c r="D68" s="4" t="s">
        <v>79</v>
      </c>
      <c r="E68">
        <v>300</v>
      </c>
      <c r="F68">
        <v>3</v>
      </c>
      <c r="G68" s="12">
        <f t="shared" si="2"/>
        <v>900</v>
      </c>
      <c r="H68" t="s">
        <v>70</v>
      </c>
      <c r="I68" t="s">
        <v>63</v>
      </c>
    </row>
    <row r="69" spans="1:9" ht="16" x14ac:dyDescent="0.2">
      <c r="A69">
        <v>1068</v>
      </c>
      <c r="B69" s="2">
        <v>45556</v>
      </c>
      <c r="C69" t="s">
        <v>12</v>
      </c>
      <c r="D69" s="4" t="s">
        <v>61</v>
      </c>
      <c r="E69">
        <v>750</v>
      </c>
      <c r="F69">
        <v>3</v>
      </c>
      <c r="G69" s="12">
        <f t="shared" si="2"/>
        <v>2250</v>
      </c>
      <c r="H69" t="s">
        <v>71</v>
      </c>
      <c r="I69" t="s">
        <v>65</v>
      </c>
    </row>
    <row r="70" spans="1:9" ht="16" x14ac:dyDescent="0.2">
      <c r="A70">
        <v>1069</v>
      </c>
      <c r="B70" s="2">
        <v>45563</v>
      </c>
      <c r="C70" t="s">
        <v>8</v>
      </c>
      <c r="D70" s="4" t="s">
        <v>61</v>
      </c>
      <c r="E70">
        <v>500</v>
      </c>
      <c r="F70">
        <v>6</v>
      </c>
      <c r="G70" s="12">
        <f t="shared" si="2"/>
        <v>3000</v>
      </c>
      <c r="H70" t="s">
        <v>72</v>
      </c>
      <c r="I70" t="s">
        <v>65</v>
      </c>
    </row>
    <row r="71" spans="1:9" ht="16" x14ac:dyDescent="0.2">
      <c r="A71">
        <v>1070</v>
      </c>
      <c r="B71" s="2">
        <v>45621</v>
      </c>
      <c r="C71" t="s">
        <v>7</v>
      </c>
      <c r="D71" s="4" t="s">
        <v>61</v>
      </c>
      <c r="E71">
        <v>499</v>
      </c>
      <c r="F71">
        <v>1</v>
      </c>
      <c r="G71" s="12">
        <f t="shared" si="2"/>
        <v>499</v>
      </c>
      <c r="H71" t="s">
        <v>74</v>
      </c>
      <c r="I71" t="s">
        <v>65</v>
      </c>
    </row>
    <row r="72" spans="1:9" ht="16" x14ac:dyDescent="0.2">
      <c r="A72">
        <v>1071</v>
      </c>
      <c r="B72" s="2">
        <v>45629</v>
      </c>
      <c r="C72" t="s">
        <v>24</v>
      </c>
      <c r="D72" s="4" t="s">
        <v>61</v>
      </c>
      <c r="E72">
        <v>249</v>
      </c>
      <c r="F72">
        <v>1</v>
      </c>
      <c r="G72" s="12">
        <f t="shared" si="2"/>
        <v>249</v>
      </c>
      <c r="H72" t="s">
        <v>64</v>
      </c>
      <c r="I72" t="s">
        <v>65</v>
      </c>
    </row>
    <row r="73" spans="1:9" ht="16" x14ac:dyDescent="0.2">
      <c r="A73">
        <v>1072</v>
      </c>
      <c r="B73" s="2">
        <v>45417</v>
      </c>
      <c r="C73" t="s">
        <v>4</v>
      </c>
      <c r="D73" s="4" t="s">
        <v>61</v>
      </c>
      <c r="E73">
        <v>1300</v>
      </c>
      <c r="F73">
        <v>4</v>
      </c>
      <c r="G73" s="12">
        <f t="shared" si="2"/>
        <v>5200</v>
      </c>
      <c r="H73" t="s">
        <v>62</v>
      </c>
      <c r="I73" t="s">
        <v>65</v>
      </c>
    </row>
    <row r="74" spans="1:9" ht="16" x14ac:dyDescent="0.2">
      <c r="A74">
        <v>1073</v>
      </c>
      <c r="B74" s="2">
        <v>45405</v>
      </c>
      <c r="C74" t="s">
        <v>11</v>
      </c>
      <c r="D74" s="4" t="s">
        <v>61</v>
      </c>
      <c r="E74">
        <v>429</v>
      </c>
      <c r="F74">
        <v>3</v>
      </c>
      <c r="G74" s="12">
        <f t="shared" si="2"/>
        <v>1287</v>
      </c>
      <c r="H74" t="s">
        <v>64</v>
      </c>
      <c r="I74" t="s">
        <v>65</v>
      </c>
    </row>
    <row r="75" spans="1:9" ht="16" x14ac:dyDescent="0.2">
      <c r="A75">
        <v>1074</v>
      </c>
      <c r="B75" s="2">
        <v>45382</v>
      </c>
      <c r="C75" t="s">
        <v>25</v>
      </c>
      <c r="D75" s="4" t="s">
        <v>61</v>
      </c>
      <c r="E75">
        <v>150</v>
      </c>
      <c r="F75">
        <v>5</v>
      </c>
      <c r="G75" s="12">
        <f t="shared" si="2"/>
        <v>750</v>
      </c>
      <c r="H75" t="s">
        <v>66</v>
      </c>
      <c r="I75" t="s">
        <v>63</v>
      </c>
    </row>
    <row r="76" spans="1:9" ht="16" x14ac:dyDescent="0.2">
      <c r="A76">
        <v>1075</v>
      </c>
      <c r="B76" s="2">
        <v>45607</v>
      </c>
      <c r="C76" t="s">
        <v>5</v>
      </c>
      <c r="D76" s="4" t="s">
        <v>61</v>
      </c>
      <c r="E76">
        <v>1100</v>
      </c>
      <c r="F76">
        <v>5</v>
      </c>
      <c r="G76" s="12">
        <f t="shared" si="2"/>
        <v>5500</v>
      </c>
      <c r="H76" t="s">
        <v>64</v>
      </c>
      <c r="I76" t="s">
        <v>63</v>
      </c>
    </row>
    <row r="77" spans="1:9" ht="16" x14ac:dyDescent="0.2">
      <c r="A77">
        <v>1076</v>
      </c>
      <c r="B77" s="2">
        <v>45412</v>
      </c>
      <c r="C77" t="s">
        <v>10</v>
      </c>
      <c r="D77" s="4" t="s">
        <v>61</v>
      </c>
      <c r="E77">
        <v>350</v>
      </c>
      <c r="F77">
        <v>5</v>
      </c>
      <c r="G77" s="12">
        <f t="shared" si="2"/>
        <v>1750</v>
      </c>
      <c r="H77" t="s">
        <v>62</v>
      </c>
      <c r="I77" t="s">
        <v>65</v>
      </c>
    </row>
    <row r="78" spans="1:9" ht="16" x14ac:dyDescent="0.2">
      <c r="A78">
        <v>1077</v>
      </c>
      <c r="B78" s="2">
        <v>45535</v>
      </c>
      <c r="C78" t="s">
        <v>28</v>
      </c>
      <c r="D78" s="4" t="s">
        <v>61</v>
      </c>
      <c r="E78">
        <v>100</v>
      </c>
      <c r="F78">
        <v>3</v>
      </c>
      <c r="G78" s="12">
        <f t="shared" si="2"/>
        <v>300</v>
      </c>
      <c r="H78" t="s">
        <v>62</v>
      </c>
      <c r="I78" t="s">
        <v>65</v>
      </c>
    </row>
    <row r="79" spans="1:9" ht="16" x14ac:dyDescent="0.2">
      <c r="A79">
        <v>1078</v>
      </c>
      <c r="B79" s="2">
        <v>45614</v>
      </c>
      <c r="C79" t="s">
        <v>26</v>
      </c>
      <c r="D79" s="4" t="s">
        <v>61</v>
      </c>
      <c r="E79">
        <v>120</v>
      </c>
      <c r="F79">
        <v>5</v>
      </c>
      <c r="G79" s="12">
        <f t="shared" si="2"/>
        <v>600</v>
      </c>
      <c r="H79" t="s">
        <v>64</v>
      </c>
      <c r="I79" t="s">
        <v>63</v>
      </c>
    </row>
    <row r="80" spans="1:9" ht="16" x14ac:dyDescent="0.2">
      <c r="A80">
        <v>1079</v>
      </c>
      <c r="B80" s="2">
        <v>45553</v>
      </c>
      <c r="C80" t="s">
        <v>8</v>
      </c>
      <c r="D80" s="4" t="s">
        <v>61</v>
      </c>
      <c r="E80">
        <v>500</v>
      </c>
      <c r="F80">
        <v>5</v>
      </c>
      <c r="G80" s="12">
        <f t="shared" si="2"/>
        <v>2500</v>
      </c>
      <c r="H80" t="s">
        <v>66</v>
      </c>
      <c r="I80" t="s">
        <v>63</v>
      </c>
    </row>
    <row r="81" spans="1:9" ht="16" x14ac:dyDescent="0.2">
      <c r="A81">
        <v>1080</v>
      </c>
      <c r="B81" s="2">
        <v>45648</v>
      </c>
      <c r="C81" t="s">
        <v>7</v>
      </c>
      <c r="D81" s="4" t="s">
        <v>61</v>
      </c>
      <c r="E81">
        <v>499</v>
      </c>
      <c r="F81">
        <v>6</v>
      </c>
      <c r="G81" s="12">
        <f t="shared" si="2"/>
        <v>2994</v>
      </c>
      <c r="H81" t="s">
        <v>67</v>
      </c>
      <c r="I81" t="s">
        <v>63</v>
      </c>
    </row>
    <row r="82" spans="1:9" ht="16" x14ac:dyDescent="0.2">
      <c r="A82">
        <v>1081</v>
      </c>
      <c r="B82" s="2">
        <v>45416</v>
      </c>
      <c r="C82" t="s">
        <v>24</v>
      </c>
      <c r="D82" s="4" t="s">
        <v>61</v>
      </c>
      <c r="E82">
        <v>249</v>
      </c>
      <c r="F82">
        <v>2</v>
      </c>
      <c r="G82" s="12">
        <f t="shared" si="2"/>
        <v>498</v>
      </c>
      <c r="H82" t="s">
        <v>68</v>
      </c>
      <c r="I82" t="s">
        <v>65</v>
      </c>
    </row>
    <row r="83" spans="1:9" ht="16" x14ac:dyDescent="0.2">
      <c r="A83">
        <v>1082</v>
      </c>
      <c r="B83" s="2">
        <v>45360</v>
      </c>
      <c r="C83" t="s">
        <v>4</v>
      </c>
      <c r="D83" s="4" t="s">
        <v>61</v>
      </c>
      <c r="E83">
        <v>1300</v>
      </c>
      <c r="F83">
        <v>4</v>
      </c>
      <c r="G83" s="12">
        <f t="shared" si="2"/>
        <v>5200</v>
      </c>
      <c r="H83" t="s">
        <v>69</v>
      </c>
      <c r="I83" t="s">
        <v>63</v>
      </c>
    </row>
    <row r="84" spans="1:9" ht="16" x14ac:dyDescent="0.2">
      <c r="A84">
        <v>1083</v>
      </c>
      <c r="B84" s="2">
        <v>45528</v>
      </c>
      <c r="C84" t="s">
        <v>11</v>
      </c>
      <c r="D84" s="4" t="s">
        <v>61</v>
      </c>
      <c r="E84">
        <v>429</v>
      </c>
      <c r="F84">
        <v>5</v>
      </c>
      <c r="G84" s="12">
        <f t="shared" si="2"/>
        <v>2145</v>
      </c>
      <c r="H84" t="s">
        <v>70</v>
      </c>
      <c r="I84" t="s">
        <v>63</v>
      </c>
    </row>
    <row r="85" spans="1:9" ht="16" x14ac:dyDescent="0.2">
      <c r="A85">
        <v>1084</v>
      </c>
      <c r="B85" s="2">
        <v>45392</v>
      </c>
      <c r="C85" t="s">
        <v>25</v>
      </c>
      <c r="D85" s="4" t="s">
        <v>61</v>
      </c>
      <c r="E85">
        <v>150</v>
      </c>
      <c r="F85">
        <v>3</v>
      </c>
      <c r="G85" s="12">
        <f t="shared" si="2"/>
        <v>450</v>
      </c>
      <c r="H85" t="s">
        <v>71</v>
      </c>
      <c r="I85" t="s">
        <v>65</v>
      </c>
    </row>
    <row r="86" spans="1:9" ht="16" x14ac:dyDescent="0.2">
      <c r="A86">
        <v>1085</v>
      </c>
      <c r="B86" s="2">
        <v>45624</v>
      </c>
      <c r="C86" t="s">
        <v>5</v>
      </c>
      <c r="D86" s="4" t="s">
        <v>61</v>
      </c>
      <c r="E86">
        <v>1100</v>
      </c>
      <c r="F86">
        <v>4</v>
      </c>
      <c r="G86" s="12">
        <f t="shared" si="2"/>
        <v>4400</v>
      </c>
      <c r="H86" t="s">
        <v>72</v>
      </c>
      <c r="I86" t="s">
        <v>63</v>
      </c>
    </row>
    <row r="87" spans="1:9" ht="16" x14ac:dyDescent="0.2">
      <c r="A87">
        <v>1086</v>
      </c>
      <c r="B87" s="2">
        <v>45424</v>
      </c>
      <c r="C87" t="s">
        <v>10</v>
      </c>
      <c r="D87" s="4" t="s">
        <v>61</v>
      </c>
      <c r="E87">
        <v>350</v>
      </c>
      <c r="F87">
        <v>6</v>
      </c>
      <c r="G87" s="12">
        <f t="shared" si="2"/>
        <v>2100</v>
      </c>
      <c r="H87" t="s">
        <v>74</v>
      </c>
      <c r="I87" t="s">
        <v>63</v>
      </c>
    </row>
    <row r="88" spans="1:9" ht="16" x14ac:dyDescent="0.2">
      <c r="A88">
        <v>1087</v>
      </c>
      <c r="B88" s="2">
        <v>45344</v>
      </c>
      <c r="C88" t="s">
        <v>28</v>
      </c>
      <c r="D88" s="4" t="s">
        <v>61</v>
      </c>
      <c r="E88">
        <v>100</v>
      </c>
      <c r="F88">
        <v>3</v>
      </c>
      <c r="G88" s="12">
        <f t="shared" si="2"/>
        <v>300</v>
      </c>
      <c r="H88" t="s">
        <v>64</v>
      </c>
      <c r="I88" t="s">
        <v>65</v>
      </c>
    </row>
    <row r="89" spans="1:9" ht="16" x14ac:dyDescent="0.2">
      <c r="A89">
        <v>1088</v>
      </c>
      <c r="B89" s="2">
        <v>45614</v>
      </c>
      <c r="C89" t="s">
        <v>26</v>
      </c>
      <c r="D89" s="4" t="s">
        <v>61</v>
      </c>
      <c r="E89">
        <v>120</v>
      </c>
      <c r="F89">
        <v>1</v>
      </c>
      <c r="G89" s="12">
        <f t="shared" si="2"/>
        <v>120</v>
      </c>
      <c r="H89" t="s">
        <v>66</v>
      </c>
      <c r="I89" t="s">
        <v>65</v>
      </c>
    </row>
    <row r="90" spans="1:9" ht="16" x14ac:dyDescent="0.2">
      <c r="A90">
        <v>1089</v>
      </c>
      <c r="B90" s="2">
        <v>45472</v>
      </c>
      <c r="C90" t="s">
        <v>6</v>
      </c>
      <c r="D90" s="4" t="s">
        <v>61</v>
      </c>
      <c r="E90">
        <v>1200</v>
      </c>
      <c r="F90">
        <v>6</v>
      </c>
      <c r="G90" s="12">
        <f t="shared" si="2"/>
        <v>7200</v>
      </c>
      <c r="H90" t="s">
        <v>67</v>
      </c>
      <c r="I90" t="s">
        <v>65</v>
      </c>
    </row>
    <row r="91" spans="1:9" ht="16" x14ac:dyDescent="0.2">
      <c r="A91">
        <v>1090</v>
      </c>
      <c r="B91" s="2">
        <v>45330</v>
      </c>
      <c r="C91" t="s">
        <v>14</v>
      </c>
      <c r="D91" s="4" t="s">
        <v>61</v>
      </c>
      <c r="E91">
        <v>999</v>
      </c>
      <c r="F91">
        <v>6</v>
      </c>
      <c r="G91" s="12">
        <f t="shared" si="2"/>
        <v>5994</v>
      </c>
      <c r="H91" t="s">
        <v>68</v>
      </c>
      <c r="I91" t="s">
        <v>65</v>
      </c>
    </row>
    <row r="92" spans="1:9" ht="16" x14ac:dyDescent="0.2">
      <c r="A92">
        <v>1091</v>
      </c>
      <c r="B92" s="2">
        <v>45597</v>
      </c>
      <c r="C92" t="s">
        <v>9</v>
      </c>
      <c r="D92" s="4" t="s">
        <v>61</v>
      </c>
      <c r="E92">
        <v>950</v>
      </c>
      <c r="F92">
        <v>6</v>
      </c>
      <c r="G92" s="12">
        <f t="shared" si="2"/>
        <v>5700</v>
      </c>
      <c r="H92" t="s">
        <v>72</v>
      </c>
      <c r="I92" t="s">
        <v>65</v>
      </c>
    </row>
    <row r="93" spans="1:9" ht="16" x14ac:dyDescent="0.2">
      <c r="A93">
        <v>1092</v>
      </c>
      <c r="B93" s="2">
        <v>45518</v>
      </c>
      <c r="C93" t="s">
        <v>12</v>
      </c>
      <c r="D93" s="4" t="s">
        <v>61</v>
      </c>
      <c r="E93">
        <v>750</v>
      </c>
      <c r="F93">
        <v>4</v>
      </c>
      <c r="G93" s="12">
        <f t="shared" si="2"/>
        <v>3000</v>
      </c>
      <c r="H93" t="s">
        <v>74</v>
      </c>
      <c r="I93" t="s">
        <v>65</v>
      </c>
    </row>
    <row r="94" spans="1:9" ht="16" x14ac:dyDescent="0.2">
      <c r="A94">
        <v>1093</v>
      </c>
      <c r="B94" s="2">
        <v>45587</v>
      </c>
      <c r="C94" t="s">
        <v>8</v>
      </c>
      <c r="D94" s="4" t="s">
        <v>61</v>
      </c>
      <c r="E94">
        <v>500</v>
      </c>
      <c r="F94">
        <v>6</v>
      </c>
      <c r="G94" s="12">
        <f t="shared" si="2"/>
        <v>3000</v>
      </c>
      <c r="H94" t="s">
        <v>64</v>
      </c>
      <c r="I94" t="s">
        <v>63</v>
      </c>
    </row>
    <row r="95" spans="1:9" ht="16" x14ac:dyDescent="0.2">
      <c r="A95">
        <v>1094</v>
      </c>
      <c r="B95" s="2">
        <v>45403</v>
      </c>
      <c r="C95" t="s">
        <v>7</v>
      </c>
      <c r="D95" s="4" t="s">
        <v>61</v>
      </c>
      <c r="E95">
        <v>499</v>
      </c>
      <c r="F95">
        <v>3</v>
      </c>
      <c r="G95" s="12">
        <f t="shared" si="2"/>
        <v>1497</v>
      </c>
      <c r="H95" t="s">
        <v>67</v>
      </c>
      <c r="I95" t="s">
        <v>63</v>
      </c>
    </row>
    <row r="96" spans="1:9" ht="16" x14ac:dyDescent="0.2">
      <c r="A96">
        <v>1095</v>
      </c>
      <c r="B96" s="2">
        <v>45548</v>
      </c>
      <c r="C96" t="s">
        <v>24</v>
      </c>
      <c r="D96" s="4" t="s">
        <v>61</v>
      </c>
      <c r="E96">
        <v>249</v>
      </c>
      <c r="F96">
        <v>1</v>
      </c>
      <c r="G96" s="12">
        <f t="shared" si="2"/>
        <v>249</v>
      </c>
      <c r="H96" t="s">
        <v>68</v>
      </c>
      <c r="I96" t="s">
        <v>63</v>
      </c>
    </row>
    <row r="97" spans="1:9" ht="16" x14ac:dyDescent="0.2">
      <c r="A97">
        <v>1096</v>
      </c>
      <c r="B97" s="2">
        <v>45526</v>
      </c>
      <c r="C97" t="s">
        <v>4</v>
      </c>
      <c r="D97" s="4" t="s">
        <v>61</v>
      </c>
      <c r="E97">
        <v>1300</v>
      </c>
      <c r="F97">
        <v>3</v>
      </c>
      <c r="G97" s="12">
        <f t="shared" si="2"/>
        <v>3900</v>
      </c>
      <c r="H97" t="s">
        <v>69</v>
      </c>
      <c r="I97" t="s">
        <v>65</v>
      </c>
    </row>
    <row r="98" spans="1:9" ht="16" x14ac:dyDescent="0.2">
      <c r="A98">
        <v>1097</v>
      </c>
      <c r="B98" s="2">
        <v>45495</v>
      </c>
      <c r="C98" t="s">
        <v>11</v>
      </c>
      <c r="D98" s="4" t="s">
        <v>61</v>
      </c>
      <c r="E98">
        <v>429</v>
      </c>
      <c r="F98">
        <v>5</v>
      </c>
      <c r="G98" s="12">
        <f t="shared" ref="G98:G120" si="3">E98*F98</f>
        <v>2145</v>
      </c>
      <c r="H98" t="s">
        <v>70</v>
      </c>
      <c r="I98" t="s">
        <v>63</v>
      </c>
    </row>
    <row r="99" spans="1:9" ht="16" x14ac:dyDescent="0.2">
      <c r="A99">
        <v>1098</v>
      </c>
      <c r="B99" s="2">
        <v>45323</v>
      </c>
      <c r="C99" t="s">
        <v>25</v>
      </c>
      <c r="D99" s="4" t="s">
        <v>61</v>
      </c>
      <c r="E99">
        <v>150</v>
      </c>
      <c r="F99">
        <v>1</v>
      </c>
      <c r="G99" s="12">
        <f t="shared" si="3"/>
        <v>150</v>
      </c>
      <c r="H99" t="s">
        <v>71</v>
      </c>
      <c r="I99" t="s">
        <v>63</v>
      </c>
    </row>
    <row r="100" spans="1:9" ht="16" x14ac:dyDescent="0.2">
      <c r="A100">
        <v>1099</v>
      </c>
      <c r="B100" s="2">
        <v>45594</v>
      </c>
      <c r="C100" t="s">
        <v>5</v>
      </c>
      <c r="D100" s="4" t="s">
        <v>61</v>
      </c>
      <c r="E100">
        <v>1100</v>
      </c>
      <c r="F100">
        <v>1</v>
      </c>
      <c r="G100" s="12">
        <f t="shared" si="3"/>
        <v>1100</v>
      </c>
      <c r="H100" t="s">
        <v>72</v>
      </c>
      <c r="I100" t="s">
        <v>65</v>
      </c>
    </row>
    <row r="101" spans="1:9" ht="16" x14ac:dyDescent="0.2">
      <c r="A101">
        <v>1100</v>
      </c>
      <c r="B101" s="2">
        <v>45393</v>
      </c>
      <c r="C101" t="s">
        <v>10</v>
      </c>
      <c r="D101" s="4" t="s">
        <v>61</v>
      </c>
      <c r="E101">
        <v>350</v>
      </c>
      <c r="F101">
        <v>4</v>
      </c>
      <c r="G101" s="12">
        <f t="shared" si="3"/>
        <v>1400</v>
      </c>
      <c r="H101" t="s">
        <v>74</v>
      </c>
      <c r="I101" t="s">
        <v>63</v>
      </c>
    </row>
    <row r="102" spans="1:9" ht="16" x14ac:dyDescent="0.2">
      <c r="A102">
        <v>1101</v>
      </c>
      <c r="B102" s="2">
        <v>45588</v>
      </c>
      <c r="C102" t="s">
        <v>28</v>
      </c>
      <c r="D102" s="4" t="s">
        <v>61</v>
      </c>
      <c r="E102">
        <v>100</v>
      </c>
      <c r="F102">
        <v>6</v>
      </c>
      <c r="G102" s="12">
        <f t="shared" si="3"/>
        <v>600</v>
      </c>
      <c r="H102" t="s">
        <v>64</v>
      </c>
      <c r="I102" t="s">
        <v>63</v>
      </c>
    </row>
    <row r="103" spans="1:9" ht="16" x14ac:dyDescent="0.2">
      <c r="A103">
        <v>1102</v>
      </c>
      <c r="B103" s="2">
        <v>45420</v>
      </c>
      <c r="C103" t="s">
        <v>26</v>
      </c>
      <c r="D103" s="4" t="s">
        <v>61</v>
      </c>
      <c r="E103">
        <v>120</v>
      </c>
      <c r="F103">
        <v>3</v>
      </c>
      <c r="G103" s="12">
        <f t="shared" si="3"/>
        <v>360</v>
      </c>
      <c r="H103" t="s">
        <v>66</v>
      </c>
      <c r="I103" t="s">
        <v>65</v>
      </c>
    </row>
    <row r="104" spans="1:9" ht="16" x14ac:dyDescent="0.2">
      <c r="A104">
        <v>1103</v>
      </c>
      <c r="B104" s="2">
        <v>45629</v>
      </c>
      <c r="C104" t="s">
        <v>31</v>
      </c>
      <c r="D104" s="4" t="s">
        <v>73</v>
      </c>
      <c r="E104">
        <v>320</v>
      </c>
      <c r="F104">
        <v>2</v>
      </c>
      <c r="G104" s="12">
        <f t="shared" si="3"/>
        <v>640</v>
      </c>
      <c r="H104" t="s">
        <v>67</v>
      </c>
      <c r="I104" t="s">
        <v>65</v>
      </c>
    </row>
    <row r="105" spans="1:9" ht="16" x14ac:dyDescent="0.2">
      <c r="A105">
        <v>1104</v>
      </c>
      <c r="B105" s="2">
        <v>45409</v>
      </c>
      <c r="C105" t="s">
        <v>19</v>
      </c>
      <c r="D105" s="4" t="s">
        <v>73</v>
      </c>
      <c r="E105">
        <v>500</v>
      </c>
      <c r="F105">
        <v>2</v>
      </c>
      <c r="G105" s="12">
        <f t="shared" si="3"/>
        <v>1000</v>
      </c>
      <c r="H105" t="s">
        <v>72</v>
      </c>
      <c r="I105" t="s">
        <v>65</v>
      </c>
    </row>
    <row r="106" spans="1:9" ht="16" x14ac:dyDescent="0.2">
      <c r="A106">
        <v>1105</v>
      </c>
      <c r="B106" s="2">
        <v>45561</v>
      </c>
      <c r="C106" t="s">
        <v>15</v>
      </c>
      <c r="D106" s="4" t="s">
        <v>73</v>
      </c>
      <c r="E106">
        <v>800</v>
      </c>
      <c r="F106">
        <v>5</v>
      </c>
      <c r="G106" s="12">
        <f t="shared" si="3"/>
        <v>4000</v>
      </c>
      <c r="H106" t="s">
        <v>74</v>
      </c>
      <c r="I106" t="s">
        <v>63</v>
      </c>
    </row>
    <row r="107" spans="1:9" ht="16" x14ac:dyDescent="0.2">
      <c r="A107">
        <v>1106</v>
      </c>
      <c r="B107" s="2">
        <v>45512</v>
      </c>
      <c r="C107" t="s">
        <v>18</v>
      </c>
      <c r="D107" s="4" t="s">
        <v>73</v>
      </c>
      <c r="E107">
        <v>700</v>
      </c>
      <c r="F107">
        <v>2</v>
      </c>
      <c r="G107" s="12">
        <f t="shared" si="3"/>
        <v>1400</v>
      </c>
      <c r="H107" t="s">
        <v>64</v>
      </c>
      <c r="I107" t="s">
        <v>63</v>
      </c>
    </row>
    <row r="108" spans="1:9" ht="16" x14ac:dyDescent="0.2">
      <c r="A108">
        <v>1107</v>
      </c>
      <c r="B108" s="2">
        <v>45418</v>
      </c>
      <c r="C108" t="s">
        <v>43</v>
      </c>
      <c r="D108" s="4" t="s">
        <v>73</v>
      </c>
      <c r="E108">
        <v>50</v>
      </c>
      <c r="F108">
        <v>1</v>
      </c>
      <c r="G108" s="12">
        <f t="shared" si="3"/>
        <v>50</v>
      </c>
      <c r="H108" t="s">
        <v>67</v>
      </c>
      <c r="I108" t="s">
        <v>63</v>
      </c>
    </row>
    <row r="109" spans="1:9" ht="16" x14ac:dyDescent="0.2">
      <c r="A109">
        <v>1108</v>
      </c>
      <c r="B109" s="2">
        <v>45569</v>
      </c>
      <c r="C109" t="s">
        <v>8</v>
      </c>
      <c r="D109" s="4" t="s">
        <v>61</v>
      </c>
      <c r="E109">
        <v>500</v>
      </c>
      <c r="F109">
        <v>1</v>
      </c>
      <c r="G109" s="12">
        <f t="shared" si="3"/>
        <v>500</v>
      </c>
      <c r="H109" t="s">
        <v>68</v>
      </c>
      <c r="I109" t="s">
        <v>65</v>
      </c>
    </row>
    <row r="110" spans="1:9" ht="16" x14ac:dyDescent="0.2">
      <c r="A110">
        <v>1109</v>
      </c>
      <c r="B110" s="2">
        <v>45417</v>
      </c>
      <c r="C110" t="s">
        <v>7</v>
      </c>
      <c r="D110" s="4" t="s">
        <v>61</v>
      </c>
      <c r="E110">
        <v>499</v>
      </c>
      <c r="F110">
        <v>5</v>
      </c>
      <c r="G110" s="12">
        <f t="shared" si="3"/>
        <v>2495</v>
      </c>
      <c r="H110" t="s">
        <v>69</v>
      </c>
      <c r="I110" t="s">
        <v>63</v>
      </c>
    </row>
    <row r="111" spans="1:9" ht="16" x14ac:dyDescent="0.2">
      <c r="A111">
        <v>1110</v>
      </c>
      <c r="B111" s="2">
        <v>45656</v>
      </c>
      <c r="C111" t="s">
        <v>24</v>
      </c>
      <c r="D111" s="4" t="s">
        <v>61</v>
      </c>
      <c r="E111">
        <v>249</v>
      </c>
      <c r="F111">
        <v>5</v>
      </c>
      <c r="G111" s="12">
        <f t="shared" si="3"/>
        <v>1245</v>
      </c>
      <c r="H111" t="s">
        <v>70</v>
      </c>
      <c r="I111" t="s">
        <v>63</v>
      </c>
    </row>
    <row r="112" spans="1:9" ht="16" x14ac:dyDescent="0.2">
      <c r="A112">
        <v>1111</v>
      </c>
      <c r="B112" s="2">
        <v>45626</v>
      </c>
      <c r="C112" t="s">
        <v>4</v>
      </c>
      <c r="D112" s="4" t="s">
        <v>61</v>
      </c>
      <c r="E112">
        <v>1300</v>
      </c>
      <c r="F112">
        <v>6</v>
      </c>
      <c r="G112" s="12">
        <f t="shared" si="3"/>
        <v>7800</v>
      </c>
      <c r="H112" t="s">
        <v>71</v>
      </c>
      <c r="I112" t="s">
        <v>65</v>
      </c>
    </row>
    <row r="113" spans="1:9" ht="16" x14ac:dyDescent="0.2">
      <c r="A113">
        <v>1112</v>
      </c>
      <c r="B113" s="2">
        <v>45609</v>
      </c>
      <c r="C113" t="s">
        <v>11</v>
      </c>
      <c r="D113" s="4" t="s">
        <v>61</v>
      </c>
      <c r="E113">
        <v>429</v>
      </c>
      <c r="F113">
        <v>3</v>
      </c>
      <c r="G113" s="12">
        <f t="shared" si="3"/>
        <v>1287</v>
      </c>
      <c r="H113" t="s">
        <v>72</v>
      </c>
      <c r="I113" t="s">
        <v>63</v>
      </c>
    </row>
    <row r="114" spans="1:9" ht="16" x14ac:dyDescent="0.2">
      <c r="A114">
        <v>1113</v>
      </c>
      <c r="B114" s="2">
        <v>45398</v>
      </c>
      <c r="C114" t="s">
        <v>25</v>
      </c>
      <c r="D114" s="4" t="s">
        <v>61</v>
      </c>
      <c r="E114">
        <v>150</v>
      </c>
      <c r="F114">
        <v>6</v>
      </c>
      <c r="G114" s="12">
        <f t="shared" si="3"/>
        <v>900</v>
      </c>
      <c r="H114" t="s">
        <v>64</v>
      </c>
      <c r="I114" t="s">
        <v>63</v>
      </c>
    </row>
    <row r="115" spans="1:9" ht="16" x14ac:dyDescent="0.2">
      <c r="A115">
        <v>1114</v>
      </c>
      <c r="B115" s="2">
        <v>45442</v>
      </c>
      <c r="C115" t="s">
        <v>5</v>
      </c>
      <c r="D115" s="4" t="s">
        <v>61</v>
      </c>
      <c r="E115">
        <v>1100</v>
      </c>
      <c r="F115">
        <v>5</v>
      </c>
      <c r="G115" s="12">
        <f t="shared" si="3"/>
        <v>5500</v>
      </c>
      <c r="H115" t="s">
        <v>67</v>
      </c>
      <c r="I115" t="s">
        <v>65</v>
      </c>
    </row>
    <row r="116" spans="1:9" ht="16" x14ac:dyDescent="0.2">
      <c r="A116">
        <v>1115</v>
      </c>
      <c r="B116" s="2">
        <v>45465</v>
      </c>
      <c r="C116" t="s">
        <v>10</v>
      </c>
      <c r="D116" s="4" t="s">
        <v>61</v>
      </c>
      <c r="E116">
        <v>350</v>
      </c>
      <c r="F116">
        <v>5</v>
      </c>
      <c r="G116" s="12">
        <f t="shared" si="3"/>
        <v>1750</v>
      </c>
      <c r="H116" t="s">
        <v>68</v>
      </c>
      <c r="I116" t="s">
        <v>65</v>
      </c>
    </row>
    <row r="117" spans="1:9" ht="16" x14ac:dyDescent="0.2">
      <c r="A117">
        <v>1116</v>
      </c>
      <c r="B117" s="2">
        <v>45408</v>
      </c>
      <c r="C117" t="s">
        <v>28</v>
      </c>
      <c r="D117" s="4" t="s">
        <v>61</v>
      </c>
      <c r="E117">
        <v>100</v>
      </c>
      <c r="F117">
        <v>2</v>
      </c>
      <c r="G117" s="12">
        <f t="shared" si="3"/>
        <v>200</v>
      </c>
      <c r="H117" t="s">
        <v>69</v>
      </c>
      <c r="I117" t="s">
        <v>65</v>
      </c>
    </row>
    <row r="118" spans="1:9" ht="16" x14ac:dyDescent="0.2">
      <c r="A118">
        <v>1117</v>
      </c>
      <c r="B118" s="2">
        <v>45641</v>
      </c>
      <c r="C118" t="s">
        <v>26</v>
      </c>
      <c r="D118" s="4" t="s">
        <v>61</v>
      </c>
      <c r="E118">
        <v>120</v>
      </c>
      <c r="F118">
        <v>3</v>
      </c>
      <c r="G118" s="12">
        <f t="shared" si="3"/>
        <v>360</v>
      </c>
      <c r="H118" t="s">
        <v>70</v>
      </c>
      <c r="I118" t="s">
        <v>65</v>
      </c>
    </row>
    <row r="119" spans="1:9" ht="16" x14ac:dyDescent="0.2">
      <c r="A119">
        <v>1118</v>
      </c>
      <c r="B119" s="2">
        <v>45602</v>
      </c>
      <c r="C119" t="s">
        <v>8</v>
      </c>
      <c r="D119" s="4" t="s">
        <v>61</v>
      </c>
      <c r="E119">
        <v>500</v>
      </c>
      <c r="F119">
        <v>4</v>
      </c>
      <c r="G119" s="12">
        <f t="shared" si="3"/>
        <v>2000</v>
      </c>
      <c r="H119" t="s">
        <v>71</v>
      </c>
      <c r="I119" t="s">
        <v>65</v>
      </c>
    </row>
    <row r="120" spans="1:9" ht="16" x14ac:dyDescent="0.2">
      <c r="A120">
        <v>1119</v>
      </c>
      <c r="B120" s="2">
        <v>45583</v>
      </c>
      <c r="C120" t="s">
        <v>7</v>
      </c>
      <c r="D120" s="4" t="s">
        <v>61</v>
      </c>
      <c r="E120">
        <v>499</v>
      </c>
      <c r="F120">
        <v>3</v>
      </c>
      <c r="G120" s="12">
        <f t="shared" si="3"/>
        <v>1497</v>
      </c>
      <c r="H120" t="s">
        <v>72</v>
      </c>
      <c r="I120" t="s">
        <v>65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23E84-47F7-42DA-8F25-DA39A65FAD08}">
  <dimension ref="A1:D50"/>
  <sheetViews>
    <sheetView tabSelected="1" zoomScale="187" workbookViewId="0">
      <selection activeCell="A3" sqref="A3"/>
    </sheetView>
  </sheetViews>
  <sheetFormatPr baseColWidth="10" defaultColWidth="8.83203125" defaultRowHeight="15" x14ac:dyDescent="0.2"/>
  <cols>
    <col min="1" max="1" width="25" customWidth="1"/>
    <col min="2" max="2" width="22.5" customWidth="1"/>
    <col min="3" max="3" width="19.5" customWidth="1"/>
    <col min="4" max="4" width="17.5" customWidth="1"/>
  </cols>
  <sheetData>
    <row r="1" spans="1:4" x14ac:dyDescent="0.2">
      <c r="A1" s="1" t="s">
        <v>1</v>
      </c>
      <c r="B1" s="1" t="s">
        <v>80</v>
      </c>
      <c r="C1" s="1" t="s">
        <v>81</v>
      </c>
      <c r="D1" s="1"/>
    </row>
    <row r="2" spans="1:4" x14ac:dyDescent="0.2">
      <c r="A2" t="s">
        <v>6</v>
      </c>
      <c r="B2">
        <v>0</v>
      </c>
      <c r="C2">
        <v>20</v>
      </c>
    </row>
    <row r="3" spans="1:4" x14ac:dyDescent="0.2">
      <c r="A3" t="s">
        <v>14</v>
      </c>
      <c r="B3">
        <v>0</v>
      </c>
      <c r="C3">
        <v>20</v>
      </c>
    </row>
    <row r="4" spans="1:4" x14ac:dyDescent="0.2">
      <c r="A4" t="s">
        <v>9</v>
      </c>
      <c r="B4">
        <v>20</v>
      </c>
      <c r="C4">
        <v>17</v>
      </c>
    </row>
    <row r="5" spans="1:4" x14ac:dyDescent="0.2">
      <c r="A5" t="s">
        <v>12</v>
      </c>
      <c r="B5">
        <v>35</v>
      </c>
      <c r="C5">
        <v>13</v>
      </c>
    </row>
    <row r="6" spans="1:4" x14ac:dyDescent="0.2">
      <c r="A6" t="s">
        <v>8</v>
      </c>
      <c r="B6">
        <v>34</v>
      </c>
      <c r="C6">
        <v>17</v>
      </c>
    </row>
    <row r="7" spans="1:4" x14ac:dyDescent="0.2">
      <c r="A7" t="s">
        <v>7</v>
      </c>
      <c r="B7">
        <v>19</v>
      </c>
      <c r="C7">
        <v>10</v>
      </c>
    </row>
    <row r="8" spans="1:4" x14ac:dyDescent="0.2">
      <c r="A8" t="s">
        <v>24</v>
      </c>
      <c r="B8">
        <v>39</v>
      </c>
      <c r="C8">
        <v>14</v>
      </c>
    </row>
    <row r="9" spans="1:4" x14ac:dyDescent="0.2">
      <c r="A9" t="s">
        <v>4</v>
      </c>
      <c r="B9">
        <v>10</v>
      </c>
      <c r="C9">
        <v>20</v>
      </c>
    </row>
    <row r="10" spans="1:4" x14ac:dyDescent="0.2">
      <c r="A10" t="s">
        <v>11</v>
      </c>
      <c r="B10">
        <v>22</v>
      </c>
      <c r="C10">
        <v>17</v>
      </c>
    </row>
    <row r="11" spans="1:4" x14ac:dyDescent="0.2">
      <c r="A11" t="s">
        <v>25</v>
      </c>
      <c r="B11">
        <v>0</v>
      </c>
      <c r="C11">
        <v>20</v>
      </c>
    </row>
    <row r="12" spans="1:4" x14ac:dyDescent="0.2">
      <c r="A12" t="s">
        <v>5</v>
      </c>
      <c r="B12">
        <v>0</v>
      </c>
      <c r="C12">
        <v>15</v>
      </c>
    </row>
    <row r="13" spans="1:4" x14ac:dyDescent="0.2">
      <c r="A13" t="s">
        <v>10</v>
      </c>
      <c r="B13">
        <v>40</v>
      </c>
      <c r="C13">
        <v>15</v>
      </c>
    </row>
    <row r="14" spans="1:4" x14ac:dyDescent="0.2">
      <c r="A14" t="s">
        <v>28</v>
      </c>
      <c r="B14">
        <v>25</v>
      </c>
      <c r="C14">
        <v>15</v>
      </c>
    </row>
    <row r="15" spans="1:4" x14ac:dyDescent="0.2">
      <c r="A15" t="s">
        <v>26</v>
      </c>
      <c r="B15">
        <v>34</v>
      </c>
      <c r="C15">
        <v>17</v>
      </c>
    </row>
    <row r="16" spans="1:4" x14ac:dyDescent="0.2">
      <c r="A16" t="s">
        <v>31</v>
      </c>
      <c r="B16">
        <v>31</v>
      </c>
      <c r="C16">
        <v>16</v>
      </c>
    </row>
    <row r="17" spans="1:3" x14ac:dyDescent="0.2">
      <c r="A17" t="s">
        <v>19</v>
      </c>
      <c r="B17">
        <v>40</v>
      </c>
      <c r="C17">
        <v>17</v>
      </c>
    </row>
    <row r="18" spans="1:3" x14ac:dyDescent="0.2">
      <c r="A18" t="s">
        <v>15</v>
      </c>
      <c r="B18">
        <v>0</v>
      </c>
      <c r="C18">
        <v>10</v>
      </c>
    </row>
    <row r="19" spans="1:3" x14ac:dyDescent="0.2">
      <c r="A19" t="s">
        <v>18</v>
      </c>
      <c r="B19">
        <v>0</v>
      </c>
      <c r="C19">
        <v>20</v>
      </c>
    </row>
    <row r="20" spans="1:3" x14ac:dyDescent="0.2">
      <c r="A20" t="s">
        <v>43</v>
      </c>
      <c r="B20">
        <v>40</v>
      </c>
      <c r="C20">
        <v>16</v>
      </c>
    </row>
    <row r="21" spans="1:3" x14ac:dyDescent="0.2">
      <c r="A21" t="s">
        <v>13</v>
      </c>
      <c r="B21">
        <v>40</v>
      </c>
      <c r="C21">
        <v>16</v>
      </c>
    </row>
    <row r="22" spans="1:3" x14ac:dyDescent="0.2">
      <c r="A22" t="s">
        <v>29</v>
      </c>
      <c r="B22">
        <v>40</v>
      </c>
      <c r="C22">
        <v>15</v>
      </c>
    </row>
    <row r="23" spans="1:3" x14ac:dyDescent="0.2">
      <c r="A23" t="s">
        <v>35</v>
      </c>
      <c r="B23">
        <v>40</v>
      </c>
      <c r="C23">
        <v>15</v>
      </c>
    </row>
    <row r="24" spans="1:3" x14ac:dyDescent="0.2">
      <c r="A24" t="s">
        <v>22</v>
      </c>
      <c r="B24">
        <v>4</v>
      </c>
      <c r="C24">
        <v>12</v>
      </c>
    </row>
    <row r="25" spans="1:3" x14ac:dyDescent="0.2">
      <c r="A25" t="s">
        <v>16</v>
      </c>
      <c r="B25">
        <v>5</v>
      </c>
      <c r="C25">
        <v>13</v>
      </c>
    </row>
    <row r="26" spans="1:3" x14ac:dyDescent="0.2">
      <c r="A26" t="s">
        <v>27</v>
      </c>
      <c r="B26">
        <v>5</v>
      </c>
      <c r="C26">
        <v>18</v>
      </c>
    </row>
    <row r="27" spans="1:3" x14ac:dyDescent="0.2">
      <c r="A27" t="s">
        <v>20</v>
      </c>
      <c r="B27">
        <v>6</v>
      </c>
      <c r="C27">
        <v>13</v>
      </c>
    </row>
    <row r="28" spans="1:3" x14ac:dyDescent="0.2">
      <c r="A28" t="s">
        <v>33</v>
      </c>
      <c r="B28">
        <v>100</v>
      </c>
      <c r="C28">
        <v>18</v>
      </c>
    </row>
    <row r="29" spans="1:3" x14ac:dyDescent="0.2">
      <c r="A29" t="s">
        <v>17</v>
      </c>
      <c r="B29">
        <v>120</v>
      </c>
      <c r="C29">
        <v>10</v>
      </c>
    </row>
    <row r="30" spans="1:3" x14ac:dyDescent="0.2">
      <c r="A30" t="s">
        <v>49</v>
      </c>
      <c r="B30">
        <v>100</v>
      </c>
      <c r="C30">
        <v>17</v>
      </c>
    </row>
    <row r="31" spans="1:3" x14ac:dyDescent="0.2">
      <c r="A31" t="s">
        <v>38</v>
      </c>
      <c r="B31">
        <v>200</v>
      </c>
      <c r="C31">
        <v>11</v>
      </c>
    </row>
    <row r="32" spans="1:3" x14ac:dyDescent="0.2">
      <c r="A32" t="s">
        <v>21</v>
      </c>
      <c r="B32">
        <v>3</v>
      </c>
      <c r="C32">
        <v>14</v>
      </c>
    </row>
    <row r="33" spans="1:3" x14ac:dyDescent="0.2">
      <c r="A33" t="s">
        <v>34</v>
      </c>
      <c r="B33">
        <v>22</v>
      </c>
      <c r="C33">
        <v>20</v>
      </c>
    </row>
    <row r="34" spans="1:3" x14ac:dyDescent="0.2">
      <c r="A34" t="s">
        <v>37</v>
      </c>
      <c r="B34">
        <v>4</v>
      </c>
      <c r="C34">
        <v>17</v>
      </c>
    </row>
    <row r="35" spans="1:3" x14ac:dyDescent="0.2">
      <c r="A35" t="s">
        <v>48</v>
      </c>
      <c r="B35">
        <v>4</v>
      </c>
      <c r="C35">
        <v>10</v>
      </c>
    </row>
    <row r="36" spans="1:3" x14ac:dyDescent="0.2">
      <c r="A36" t="s">
        <v>36</v>
      </c>
      <c r="B36">
        <v>4</v>
      </c>
      <c r="C36">
        <v>13</v>
      </c>
    </row>
    <row r="37" spans="1:3" x14ac:dyDescent="0.2">
      <c r="A37" t="s">
        <v>40</v>
      </c>
      <c r="B37">
        <v>4</v>
      </c>
      <c r="C37">
        <v>16</v>
      </c>
    </row>
    <row r="38" spans="1:3" x14ac:dyDescent="0.2">
      <c r="A38" t="s">
        <v>45</v>
      </c>
      <c r="B38">
        <v>4</v>
      </c>
      <c r="C38">
        <v>19</v>
      </c>
    </row>
    <row r="39" spans="1:3" x14ac:dyDescent="0.2">
      <c r="A39" t="s">
        <v>44</v>
      </c>
      <c r="B39">
        <v>4</v>
      </c>
      <c r="C39">
        <v>12</v>
      </c>
    </row>
    <row r="40" spans="1:3" x14ac:dyDescent="0.2">
      <c r="A40" t="s">
        <v>50</v>
      </c>
      <c r="B40">
        <v>135</v>
      </c>
      <c r="C40">
        <v>12</v>
      </c>
    </row>
    <row r="41" spans="1:3" x14ac:dyDescent="0.2">
      <c r="A41" t="s">
        <v>51</v>
      </c>
      <c r="B41">
        <v>20</v>
      </c>
      <c r="C41">
        <v>16</v>
      </c>
    </row>
    <row r="42" spans="1:3" x14ac:dyDescent="0.2">
      <c r="A42" t="s">
        <v>46</v>
      </c>
      <c r="B42">
        <v>106</v>
      </c>
      <c r="C42">
        <v>17</v>
      </c>
    </row>
    <row r="43" spans="1:3" x14ac:dyDescent="0.2">
      <c r="A43" t="s">
        <v>47</v>
      </c>
      <c r="B43">
        <v>59</v>
      </c>
      <c r="C43">
        <v>15</v>
      </c>
    </row>
    <row r="44" spans="1:3" x14ac:dyDescent="0.2">
      <c r="A44" t="s">
        <v>30</v>
      </c>
      <c r="B44">
        <v>89</v>
      </c>
      <c r="C44">
        <v>15</v>
      </c>
    </row>
    <row r="45" spans="1:3" x14ac:dyDescent="0.2">
      <c r="A45" t="s">
        <v>41</v>
      </c>
      <c r="B45">
        <v>85</v>
      </c>
      <c r="C45">
        <v>17</v>
      </c>
    </row>
    <row r="46" spans="1:3" x14ac:dyDescent="0.2">
      <c r="A46" t="s">
        <v>23</v>
      </c>
      <c r="B46">
        <v>89</v>
      </c>
      <c r="C46">
        <v>19</v>
      </c>
    </row>
    <row r="47" spans="1:3" x14ac:dyDescent="0.2">
      <c r="A47" t="s">
        <v>39</v>
      </c>
      <c r="B47">
        <v>38</v>
      </c>
      <c r="C47">
        <v>18</v>
      </c>
    </row>
    <row r="48" spans="1:3" x14ac:dyDescent="0.2">
      <c r="A48" t="s">
        <v>42</v>
      </c>
      <c r="B48">
        <v>108</v>
      </c>
      <c r="C48">
        <v>15</v>
      </c>
    </row>
    <row r="49" spans="1:3" x14ac:dyDescent="0.2">
      <c r="A49" t="s">
        <v>32</v>
      </c>
      <c r="B49">
        <v>10</v>
      </c>
      <c r="C49">
        <v>19</v>
      </c>
    </row>
    <row r="50" spans="1:3" x14ac:dyDescent="0.2">
      <c r="A50" t="s">
        <v>82</v>
      </c>
      <c r="B50">
        <v>20</v>
      </c>
      <c r="C50">
        <v>10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027F5-18F7-4964-A778-7DAA8528DFD8}">
  <dimension ref="A1:C11"/>
  <sheetViews>
    <sheetView workbookViewId="0">
      <selection activeCell="A8" sqref="A8"/>
    </sheetView>
  </sheetViews>
  <sheetFormatPr baseColWidth="10" defaultColWidth="8.83203125" defaultRowHeight="15" x14ac:dyDescent="0.2"/>
  <cols>
    <col min="1" max="1" width="15.5" bestFit="1" customWidth="1"/>
    <col min="2" max="2" width="16.6640625" bestFit="1" customWidth="1"/>
    <col min="3" max="3" width="17.5" bestFit="1" customWidth="1"/>
  </cols>
  <sheetData>
    <row r="1" spans="1:3" x14ac:dyDescent="0.2">
      <c r="A1" s="1" t="s">
        <v>83</v>
      </c>
      <c r="B1" s="1" t="s">
        <v>84</v>
      </c>
      <c r="C1" s="1" t="s">
        <v>85</v>
      </c>
    </row>
    <row r="2" spans="1:3" x14ac:dyDescent="0.2">
      <c r="A2" t="str" cm="1">
        <f t="array" ref="A2:A11">_xlfn.UNIQUE(Sales_db!H2:H120)</f>
        <v>Juan Pérez</v>
      </c>
      <c r="B2">
        <v>40</v>
      </c>
      <c r="C2">
        <f>COUNTIF(Sales_db!H2:H120,Employees_db!A2)</f>
        <v>8</v>
      </c>
    </row>
    <row r="3" spans="1:3" x14ac:dyDescent="0.2">
      <c r="A3" t="str">
        <v>Ana López</v>
      </c>
      <c r="B3">
        <v>38</v>
      </c>
      <c r="C3">
        <f>COUNTIF(Sales_db!H3:H121,Employees_db!A3)</f>
        <v>21</v>
      </c>
    </row>
    <row r="4" spans="1:3" x14ac:dyDescent="0.2">
      <c r="A4" t="str">
        <v>Carlos Ruiz</v>
      </c>
      <c r="B4">
        <v>35</v>
      </c>
      <c r="C4">
        <f>COUNTIF(Sales_db!H4:H122,Employees_db!A4)</f>
        <v>12</v>
      </c>
    </row>
    <row r="5" spans="1:3" x14ac:dyDescent="0.2">
      <c r="A5" t="str">
        <v>María Fernández</v>
      </c>
      <c r="B5">
        <v>30</v>
      </c>
      <c r="C5">
        <f>COUNTIF(Sales_db!H5:H123,Employees_db!A5)</f>
        <v>14</v>
      </c>
    </row>
    <row r="6" spans="1:3" x14ac:dyDescent="0.2">
      <c r="A6" t="str">
        <v>Luis Gómez</v>
      </c>
      <c r="B6">
        <v>40</v>
      </c>
      <c r="C6">
        <f>COUNTIF(Sales_db!H6:H124,Employees_db!A6)</f>
        <v>11</v>
      </c>
    </row>
    <row r="7" spans="1:3" x14ac:dyDescent="0.2">
      <c r="A7" t="str">
        <v>Sofía Ramírez</v>
      </c>
      <c r="B7">
        <v>42</v>
      </c>
      <c r="C7">
        <f>COUNTIF(Sales_db!H7:H125,Employees_db!A7)</f>
        <v>9</v>
      </c>
    </row>
    <row r="8" spans="1:3" x14ac:dyDescent="0.2">
      <c r="A8" t="str">
        <v>Andrés Torres</v>
      </c>
      <c r="B8">
        <v>32</v>
      </c>
      <c r="C8">
        <f>COUNTIF(Sales_db!H8:H126,Employees_db!A8)</f>
        <v>9</v>
      </c>
    </row>
    <row r="9" spans="1:3" x14ac:dyDescent="0.2">
      <c r="A9" t="str">
        <v>Patricia Herrera</v>
      </c>
      <c r="B9">
        <v>25</v>
      </c>
      <c r="C9">
        <f>COUNTIF(Sales_db!H9:H127,Employees_db!A9)</f>
        <v>9</v>
      </c>
    </row>
    <row r="10" spans="1:3" x14ac:dyDescent="0.2">
      <c r="A10" t="str">
        <v>Diego Castro</v>
      </c>
      <c r="B10">
        <v>30</v>
      </c>
      <c r="C10">
        <f>COUNTIF(Sales_db!H10:H128,Employees_db!A10)</f>
        <v>14</v>
      </c>
    </row>
    <row r="11" spans="1:3" x14ac:dyDescent="0.2">
      <c r="A11" t="str">
        <v>Elena Morales</v>
      </c>
      <c r="B11">
        <v>32</v>
      </c>
      <c r="C11">
        <f>COUNTIF(Sales_db!H11:H129,Employees_db!A11)</f>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83B65-EE61-4527-9D3F-DAF629281283}">
  <dimension ref="A1:C52"/>
  <sheetViews>
    <sheetView zoomScale="150" workbookViewId="0">
      <selection activeCell="H36" sqref="H36"/>
    </sheetView>
  </sheetViews>
  <sheetFormatPr baseColWidth="10" defaultColWidth="8.83203125" defaultRowHeight="15" x14ac:dyDescent="0.2"/>
  <cols>
    <col min="1" max="1" width="21" bestFit="1" customWidth="1"/>
    <col min="2" max="2" width="13.33203125" bestFit="1" customWidth="1"/>
    <col min="3" max="3" width="10.5" bestFit="1" customWidth="1"/>
  </cols>
  <sheetData>
    <row r="1" spans="1:3" ht="45" customHeight="1" x14ac:dyDescent="0.2">
      <c r="A1" s="77" t="s">
        <v>0</v>
      </c>
      <c r="B1" s="77"/>
      <c r="C1" s="77"/>
    </row>
    <row r="3" spans="1:3" x14ac:dyDescent="0.2">
      <c r="A3" s="3" t="s">
        <v>1</v>
      </c>
      <c r="B3" t="s">
        <v>2</v>
      </c>
      <c r="C3" t="s">
        <v>3</v>
      </c>
    </row>
    <row r="4" spans="1:3" x14ac:dyDescent="0.2">
      <c r="A4" t="s">
        <v>4</v>
      </c>
      <c r="B4">
        <v>18</v>
      </c>
      <c r="C4" s="5">
        <v>23400</v>
      </c>
    </row>
    <row r="5" spans="1:3" x14ac:dyDescent="0.2">
      <c r="A5" t="s">
        <v>5</v>
      </c>
      <c r="B5">
        <v>17</v>
      </c>
      <c r="C5" s="5">
        <v>18700</v>
      </c>
    </row>
    <row r="6" spans="1:3" x14ac:dyDescent="0.2">
      <c r="A6" t="s">
        <v>14</v>
      </c>
      <c r="B6">
        <v>16</v>
      </c>
      <c r="C6" s="5">
        <v>15984</v>
      </c>
    </row>
    <row r="7" spans="1:3" x14ac:dyDescent="0.2">
      <c r="A7" t="s">
        <v>6</v>
      </c>
      <c r="B7">
        <v>11</v>
      </c>
      <c r="C7" s="5">
        <v>13200</v>
      </c>
    </row>
    <row r="8" spans="1:3" x14ac:dyDescent="0.2">
      <c r="A8" t="s">
        <v>7</v>
      </c>
      <c r="B8">
        <v>24</v>
      </c>
      <c r="C8" s="5">
        <v>11976</v>
      </c>
    </row>
    <row r="9" spans="1:3" x14ac:dyDescent="0.2">
      <c r="A9" t="s">
        <v>8</v>
      </c>
      <c r="B9">
        <v>23</v>
      </c>
      <c r="C9" s="5">
        <v>11500</v>
      </c>
    </row>
    <row r="10" spans="1:3" x14ac:dyDescent="0.2">
      <c r="A10" t="s">
        <v>9</v>
      </c>
      <c r="B10">
        <v>11</v>
      </c>
      <c r="C10" s="5">
        <v>10450</v>
      </c>
    </row>
    <row r="11" spans="1:3" x14ac:dyDescent="0.2">
      <c r="A11" t="s">
        <v>10</v>
      </c>
      <c r="B11">
        <v>26</v>
      </c>
      <c r="C11" s="5">
        <v>9100</v>
      </c>
    </row>
    <row r="12" spans="1:3" x14ac:dyDescent="0.2">
      <c r="A12" t="s">
        <v>11</v>
      </c>
      <c r="B12">
        <v>21</v>
      </c>
      <c r="C12" s="5">
        <v>9009</v>
      </c>
    </row>
    <row r="13" spans="1:3" x14ac:dyDescent="0.2">
      <c r="A13" t="s">
        <v>12</v>
      </c>
      <c r="B13">
        <v>12</v>
      </c>
      <c r="C13" s="5">
        <v>9000</v>
      </c>
    </row>
    <row r="14" spans="1:3" x14ac:dyDescent="0.2">
      <c r="A14" t="s">
        <v>13</v>
      </c>
      <c r="B14">
        <v>6</v>
      </c>
      <c r="C14" s="5">
        <v>7200</v>
      </c>
    </row>
    <row r="15" spans="1:3" x14ac:dyDescent="0.2">
      <c r="A15" t="s">
        <v>15</v>
      </c>
      <c r="B15">
        <v>8</v>
      </c>
      <c r="C15" s="5">
        <v>6400</v>
      </c>
    </row>
    <row r="16" spans="1:3" x14ac:dyDescent="0.2">
      <c r="A16" t="s">
        <v>16</v>
      </c>
      <c r="B16">
        <v>7</v>
      </c>
      <c r="C16" s="5">
        <v>5950</v>
      </c>
    </row>
    <row r="17" spans="1:3" x14ac:dyDescent="0.2">
      <c r="A17" t="s">
        <v>17</v>
      </c>
      <c r="B17">
        <v>8</v>
      </c>
      <c r="C17" s="5">
        <v>4800</v>
      </c>
    </row>
    <row r="18" spans="1:3" x14ac:dyDescent="0.2">
      <c r="A18" t="s">
        <v>18</v>
      </c>
      <c r="B18">
        <v>6</v>
      </c>
      <c r="C18" s="5">
        <v>4200</v>
      </c>
    </row>
    <row r="19" spans="1:3" x14ac:dyDescent="0.2">
      <c r="A19" t="s">
        <v>19</v>
      </c>
      <c r="B19">
        <v>8</v>
      </c>
      <c r="C19" s="5">
        <v>4000</v>
      </c>
    </row>
    <row r="20" spans="1:3" x14ac:dyDescent="0.2">
      <c r="A20" t="s">
        <v>20</v>
      </c>
      <c r="B20">
        <v>8</v>
      </c>
      <c r="C20" s="5">
        <v>4000</v>
      </c>
    </row>
    <row r="21" spans="1:3" x14ac:dyDescent="0.2">
      <c r="A21" t="s">
        <v>21</v>
      </c>
      <c r="B21">
        <v>3</v>
      </c>
      <c r="C21" s="5">
        <v>3900</v>
      </c>
    </row>
    <row r="22" spans="1:3" x14ac:dyDescent="0.2">
      <c r="A22" t="s">
        <v>22</v>
      </c>
      <c r="B22">
        <v>4</v>
      </c>
      <c r="C22" s="5">
        <v>3600</v>
      </c>
    </row>
    <row r="23" spans="1:3" x14ac:dyDescent="0.2">
      <c r="A23" t="s">
        <v>23</v>
      </c>
      <c r="B23">
        <v>12</v>
      </c>
      <c r="C23" s="5">
        <v>3000</v>
      </c>
    </row>
    <row r="24" spans="1:3" x14ac:dyDescent="0.2">
      <c r="A24" t="s">
        <v>24</v>
      </c>
      <c r="B24">
        <v>12</v>
      </c>
      <c r="C24" s="5">
        <v>2988</v>
      </c>
    </row>
    <row r="25" spans="1:3" x14ac:dyDescent="0.2">
      <c r="A25" t="s">
        <v>25</v>
      </c>
      <c r="B25">
        <v>17</v>
      </c>
      <c r="C25" s="5">
        <v>2550</v>
      </c>
    </row>
    <row r="26" spans="1:3" x14ac:dyDescent="0.2">
      <c r="A26" t="s">
        <v>26</v>
      </c>
      <c r="B26">
        <v>16</v>
      </c>
      <c r="C26" s="5">
        <v>1920</v>
      </c>
    </row>
    <row r="27" spans="1:3" x14ac:dyDescent="0.2">
      <c r="A27" t="s">
        <v>27</v>
      </c>
      <c r="B27">
        <v>10</v>
      </c>
      <c r="C27" s="5">
        <v>1800</v>
      </c>
    </row>
    <row r="28" spans="1:3" x14ac:dyDescent="0.2">
      <c r="A28" t="s">
        <v>28</v>
      </c>
      <c r="B28">
        <v>16</v>
      </c>
      <c r="C28" s="5">
        <v>1600</v>
      </c>
    </row>
    <row r="29" spans="1:3" x14ac:dyDescent="0.2">
      <c r="A29" t="s">
        <v>29</v>
      </c>
      <c r="B29">
        <v>10</v>
      </c>
      <c r="C29" s="5">
        <v>1500</v>
      </c>
    </row>
    <row r="30" spans="1:3" x14ac:dyDescent="0.2">
      <c r="A30" t="s">
        <v>30</v>
      </c>
      <c r="B30">
        <v>7</v>
      </c>
      <c r="C30" s="5">
        <v>1400</v>
      </c>
    </row>
    <row r="31" spans="1:3" x14ac:dyDescent="0.2">
      <c r="A31" t="s">
        <v>31</v>
      </c>
      <c r="B31">
        <v>4</v>
      </c>
      <c r="C31" s="5">
        <v>1280</v>
      </c>
    </row>
    <row r="32" spans="1:3" x14ac:dyDescent="0.2">
      <c r="A32" t="s">
        <v>32</v>
      </c>
      <c r="B32">
        <v>4</v>
      </c>
      <c r="C32" s="5">
        <v>1200</v>
      </c>
    </row>
    <row r="33" spans="1:3" x14ac:dyDescent="0.2">
      <c r="A33" t="s">
        <v>34</v>
      </c>
      <c r="B33">
        <v>5</v>
      </c>
      <c r="C33" s="5">
        <v>1000</v>
      </c>
    </row>
    <row r="34" spans="1:3" x14ac:dyDescent="0.2">
      <c r="A34" t="s">
        <v>33</v>
      </c>
      <c r="B34">
        <v>4</v>
      </c>
      <c r="C34" s="5">
        <v>1000</v>
      </c>
    </row>
    <row r="35" spans="1:3" x14ac:dyDescent="0.2">
      <c r="A35" t="s">
        <v>35</v>
      </c>
      <c r="B35">
        <v>8</v>
      </c>
      <c r="C35" s="5">
        <v>960</v>
      </c>
    </row>
    <row r="36" spans="1:3" x14ac:dyDescent="0.2">
      <c r="A36" t="s">
        <v>36</v>
      </c>
      <c r="B36">
        <v>3</v>
      </c>
      <c r="C36" s="5">
        <v>660</v>
      </c>
    </row>
    <row r="37" spans="1:3" x14ac:dyDescent="0.2">
      <c r="A37" t="s">
        <v>37</v>
      </c>
      <c r="B37">
        <v>4</v>
      </c>
      <c r="C37" s="5">
        <v>640</v>
      </c>
    </row>
    <row r="38" spans="1:3" x14ac:dyDescent="0.2">
      <c r="A38" t="s">
        <v>38</v>
      </c>
      <c r="B38">
        <v>5</v>
      </c>
      <c r="C38" s="5">
        <v>600</v>
      </c>
    </row>
    <row r="39" spans="1:3" x14ac:dyDescent="0.2">
      <c r="A39" t="s">
        <v>39</v>
      </c>
      <c r="B39">
        <v>7</v>
      </c>
      <c r="C39" s="5">
        <v>560</v>
      </c>
    </row>
    <row r="40" spans="1:3" x14ac:dyDescent="0.2">
      <c r="A40" t="s">
        <v>40</v>
      </c>
      <c r="B40">
        <v>6</v>
      </c>
      <c r="C40" s="5">
        <v>540</v>
      </c>
    </row>
    <row r="41" spans="1:3" x14ac:dyDescent="0.2">
      <c r="A41" t="s">
        <v>41</v>
      </c>
      <c r="B41">
        <v>10</v>
      </c>
      <c r="C41" s="5">
        <v>500</v>
      </c>
    </row>
    <row r="42" spans="1:3" x14ac:dyDescent="0.2">
      <c r="A42" t="s">
        <v>42</v>
      </c>
      <c r="B42">
        <v>12</v>
      </c>
      <c r="C42" s="5">
        <v>480</v>
      </c>
    </row>
    <row r="43" spans="1:3" x14ac:dyDescent="0.2">
      <c r="A43" t="s">
        <v>43</v>
      </c>
      <c r="B43">
        <v>9</v>
      </c>
      <c r="C43" s="5">
        <v>450</v>
      </c>
    </row>
    <row r="44" spans="1:3" x14ac:dyDescent="0.2">
      <c r="A44" t="s">
        <v>44</v>
      </c>
      <c r="B44">
        <v>3</v>
      </c>
      <c r="C44" s="5">
        <v>330</v>
      </c>
    </row>
    <row r="45" spans="1:3" x14ac:dyDescent="0.2">
      <c r="A45" t="s">
        <v>45</v>
      </c>
      <c r="B45">
        <v>3</v>
      </c>
      <c r="C45" s="5">
        <v>210</v>
      </c>
    </row>
    <row r="46" spans="1:3" x14ac:dyDescent="0.2">
      <c r="A46" t="s">
        <v>46</v>
      </c>
      <c r="B46">
        <v>7</v>
      </c>
      <c r="C46" s="5">
        <v>210</v>
      </c>
    </row>
    <row r="47" spans="1:3" x14ac:dyDescent="0.2">
      <c r="A47" t="s">
        <v>47</v>
      </c>
      <c r="B47">
        <v>8</v>
      </c>
      <c r="C47" s="5">
        <v>200</v>
      </c>
    </row>
    <row r="48" spans="1:3" x14ac:dyDescent="0.2">
      <c r="A48" t="s">
        <v>48</v>
      </c>
      <c r="B48">
        <v>1</v>
      </c>
      <c r="C48" s="5">
        <v>180</v>
      </c>
    </row>
    <row r="49" spans="1:3" x14ac:dyDescent="0.2">
      <c r="A49" t="s">
        <v>49</v>
      </c>
      <c r="B49">
        <v>1</v>
      </c>
      <c r="C49" s="5">
        <v>150</v>
      </c>
    </row>
    <row r="50" spans="1:3" x14ac:dyDescent="0.2">
      <c r="A50" t="s">
        <v>50</v>
      </c>
      <c r="B50">
        <v>2</v>
      </c>
      <c r="C50" s="5">
        <v>150</v>
      </c>
    </row>
    <row r="51" spans="1:3" x14ac:dyDescent="0.2">
      <c r="A51" t="s">
        <v>51</v>
      </c>
      <c r="B51">
        <v>6</v>
      </c>
      <c r="C51" s="5">
        <v>120</v>
      </c>
    </row>
    <row r="52" spans="1:3" x14ac:dyDescent="0.2">
      <c r="A52" t="s">
        <v>52</v>
      </c>
      <c r="B52">
        <v>449</v>
      </c>
      <c r="C52" s="5">
        <v>204547</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84806-5AC5-46EB-952D-08494A06DBF1}">
  <dimension ref="A1:J100"/>
  <sheetViews>
    <sheetView zoomScale="150" workbookViewId="0">
      <selection activeCell="E79" sqref="E79"/>
    </sheetView>
  </sheetViews>
  <sheetFormatPr baseColWidth="10" defaultColWidth="8.83203125" defaultRowHeight="15" x14ac:dyDescent="0.2"/>
  <cols>
    <col min="1" max="1" width="29.33203125" customWidth="1"/>
    <col min="2" max="2" width="28.5" customWidth="1"/>
    <col min="3" max="3" width="20.83203125" bestFit="1" customWidth="1"/>
    <col min="4" max="4" width="11.5" customWidth="1"/>
    <col min="5" max="5" width="16" customWidth="1"/>
    <col min="6" max="6" width="16.1640625" customWidth="1"/>
    <col min="7" max="7" width="36.5" bestFit="1" customWidth="1"/>
    <col min="8" max="8" width="16.33203125" customWidth="1"/>
    <col min="9" max="9" width="11.5" bestFit="1" customWidth="1"/>
    <col min="10" max="10" width="10.5" bestFit="1" customWidth="1"/>
  </cols>
  <sheetData>
    <row r="1" spans="1:10" ht="57.75" customHeight="1" x14ac:dyDescent="0.2">
      <c r="A1" s="79" t="s">
        <v>86</v>
      </c>
      <c r="B1" s="80"/>
      <c r="C1" s="80"/>
      <c r="D1" s="80"/>
      <c r="E1" s="80"/>
      <c r="F1" s="80"/>
      <c r="G1" s="80"/>
      <c r="H1" s="80"/>
      <c r="I1" s="80"/>
    </row>
    <row r="2" spans="1:10" x14ac:dyDescent="0.2">
      <c r="G2" s="83" t="s">
        <v>87</v>
      </c>
      <c r="H2" s="83"/>
    </row>
    <row r="3" spans="1:10" x14ac:dyDescent="0.2">
      <c r="A3" s="8" t="s">
        <v>88</v>
      </c>
      <c r="B3" s="8" t="s">
        <v>89</v>
      </c>
      <c r="G3" s="8" t="s">
        <v>88</v>
      </c>
      <c r="H3" s="8" t="s">
        <v>158</v>
      </c>
      <c r="I3" t="s">
        <v>156</v>
      </c>
      <c r="J3" t="s">
        <v>157</v>
      </c>
    </row>
    <row r="4" spans="1:10" x14ac:dyDescent="0.2">
      <c r="A4" t="str" cm="1">
        <f t="array" ref="A4:A13">_xlfn.UNIQUE(sales[employee])</f>
        <v>Juan Pérez</v>
      </c>
      <c r="B4" s="5">
        <f>SUMIF(sales[employee], A4, sales[total])</f>
        <v>17344</v>
      </c>
      <c r="G4" t="str" cm="1">
        <f t="array" ref="G4:H13">_xlfn._xlws.SORT(A4:B13, 2, 1)</f>
        <v>Andrés Torres</v>
      </c>
      <c r="H4" s="21">
        <v>12625</v>
      </c>
      <c r="I4" t="e">
        <f>IF(H4=MAX($H$4:$H$13),H4, NA())</f>
        <v>#N/A</v>
      </c>
      <c r="J4">
        <f>IF(H4=MAX($H$4:$H$13), NA(),H4)</f>
        <v>12625</v>
      </c>
    </row>
    <row r="5" spans="1:10" x14ac:dyDescent="0.2">
      <c r="A5" t="str">
        <v>Ana López</v>
      </c>
      <c r="B5" s="5">
        <f>SUMIF(sales[employee], A5, sales[total])</f>
        <v>39803</v>
      </c>
      <c r="G5" t="str">
        <v>Patricia Herrera</v>
      </c>
      <c r="H5" s="21">
        <v>15120</v>
      </c>
      <c r="I5" t="e">
        <f t="shared" ref="I5:I13" si="0">IF(H5=MAX($H$4:$H$13),H5, NA())</f>
        <v>#N/A</v>
      </c>
      <c r="J5">
        <f t="shared" ref="J5:J13" si="1">IF(H5=MAX($H$4:$H$13), NA(),H5)</f>
        <v>15120</v>
      </c>
    </row>
    <row r="6" spans="1:10" x14ac:dyDescent="0.2">
      <c r="A6" t="str">
        <v>Carlos Ruiz</v>
      </c>
      <c r="B6" s="5">
        <f>SUMIF(sales[employee], A6, sales[total])</f>
        <v>17340</v>
      </c>
      <c r="G6" t="str">
        <v>Elena Morales</v>
      </c>
      <c r="H6" s="21">
        <v>15344</v>
      </c>
      <c r="I6" t="e">
        <f t="shared" si="0"/>
        <v>#N/A</v>
      </c>
      <c r="J6">
        <f t="shared" si="1"/>
        <v>15344</v>
      </c>
    </row>
    <row r="7" spans="1:10" x14ac:dyDescent="0.2">
      <c r="A7" t="str">
        <v>María Fernández</v>
      </c>
      <c r="B7" s="5">
        <f>SUMIF(sales[employee], A7, sales[total])</f>
        <v>28746</v>
      </c>
      <c r="G7" t="str">
        <v>Sofía Ramírez</v>
      </c>
      <c r="H7" s="21">
        <v>16135</v>
      </c>
      <c r="I7" t="e">
        <f t="shared" si="0"/>
        <v>#N/A</v>
      </c>
      <c r="J7">
        <f t="shared" si="1"/>
        <v>16135</v>
      </c>
    </row>
    <row r="8" spans="1:10" x14ac:dyDescent="0.2">
      <c r="A8" t="str">
        <v>Luis Gómez</v>
      </c>
      <c r="B8" s="5">
        <f>SUMIF(sales[employee], A8, sales[total])</f>
        <v>17721</v>
      </c>
      <c r="G8" t="str">
        <v>Carlos Ruiz</v>
      </c>
      <c r="H8" s="21">
        <v>17340</v>
      </c>
      <c r="I8" t="e">
        <f t="shared" si="0"/>
        <v>#N/A</v>
      </c>
      <c r="J8">
        <f t="shared" si="1"/>
        <v>17340</v>
      </c>
    </row>
    <row r="9" spans="1:10" x14ac:dyDescent="0.2">
      <c r="A9" t="str">
        <v>Sofía Ramírez</v>
      </c>
      <c r="B9" s="5">
        <f>SUMIF(sales[employee], A9, sales[total])</f>
        <v>16135</v>
      </c>
      <c r="G9" t="str">
        <v>Juan Pérez</v>
      </c>
      <c r="H9" s="21">
        <v>17344</v>
      </c>
      <c r="I9" t="e">
        <f t="shared" si="0"/>
        <v>#N/A</v>
      </c>
      <c r="J9">
        <f t="shared" si="1"/>
        <v>17344</v>
      </c>
    </row>
    <row r="10" spans="1:10" x14ac:dyDescent="0.2">
      <c r="A10" t="str">
        <v>Andrés Torres</v>
      </c>
      <c r="B10" s="5">
        <f>SUMIF(sales[employee], A10, sales[total])</f>
        <v>12625</v>
      </c>
      <c r="G10" t="str">
        <v>Luis Gómez</v>
      </c>
      <c r="H10" s="21">
        <v>17721</v>
      </c>
      <c r="I10" t="e">
        <f t="shared" si="0"/>
        <v>#N/A</v>
      </c>
      <c r="J10">
        <f t="shared" si="1"/>
        <v>17721</v>
      </c>
    </row>
    <row r="11" spans="1:10" x14ac:dyDescent="0.2">
      <c r="A11" t="str">
        <v>Patricia Herrera</v>
      </c>
      <c r="B11" s="5">
        <f>SUMIF(sales[employee], A11, sales[total])</f>
        <v>15120</v>
      </c>
      <c r="G11" t="str">
        <v>Diego Castro</v>
      </c>
      <c r="H11" s="21">
        <v>24369</v>
      </c>
      <c r="I11" t="e">
        <f t="shared" si="0"/>
        <v>#N/A</v>
      </c>
      <c r="J11">
        <f t="shared" si="1"/>
        <v>24369</v>
      </c>
    </row>
    <row r="12" spans="1:10" x14ac:dyDescent="0.2">
      <c r="A12" t="str">
        <v>Diego Castro</v>
      </c>
      <c r="B12" s="5">
        <f>SUMIF(sales[employee], A12, sales[total])</f>
        <v>24369</v>
      </c>
      <c r="G12" t="str">
        <v>María Fernández</v>
      </c>
      <c r="H12" s="21">
        <v>28746</v>
      </c>
      <c r="I12" t="e">
        <f t="shared" si="0"/>
        <v>#N/A</v>
      </c>
      <c r="J12">
        <f t="shared" si="1"/>
        <v>28746</v>
      </c>
    </row>
    <row r="13" spans="1:10" x14ac:dyDescent="0.2">
      <c r="A13" t="str">
        <v>Elena Morales</v>
      </c>
      <c r="B13" s="5">
        <f>SUMIF(sales[employee], A13, sales[total])</f>
        <v>15344</v>
      </c>
      <c r="G13" t="str">
        <v>Ana López</v>
      </c>
      <c r="H13" s="21">
        <v>39803</v>
      </c>
      <c r="I13">
        <f t="shared" si="0"/>
        <v>39803</v>
      </c>
      <c r="J13" t="e">
        <f t="shared" si="1"/>
        <v>#N/A</v>
      </c>
    </row>
    <row r="14" spans="1:10" x14ac:dyDescent="0.2">
      <c r="A14" s="6" t="s">
        <v>90</v>
      </c>
      <c r="B14" s="7">
        <f>SUM(B4:B13)</f>
        <v>204547</v>
      </c>
    </row>
    <row r="16" spans="1:10" ht="25.5" customHeight="1" x14ac:dyDescent="0.2">
      <c r="A16" s="79" t="s">
        <v>91</v>
      </c>
      <c r="B16" s="80"/>
      <c r="C16" s="80"/>
      <c r="D16" s="80"/>
      <c r="E16" s="80"/>
      <c r="F16" s="80"/>
      <c r="G16" s="80"/>
      <c r="H16" s="80"/>
      <c r="I16" s="80"/>
    </row>
    <row r="17" spans="1:10" ht="51" customHeight="1" x14ac:dyDescent="0.2">
      <c r="B17" s="4" t="s">
        <v>194</v>
      </c>
      <c r="E17" s="4" t="s">
        <v>185</v>
      </c>
      <c r="F17" s="4" t="s">
        <v>186</v>
      </c>
      <c r="I17" s="5"/>
      <c r="J17" s="5"/>
    </row>
    <row r="18" spans="1:10" x14ac:dyDescent="0.2">
      <c r="A18" s="8" t="s">
        <v>92</v>
      </c>
      <c r="B18" s="8" t="s">
        <v>93</v>
      </c>
      <c r="C18" s="8" t="s">
        <v>94</v>
      </c>
      <c r="D18" s="8" t="s">
        <v>95</v>
      </c>
      <c r="E18" s="8" t="s">
        <v>156</v>
      </c>
      <c r="F18" s="8" t="s">
        <v>157</v>
      </c>
      <c r="H18" s="4"/>
      <c r="I18" s="5"/>
      <c r="J18" s="5"/>
    </row>
    <row r="19" spans="1:10" x14ac:dyDescent="0.2">
      <c r="A19" s="1" t="s">
        <v>96</v>
      </c>
      <c r="B19" s="4" cm="1">
        <f t="array" ref="B19">SUMPRODUCT((TEXT(sales[date], "mmm")=A19)*(sales[quantity]))</f>
        <v>0</v>
      </c>
      <c r="C19" s="9" cm="1">
        <f t="array" ref="C19">SUMPRODUCT((TEXT(sales[date],"mmm")=A19)*(sales[total]))</f>
        <v>0</v>
      </c>
      <c r="D19" cm="1">
        <f t="array" ref="D19">IFERROR(C19/(SUMPRODUCT(--(TEXT(sales[date], "mmm")=A19))), 0)</f>
        <v>0</v>
      </c>
      <c r="E19" t="e">
        <f>IF(D19=MAX($D$19:$D$30), D19, NA())</f>
        <v>#N/A</v>
      </c>
      <c r="F19" s="27">
        <f>IF(D19=MAX($D$19:$D$30), NA(), D19)</f>
        <v>0</v>
      </c>
      <c r="G19" s="4"/>
    </row>
    <row r="20" spans="1:10" x14ac:dyDescent="0.2">
      <c r="A20" s="10" t="s">
        <v>97</v>
      </c>
      <c r="B20" s="4" cm="1">
        <f t="array" ref="B20">SUMPRODUCT((TEXT(sales[date], "mmm")=A20)*(sales[quantity]))</f>
        <v>32</v>
      </c>
      <c r="C20" s="9" cm="1">
        <f t="array" ref="C20">SUMPRODUCT((TEXT(sales[date],"mmm")=A20)*(sales[total]))</f>
        <v>13294</v>
      </c>
      <c r="D20" s="27" cm="1">
        <f t="array" ref="D20">IFERROR(C20/(SUMPRODUCT(--(TEXT(sales[date], "mmm")=A20))), 0)</f>
        <v>1477.1111111111111</v>
      </c>
      <c r="E20" t="e">
        <f t="shared" ref="E20:E30" si="2">IF(D20=MAX($D$19:$D$30), D20, NA())</f>
        <v>#N/A</v>
      </c>
      <c r="F20" s="27">
        <f t="shared" ref="F20:F30" si="3">IF(D20=MAX($D$19:$D$30), NA(), D20)</f>
        <v>1477.1111111111111</v>
      </c>
      <c r="I20" s="5"/>
      <c r="J20" s="5"/>
    </row>
    <row r="21" spans="1:10" x14ac:dyDescent="0.2">
      <c r="A21" s="1" t="s">
        <v>98</v>
      </c>
      <c r="B21" s="4" cm="1">
        <f t="array" ref="B21">SUMPRODUCT((TEXT(sales[date], "mmm")=A21)*(sales[quantity]))</f>
        <v>51</v>
      </c>
      <c r="C21" s="9" cm="1">
        <f t="array" ref="C21">SUMPRODUCT((TEXT(sales[date],"mmm")=A21)*(sales[total]))</f>
        <v>19177</v>
      </c>
      <c r="D21" s="27" cm="1">
        <f t="array" ref="D21">IFERROR(C21/(SUMPRODUCT(--(TEXT(sales[date], "mmm")=A21))), 0)</f>
        <v>1598.0833333333333</v>
      </c>
      <c r="E21" t="e">
        <f t="shared" si="2"/>
        <v>#N/A</v>
      </c>
      <c r="F21" s="27">
        <f t="shared" si="3"/>
        <v>1598.0833333333333</v>
      </c>
      <c r="I21" s="5"/>
      <c r="J21" s="5"/>
    </row>
    <row r="22" spans="1:10" x14ac:dyDescent="0.2">
      <c r="A22" s="10" t="s">
        <v>99</v>
      </c>
      <c r="B22" s="4" cm="1">
        <f t="array" ref="B22">SUMPRODUCT((TEXT(sales[date], "mmm")=A22)*(sales[quantity]))</f>
        <v>52</v>
      </c>
      <c r="C22" s="9" cm="1">
        <f t="array" ref="C22">SUMPRODUCT((TEXT(sales[date],"mmm")=A22)*(sales[total]))</f>
        <v>19198</v>
      </c>
      <c r="D22" s="27" cm="1">
        <f t="array" ref="D22">IFERROR(C22/(SUMPRODUCT(--(TEXT(sales[date], "mmm")=A22))), 0)</f>
        <v>1371.2857142857142</v>
      </c>
      <c r="E22" t="e">
        <f t="shared" si="2"/>
        <v>#N/A</v>
      </c>
      <c r="F22" s="27">
        <f t="shared" si="3"/>
        <v>1371.2857142857142</v>
      </c>
      <c r="I22" s="5"/>
      <c r="J22" s="5"/>
    </row>
    <row r="23" spans="1:10" x14ac:dyDescent="0.2">
      <c r="A23" s="1" t="s">
        <v>100</v>
      </c>
      <c r="B23" s="4" cm="1">
        <f t="array" ref="B23">SUMPRODUCT((TEXT(sales[date], "mmm")=A23)*(sales[quantity]))</f>
        <v>38</v>
      </c>
      <c r="C23" s="9" cm="1">
        <f t="array" ref="C23">SUMPRODUCT((TEXT(sales[date],"mmm")=A23)*(sales[total]))</f>
        <v>21388</v>
      </c>
      <c r="D23" s="27" cm="1">
        <f t="array" ref="D23">IFERROR(C23/(SUMPRODUCT(--(TEXT(sales[date], "mmm")=A23))), 0)</f>
        <v>2138.8000000000002</v>
      </c>
      <c r="E23" t="e">
        <f t="shared" si="2"/>
        <v>#N/A</v>
      </c>
      <c r="F23" s="27">
        <f t="shared" si="3"/>
        <v>2138.8000000000002</v>
      </c>
      <c r="I23" s="5"/>
      <c r="J23" s="5"/>
    </row>
    <row r="24" spans="1:10" x14ac:dyDescent="0.2">
      <c r="A24" s="10" t="s">
        <v>101</v>
      </c>
      <c r="B24" s="4" cm="1">
        <f t="array" ref="B24">SUMPRODUCT((TEXT(sales[date], "mmm")=A24)*(sales[quantity]))</f>
        <v>41</v>
      </c>
      <c r="C24" s="9" cm="1">
        <f t="array" ref="C24">SUMPRODUCT((TEXT(sales[date],"mmm")=A24)*(sales[total]))</f>
        <v>21535</v>
      </c>
      <c r="D24" s="27" cm="1">
        <f t="array" ref="D24">IFERROR(C24/(SUMPRODUCT(--(TEXT(sales[date], "mmm")=A24))), 0)</f>
        <v>2392.7777777777778</v>
      </c>
      <c r="E24" t="e">
        <f t="shared" si="2"/>
        <v>#N/A</v>
      </c>
      <c r="F24" s="27">
        <f t="shared" si="3"/>
        <v>2392.7777777777778</v>
      </c>
      <c r="I24" s="5"/>
      <c r="J24" s="5"/>
    </row>
    <row r="25" spans="1:10" x14ac:dyDescent="0.2">
      <c r="A25" s="1" t="s">
        <v>102</v>
      </c>
      <c r="B25" s="4" cm="1">
        <f t="array" ref="B25">SUMPRODUCT((TEXT(sales[date], "mmm")=A25)*(sales[quantity]))</f>
        <v>32</v>
      </c>
      <c r="C25" s="9" cm="1">
        <f t="array" ref="C25">SUMPRODUCT((TEXT(sales[date],"mmm")=A25)*(sales[total]))</f>
        <v>7745</v>
      </c>
      <c r="D25" s="27" cm="1">
        <f t="array" ref="D25">IFERROR(C25/(SUMPRODUCT(--(TEXT(sales[date], "mmm")=A25))), 0)</f>
        <v>860.55555555555554</v>
      </c>
      <c r="E25" t="e">
        <f t="shared" si="2"/>
        <v>#N/A</v>
      </c>
      <c r="F25" s="27">
        <f t="shared" si="3"/>
        <v>860.55555555555554</v>
      </c>
      <c r="I25" s="5"/>
      <c r="J25" s="5"/>
    </row>
    <row r="26" spans="1:10" x14ac:dyDescent="0.2">
      <c r="A26" s="10" t="s">
        <v>103</v>
      </c>
      <c r="B26" s="4" cm="1">
        <f t="array" ref="B26">SUMPRODUCT((TEXT(sales[date], "mmm")=A26)*(sales[quantity]))</f>
        <v>38</v>
      </c>
      <c r="C26" s="9" cm="1">
        <f t="array" ref="C26">SUMPRODUCT((TEXT(sales[date],"mmm")=A26)*(sales[total]))</f>
        <v>15725</v>
      </c>
      <c r="D26" s="27" cm="1">
        <f t="array" ref="D26">IFERROR(C26/(SUMPRODUCT(--(TEXT(sales[date], "mmm")=A26))), 0)</f>
        <v>1429.5454545454545</v>
      </c>
      <c r="E26" t="e">
        <f t="shared" si="2"/>
        <v>#N/A</v>
      </c>
      <c r="F26" s="27">
        <f t="shared" si="3"/>
        <v>1429.5454545454545</v>
      </c>
      <c r="I26" s="5"/>
      <c r="J26" s="5"/>
    </row>
    <row r="27" spans="1:10" x14ac:dyDescent="0.2">
      <c r="A27" s="1" t="s">
        <v>104</v>
      </c>
      <c r="B27" s="4" cm="1">
        <f t="array" ref="B27">SUMPRODUCT((TEXT(sales[date], "mmm")=A27)*(sales[quantity]))</f>
        <v>37</v>
      </c>
      <c r="C27" s="9" cm="1">
        <f t="array" ref="C27">SUMPRODUCT((TEXT(sales[date],"mmm")=A27)*(sales[total]))</f>
        <v>14629</v>
      </c>
      <c r="D27" s="27" cm="1">
        <f t="array" ref="D27">IFERROR(C27/(SUMPRODUCT(--(TEXT(sales[date], "mmm")=A27))), 0)</f>
        <v>1462.9</v>
      </c>
      <c r="E27" t="e">
        <f t="shared" si="2"/>
        <v>#N/A</v>
      </c>
      <c r="F27" s="27">
        <f t="shared" si="3"/>
        <v>1462.9</v>
      </c>
      <c r="I27" s="5"/>
      <c r="J27" s="5"/>
    </row>
    <row r="28" spans="1:10" x14ac:dyDescent="0.2">
      <c r="A28" s="10" t="s">
        <v>105</v>
      </c>
      <c r="B28" s="4" cm="1">
        <f t="array" ref="B28">SUMPRODUCT((TEXT(sales[date], "mmm")=A28)*(sales[quantity]))</f>
        <v>44</v>
      </c>
      <c r="C28" s="9" cm="1">
        <f t="array" ref="C28">SUMPRODUCT((TEXT(sales[date],"mmm")=A28)*(sales[total]))</f>
        <v>20662</v>
      </c>
      <c r="D28" s="27" cm="1">
        <f t="array" ref="D28">IFERROR(C28/(SUMPRODUCT(--(TEXT(sales[date], "mmm")=A28))), 0)</f>
        <v>1589.3846153846155</v>
      </c>
      <c r="E28" t="e">
        <f t="shared" si="2"/>
        <v>#N/A</v>
      </c>
      <c r="F28" s="27">
        <f t="shared" si="3"/>
        <v>1589.3846153846155</v>
      </c>
      <c r="I28" s="5"/>
      <c r="J28" s="5"/>
    </row>
    <row r="29" spans="1:10" x14ac:dyDescent="0.2">
      <c r="A29" s="1" t="s">
        <v>106</v>
      </c>
      <c r="B29" s="4" cm="1">
        <f t="array" ref="B29">SUMPRODUCT((TEXT(sales[date], "mmm")=A29)*(sales[quantity]))</f>
        <v>48</v>
      </c>
      <c r="C29" s="9" cm="1">
        <f t="array" ref="C29">SUMPRODUCT((TEXT(sales[date],"mmm")=A29)*(sales[total]))</f>
        <v>32946</v>
      </c>
      <c r="D29" s="27" cm="1">
        <f t="array" ref="D29">IFERROR(C29/(SUMPRODUCT(--(TEXT(sales[date], "mmm")=A29))), 0)</f>
        <v>2745.5</v>
      </c>
      <c r="E29" s="27">
        <f t="shared" si="2"/>
        <v>2745.5</v>
      </c>
      <c r="F29" s="27" t="e">
        <f t="shared" si="3"/>
        <v>#N/A</v>
      </c>
      <c r="I29" s="5"/>
      <c r="J29" s="5"/>
    </row>
    <row r="30" spans="1:10" x14ac:dyDescent="0.2">
      <c r="A30" s="10" t="s">
        <v>107</v>
      </c>
      <c r="B30" s="4" cm="1">
        <f t="array" ref="B30">SUMPRODUCT((TEXT(sales[date], "mmm")=A30)*(sales[quantity]))</f>
        <v>36</v>
      </c>
      <c r="C30" s="9" cm="1">
        <f t="array" ref="C30">SUMPRODUCT((TEXT(sales[date],"mmm")=A30)*(sales[total]))</f>
        <v>18248</v>
      </c>
      <c r="D30" s="27" cm="1">
        <f t="array" ref="D30">IFERROR(C30/(SUMPRODUCT(--(TEXT(sales[date], "mmm")=A30))), 0)</f>
        <v>1824.8</v>
      </c>
      <c r="E30" t="e">
        <f t="shared" si="2"/>
        <v>#N/A</v>
      </c>
      <c r="F30" s="27">
        <f t="shared" si="3"/>
        <v>1824.8</v>
      </c>
      <c r="I30" s="5"/>
      <c r="J30" s="5"/>
    </row>
    <row r="31" spans="1:10" x14ac:dyDescent="0.2">
      <c r="C31" s="5"/>
    </row>
    <row r="32" spans="1:10" ht="24.75" customHeight="1" x14ac:dyDescent="0.2">
      <c r="A32" s="81" t="s">
        <v>108</v>
      </c>
      <c r="B32" s="81"/>
      <c r="C32" s="81"/>
      <c r="D32" s="81"/>
      <c r="E32" s="81"/>
    </row>
    <row r="33" spans="1:7" ht="32.25" customHeight="1" x14ac:dyDescent="0.2">
      <c r="C33" s="5"/>
    </row>
    <row r="34" spans="1:7" x14ac:dyDescent="0.2">
      <c r="A34" s="10" t="s">
        <v>109</v>
      </c>
      <c r="B34" s="5">
        <f>MAX(sales[total])</f>
        <v>9990</v>
      </c>
      <c r="C34" s="13" t="s">
        <v>110</v>
      </c>
    </row>
    <row r="35" spans="1:7" ht="15" customHeight="1" x14ac:dyDescent="0.2">
      <c r="A35" s="1" t="s">
        <v>111</v>
      </c>
      <c r="B35" s="2">
        <f>INDEX(sales[date], MATCH(B34, sales[total],0))</f>
        <v>45589</v>
      </c>
      <c r="C35" s="82" t="s">
        <v>112</v>
      </c>
      <c r="D35" s="82"/>
      <c r="E35" s="82"/>
    </row>
    <row r="36" spans="1:7" x14ac:dyDescent="0.2">
      <c r="A36" s="2"/>
      <c r="C36" s="82"/>
      <c r="D36" s="82"/>
      <c r="E36" s="82"/>
    </row>
    <row r="37" spans="1:7" x14ac:dyDescent="0.2">
      <c r="A37" s="2"/>
      <c r="C37" s="5"/>
    </row>
    <row r="38" spans="1:7" x14ac:dyDescent="0.2">
      <c r="A38" s="25" t="s">
        <v>143</v>
      </c>
      <c r="B38" s="27">
        <f>SUM(sales[total])</f>
        <v>204547</v>
      </c>
      <c r="C38" s="5"/>
    </row>
    <row r="39" spans="1:7" x14ac:dyDescent="0.2">
      <c r="A39" s="2"/>
      <c r="C39" s="5"/>
    </row>
    <row r="40" spans="1:7" x14ac:dyDescent="0.2">
      <c r="A40" s="2"/>
      <c r="C40" s="5"/>
    </row>
    <row r="41" spans="1:7" x14ac:dyDescent="0.2">
      <c r="A41" s="78" t="s">
        <v>169</v>
      </c>
      <c r="B41" s="78"/>
      <c r="C41" s="78"/>
      <c r="D41" s="78"/>
      <c r="E41" s="78"/>
    </row>
    <row r="42" spans="1:7" x14ac:dyDescent="0.2">
      <c r="A42" s="2"/>
      <c r="C42" s="5"/>
      <c r="D42" t="s">
        <v>172</v>
      </c>
      <c r="E42" t="s">
        <v>173</v>
      </c>
    </row>
    <row r="43" spans="1:7" x14ac:dyDescent="0.2">
      <c r="A43" s="30" t="s">
        <v>170</v>
      </c>
      <c r="B43" s="31" t="s">
        <v>171</v>
      </c>
      <c r="C43" s="5"/>
      <c r="D43" s="30" t="s">
        <v>170</v>
      </c>
      <c r="E43" s="31" t="s">
        <v>171</v>
      </c>
    </row>
    <row r="44" spans="1:7" x14ac:dyDescent="0.2">
      <c r="A44" s="2" t="str" cm="1">
        <f t="array" ref="A44:A91">_xlfn.UNIQUE(sales[product_name])</f>
        <v>Laptop Dell XPS</v>
      </c>
      <c r="B44" s="26">
        <f>SUMIF(sales[product_name], A44, sales[total])</f>
        <v>13200</v>
      </c>
      <c r="C44" s="5"/>
      <c r="D44" t="str" cm="1">
        <f t="array" ref="D44:E48">_xlfn._xlws.SORT(_xlfn._xlws.FILTER(A44:B91, B44:B91 &gt;= LARGE(B44:B91, 5)),2, -1)</f>
        <v>Cámara Canon EOS</v>
      </c>
      <c r="E44">
        <v>23400</v>
      </c>
      <c r="G44" t="s">
        <v>174</v>
      </c>
    </row>
    <row r="45" spans="1:7" x14ac:dyDescent="0.2">
      <c r="A45" s="2" t="str">
        <v>iPhone 15 Pro</v>
      </c>
      <c r="B45" s="26">
        <f>SUMIF(sales[product_name], A45, sales[total])</f>
        <v>15984</v>
      </c>
      <c r="C45" s="5"/>
      <c r="D45" t="str">
        <v>Laptop HP Spectre</v>
      </c>
      <c r="E45">
        <v>18700</v>
      </c>
      <c r="G45" t="s">
        <v>175</v>
      </c>
    </row>
    <row r="46" spans="1:7" x14ac:dyDescent="0.2">
      <c r="A46" s="2" t="str">
        <v>Samsung Galaxy S23</v>
      </c>
      <c r="B46" s="26">
        <f>SUMIF(sales[product_name], A46, sales[total])</f>
        <v>10450</v>
      </c>
      <c r="C46" s="5"/>
      <c r="D46" t="str">
        <v>iPhone 15 Pro</v>
      </c>
      <c r="E46">
        <v>15984</v>
      </c>
      <c r="G46" t="s">
        <v>176</v>
      </c>
    </row>
    <row r="47" spans="1:7" x14ac:dyDescent="0.2">
      <c r="A47" s="2" t="str">
        <v>Smart TV LG 55"</v>
      </c>
      <c r="B47" s="26">
        <f>SUMIF(sales[product_name], A47, sales[total])</f>
        <v>9000</v>
      </c>
      <c r="C47" s="5"/>
      <c r="D47" t="str">
        <v>Laptop Dell XPS</v>
      </c>
      <c r="E47">
        <v>13200</v>
      </c>
      <c r="G47">
        <f>LARGE(B44:B91,5)</f>
        <v>11976</v>
      </c>
    </row>
    <row r="48" spans="1:7" x14ac:dyDescent="0.2">
      <c r="A48" s="2" t="str">
        <v>PlayStation 5</v>
      </c>
      <c r="B48" s="26">
        <f>SUMIF(sales[product_name], A48, sales[total])</f>
        <v>11500</v>
      </c>
      <c r="C48" s="5"/>
      <c r="D48" t="str">
        <v>Xbox Series X</v>
      </c>
      <c r="E48">
        <v>11976</v>
      </c>
    </row>
    <row r="49" spans="1:3" x14ac:dyDescent="0.2">
      <c r="A49" s="2" t="str">
        <v>Xbox Series X</v>
      </c>
      <c r="B49" s="26">
        <f>SUMIF(sales[product_name], A49, sales[total])</f>
        <v>11976</v>
      </c>
      <c r="C49" s="5"/>
    </row>
    <row r="50" spans="1:3" x14ac:dyDescent="0.2">
      <c r="A50" s="2" t="str">
        <v>AirPods Pro</v>
      </c>
      <c r="B50" s="26">
        <f>SUMIF(sales[product_name], A50, sales[total])</f>
        <v>2988</v>
      </c>
      <c r="C50" s="5"/>
    </row>
    <row r="51" spans="1:3" x14ac:dyDescent="0.2">
      <c r="A51" s="2" t="str">
        <v>Cámara Canon EOS</v>
      </c>
      <c r="B51" s="26">
        <f>SUMIF(sales[product_name], A51, sales[total])</f>
        <v>23400</v>
      </c>
      <c r="C51" s="5"/>
    </row>
    <row r="52" spans="1:3" x14ac:dyDescent="0.2">
      <c r="A52" s="2" t="str">
        <v>Reloj Apple Watch</v>
      </c>
      <c r="B52" s="26">
        <f>SUMIF(sales[product_name], A52, sales[total])</f>
        <v>9009</v>
      </c>
      <c r="C52" s="5"/>
    </row>
    <row r="53" spans="1:3" x14ac:dyDescent="0.2">
      <c r="A53" s="2" t="str">
        <v>Bocinas JBL</v>
      </c>
      <c r="B53" s="26">
        <f>SUMIF(sales[product_name], A53, sales[total])</f>
        <v>2550</v>
      </c>
      <c r="C53" s="5"/>
    </row>
    <row r="54" spans="1:3" x14ac:dyDescent="0.2">
      <c r="A54" s="2" t="str">
        <v>Laptop HP Spectre</v>
      </c>
      <c r="B54" s="26">
        <f>SUMIF(sales[product_name], A54, sales[total])</f>
        <v>18700</v>
      </c>
      <c r="C54" s="5"/>
    </row>
    <row r="55" spans="1:3" x14ac:dyDescent="0.2">
      <c r="A55" s="2" t="str">
        <v>Monitor Dell 27"</v>
      </c>
      <c r="B55" s="26">
        <f>SUMIF(sales[product_name], A55, sales[total])</f>
        <v>9100</v>
      </c>
      <c r="C55" s="5"/>
    </row>
    <row r="56" spans="1:3" x14ac:dyDescent="0.2">
      <c r="A56" s="2" t="str">
        <v>Mouse Logitech MX</v>
      </c>
      <c r="B56" s="26">
        <f>SUMIF(sales[product_name], A56, sales[total])</f>
        <v>1600</v>
      </c>
      <c r="C56" s="5"/>
    </row>
    <row r="57" spans="1:3" x14ac:dyDescent="0.2">
      <c r="A57" s="2" t="str">
        <v>Teclado Mecánico Razer</v>
      </c>
      <c r="B57" s="26">
        <f>SUMIF(sales[product_name], A57, sales[total])</f>
        <v>1920</v>
      </c>
      <c r="C57" s="5"/>
    </row>
    <row r="58" spans="1:3" x14ac:dyDescent="0.2">
      <c r="A58" s="2" t="str">
        <v>Silla Gamer Corsair</v>
      </c>
      <c r="B58" s="26">
        <f>SUMIF(sales[product_name], A58, sales[total])</f>
        <v>1280</v>
      </c>
      <c r="C58" s="5"/>
    </row>
    <row r="59" spans="1:3" x14ac:dyDescent="0.2">
      <c r="A59" s="2" t="str">
        <v>Escritorio Ejecutivo</v>
      </c>
      <c r="B59" s="26">
        <f>SUMIF(sales[product_name], A59, sales[total])</f>
        <v>4000</v>
      </c>
      <c r="C59" s="5"/>
    </row>
    <row r="60" spans="1:3" x14ac:dyDescent="0.2">
      <c r="A60" s="2" t="str">
        <v>Sofá de Cuero</v>
      </c>
      <c r="B60" s="26">
        <f>SUMIF(sales[product_name], A60, sales[total])</f>
        <v>6400</v>
      </c>
      <c r="C60" s="5"/>
    </row>
    <row r="61" spans="1:3" x14ac:dyDescent="0.2">
      <c r="A61" s="2" t="str">
        <v>Cama Queen Size</v>
      </c>
      <c r="B61" s="26">
        <f>SUMIF(sales[product_name], A61, sales[total])</f>
        <v>4200</v>
      </c>
      <c r="C61" s="5"/>
    </row>
    <row r="62" spans="1:3" x14ac:dyDescent="0.2">
      <c r="A62" s="2" t="str">
        <v>Almohada Memory Foam</v>
      </c>
      <c r="B62" s="26">
        <f>SUMIF(sales[product_name], A62, sales[total])</f>
        <v>450</v>
      </c>
      <c r="C62" s="5"/>
    </row>
    <row r="63" spans="1:3" x14ac:dyDescent="0.2">
      <c r="A63" s="2" t="str">
        <v>Refrigerador Samsung</v>
      </c>
      <c r="B63" s="26">
        <f>SUMIF(sales[product_name], A63, sales[total])</f>
        <v>7200</v>
      </c>
      <c r="C63" s="5"/>
    </row>
    <row r="64" spans="1:3" x14ac:dyDescent="0.2">
      <c r="A64" s="2" t="str">
        <v>Microondas LG</v>
      </c>
      <c r="B64" s="26">
        <f>SUMIF(sales[product_name], A64, sales[total])</f>
        <v>1500</v>
      </c>
      <c r="C64" s="5"/>
    </row>
    <row r="65" spans="1:3" x14ac:dyDescent="0.2">
      <c r="A65" s="2" t="str">
        <v>Licuadora Ninja</v>
      </c>
      <c r="B65" s="26">
        <f>SUMIF(sales[product_name], A65, sales[total])</f>
        <v>960</v>
      </c>
      <c r="C65" s="5"/>
    </row>
    <row r="66" spans="1:3" x14ac:dyDescent="0.2">
      <c r="A66" s="2" t="str">
        <v>Lavadora Whirlpool</v>
      </c>
      <c r="B66" s="26">
        <f>SUMIF(sales[product_name], A66, sales[total])</f>
        <v>3600</v>
      </c>
      <c r="C66" s="5"/>
    </row>
    <row r="67" spans="1:3" x14ac:dyDescent="0.2">
      <c r="A67" s="2" t="str">
        <v>Secadora Whirlpool</v>
      </c>
      <c r="B67" s="26">
        <f>SUMIF(sales[product_name], A67, sales[total])</f>
        <v>5950</v>
      </c>
      <c r="C67" s="5"/>
    </row>
    <row r="68" spans="1:3" x14ac:dyDescent="0.2">
      <c r="A68" s="2" t="str">
        <v>Cafetera Nespresso</v>
      </c>
      <c r="B68" s="26">
        <f>SUMIF(sales[product_name], A68, sales[total])</f>
        <v>1800</v>
      </c>
      <c r="C68" s="5"/>
    </row>
    <row r="69" spans="1:3" x14ac:dyDescent="0.2">
      <c r="A69" s="2" t="str">
        <v>Aspiradora Dyson</v>
      </c>
      <c r="B69" s="26">
        <f>SUMIF(sales[product_name], A69, sales[total])</f>
        <v>4000</v>
      </c>
      <c r="C69" s="5"/>
    </row>
    <row r="70" spans="1:3" x14ac:dyDescent="0.2">
      <c r="A70" s="2" t="str">
        <v>Purificador de Aire</v>
      </c>
      <c r="B70" s="26">
        <f>SUMIF(sales[product_name], A70, sales[total])</f>
        <v>1000</v>
      </c>
      <c r="C70" s="5"/>
    </row>
    <row r="71" spans="1:3" x14ac:dyDescent="0.2">
      <c r="A71" s="2" t="str">
        <v>Bicicleta Montaña</v>
      </c>
      <c r="B71" s="26">
        <f>SUMIF(sales[product_name], A71, sales[total])</f>
        <v>4800</v>
      </c>
      <c r="C71" s="5"/>
    </row>
    <row r="72" spans="1:3" x14ac:dyDescent="0.2">
      <c r="A72" s="2" t="str">
        <v>Patines Rollerblade</v>
      </c>
      <c r="B72" s="26">
        <f>SUMIF(sales[product_name], A72, sales[total])</f>
        <v>150</v>
      </c>
      <c r="C72" s="5"/>
    </row>
    <row r="73" spans="1:3" x14ac:dyDescent="0.2">
      <c r="A73" s="2" t="str">
        <v>Mancuernas 20kg</v>
      </c>
      <c r="B73" s="26">
        <f>SUMIF(sales[product_name], A73, sales[total])</f>
        <v>600</v>
      </c>
      <c r="C73" s="5"/>
    </row>
    <row r="74" spans="1:3" x14ac:dyDescent="0.2">
      <c r="A74" s="2" t="str">
        <v>Trotadora NordicTrack</v>
      </c>
      <c r="B74" s="26">
        <f>SUMIF(sales[product_name], A74, sales[total])</f>
        <v>3900</v>
      </c>
      <c r="C74" s="5"/>
    </row>
    <row r="75" spans="1:3" x14ac:dyDescent="0.2">
      <c r="A75" s="2" t="str">
        <v>Barra Olímpica</v>
      </c>
      <c r="B75" s="26">
        <f>SUMIF(sales[product_name], A75, sales[total])</f>
        <v>1000</v>
      </c>
      <c r="C75" s="5"/>
    </row>
    <row r="76" spans="1:3" x14ac:dyDescent="0.2">
      <c r="A76" s="2" t="str">
        <v>Tenis Nike Air Max</v>
      </c>
      <c r="B76" s="26">
        <f>SUMIF(sales[product_name], A76, sales[total])</f>
        <v>640</v>
      </c>
      <c r="C76" s="5"/>
    </row>
    <row r="77" spans="1:3" x14ac:dyDescent="0.2">
      <c r="A77" s="2" t="str">
        <v>Botas Timberland</v>
      </c>
      <c r="B77" s="26">
        <f>SUMIF(sales[product_name], A77, sales[total])</f>
        <v>180</v>
      </c>
      <c r="C77" s="5"/>
    </row>
    <row r="78" spans="1:3" x14ac:dyDescent="0.2">
      <c r="A78" s="2" t="str">
        <v>Chaqueta North Face</v>
      </c>
      <c r="B78" s="26">
        <f>SUMIF(sales[product_name], A78, sales[total])</f>
        <v>660</v>
      </c>
      <c r="C78" s="5"/>
    </row>
    <row r="79" spans="1:3" x14ac:dyDescent="0.2">
      <c r="A79" s="2" t="str">
        <v>Pantalón Levi's 501</v>
      </c>
      <c r="B79" s="26">
        <f>SUMIF(sales[product_name], A79, sales[total])</f>
        <v>540</v>
      </c>
      <c r="C79" s="5"/>
    </row>
    <row r="80" spans="1:3" x14ac:dyDescent="0.2">
      <c r="A80" s="2" t="str">
        <v>Mochila Adidas</v>
      </c>
      <c r="B80" s="26">
        <f>SUMIF(sales[product_name], A80, sales[total])</f>
        <v>210</v>
      </c>
      <c r="C80" s="5"/>
    </row>
    <row r="81" spans="1:3" x14ac:dyDescent="0.2">
      <c r="A81" s="2" t="str">
        <v>Perfume Dior Sauvage</v>
      </c>
      <c r="B81" s="26">
        <f>SUMIF(sales[product_name], A81, sales[total])</f>
        <v>330</v>
      </c>
      <c r="C81" s="5"/>
    </row>
    <row r="82" spans="1:3" x14ac:dyDescent="0.2">
      <c r="A82" s="2" t="str">
        <v>Maquillaje MAC</v>
      </c>
      <c r="B82" s="26">
        <f>SUMIF(sales[product_name], A82, sales[total])</f>
        <v>150</v>
      </c>
      <c r="C82" s="5"/>
    </row>
    <row r="83" spans="1:3" x14ac:dyDescent="0.2">
      <c r="A83" s="2" t="str">
        <v>Crema Hidratante CeraVe</v>
      </c>
      <c r="B83" s="26">
        <f>SUMIF(sales[product_name], A83, sales[total])</f>
        <v>120</v>
      </c>
      <c r="C83" s="5"/>
    </row>
    <row r="84" spans="1:3" x14ac:dyDescent="0.2">
      <c r="A84" s="2" t="str">
        <v>Protector Solar La Roche</v>
      </c>
      <c r="B84" s="26">
        <f>SUMIF(sales[product_name], A84, sales[total])</f>
        <v>210</v>
      </c>
      <c r="C84" s="5"/>
    </row>
    <row r="85" spans="1:3" x14ac:dyDescent="0.2">
      <c r="A85" s="2" t="str">
        <v>Shampoo Redken</v>
      </c>
      <c r="B85" s="26">
        <f>SUMIF(sales[product_name], A85, sales[total])</f>
        <v>200</v>
      </c>
      <c r="C85" s="5"/>
    </row>
    <row r="86" spans="1:3" x14ac:dyDescent="0.2">
      <c r="A86" s="2" t="str">
        <v>Lentes de Sol RayBan</v>
      </c>
      <c r="B86" s="26">
        <f>SUMIF(sales[product_name], A86, sales[total])</f>
        <v>1400</v>
      </c>
      <c r="C86" s="5"/>
    </row>
    <row r="87" spans="1:3" x14ac:dyDescent="0.2">
      <c r="A87" s="2" t="str">
        <v>Reloj Casio Vintage</v>
      </c>
      <c r="B87" s="26">
        <f>SUMIF(sales[product_name], A87, sales[total])</f>
        <v>500</v>
      </c>
      <c r="C87" s="5"/>
    </row>
    <row r="88" spans="1:3" x14ac:dyDescent="0.2">
      <c r="A88" s="2" t="str">
        <v>Maleta Samsonite</v>
      </c>
      <c r="B88" s="26">
        <f>SUMIF(sales[product_name], A88, sales[total])</f>
        <v>3000</v>
      </c>
      <c r="C88" s="5"/>
    </row>
    <row r="89" spans="1:3" x14ac:dyDescent="0.2">
      <c r="A89" s="2" t="str">
        <v>Cinturón Cuero Hugo Boss</v>
      </c>
      <c r="B89" s="26">
        <f>SUMIF(sales[product_name], A89, sales[total])</f>
        <v>560</v>
      </c>
      <c r="C89" s="5"/>
    </row>
    <row r="90" spans="1:3" x14ac:dyDescent="0.2">
      <c r="A90" s="2" t="str">
        <v>Guantes de Cuero</v>
      </c>
      <c r="B90" s="26">
        <f>SUMIF(sales[product_name], A90, sales[total])</f>
        <v>480</v>
      </c>
      <c r="C90" s="5"/>
    </row>
    <row r="91" spans="1:3" x14ac:dyDescent="0.2">
      <c r="A91" s="2" t="str">
        <v>Bolígrafo Montblanc</v>
      </c>
      <c r="B91" s="26">
        <f>SUMIF(sales[product_name], A91, sales[total])</f>
        <v>1200</v>
      </c>
      <c r="C91" s="5"/>
    </row>
    <row r="92" spans="1:3" x14ac:dyDescent="0.2">
      <c r="A92" s="2"/>
      <c r="C92" s="5"/>
    </row>
    <row r="93" spans="1:3" x14ac:dyDescent="0.2">
      <c r="A93" s="2"/>
      <c r="C93" s="5"/>
    </row>
    <row r="94" spans="1:3" x14ac:dyDescent="0.2">
      <c r="A94" s="2"/>
      <c r="C94" s="5"/>
    </row>
    <row r="95" spans="1:3" x14ac:dyDescent="0.2">
      <c r="A95" s="2"/>
      <c r="C95" s="5"/>
    </row>
    <row r="96" spans="1:3" ht="15" customHeight="1" x14ac:dyDescent="0.2">
      <c r="A96" s="2"/>
      <c r="C96" s="5"/>
    </row>
    <row r="97" spans="1:3" x14ac:dyDescent="0.2">
      <c r="A97" s="2"/>
      <c r="C97" s="5"/>
    </row>
    <row r="98" spans="1:3" x14ac:dyDescent="0.2">
      <c r="A98" s="2"/>
      <c r="C98" s="5"/>
    </row>
    <row r="99" spans="1:3" x14ac:dyDescent="0.2">
      <c r="A99" s="2"/>
      <c r="C99" s="5"/>
    </row>
    <row r="100" spans="1:3" x14ac:dyDescent="0.2">
      <c r="A100" s="2"/>
      <c r="C100" s="5"/>
    </row>
  </sheetData>
  <sortState xmlns:xlrd2="http://schemas.microsoft.com/office/spreadsheetml/2017/richdata2" ref="B4:B13">
    <sortCondition descending="1" ref="B4:B13"/>
  </sortState>
  <mergeCells count="6">
    <mergeCell ref="A41:E41"/>
    <mergeCell ref="A1:I1"/>
    <mergeCell ref="A16:I16"/>
    <mergeCell ref="A32:E32"/>
    <mergeCell ref="C35:E36"/>
    <mergeCell ref="G2:H2"/>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13D35-0535-41CC-ADBF-F63032153356}">
  <dimension ref="A1:X66"/>
  <sheetViews>
    <sheetView zoomScale="234" zoomScaleNormal="330" workbookViewId="0">
      <selection activeCell="T32" sqref="T32"/>
    </sheetView>
  </sheetViews>
  <sheetFormatPr baseColWidth="10" defaultColWidth="8.83203125" defaultRowHeight="15" x14ac:dyDescent="0.2"/>
  <cols>
    <col min="1" max="1" width="36" customWidth="1"/>
    <col min="2" max="2" width="20.33203125" customWidth="1"/>
    <col min="3" max="3" width="18.33203125" customWidth="1"/>
    <col min="4" max="4" width="27" customWidth="1"/>
    <col min="5" max="5" width="17.5" customWidth="1"/>
    <col min="7" max="7" width="29.6640625" customWidth="1"/>
    <col min="8" max="8" width="14.6640625" customWidth="1"/>
    <col min="9" max="9" width="12.5" customWidth="1"/>
    <col min="10" max="10" width="17.5" customWidth="1"/>
    <col min="11" max="11" width="23.5" customWidth="1"/>
    <col min="13" max="13" width="36.5" bestFit="1" customWidth="1"/>
    <col min="14" max="14" width="16.6640625" customWidth="1"/>
    <col min="15" max="15" width="13.5" customWidth="1"/>
    <col min="16" max="16" width="15.1640625" customWidth="1"/>
    <col min="17" max="17" width="22.5" customWidth="1"/>
    <col min="20" max="20" width="14.33203125" customWidth="1"/>
    <col min="23" max="23" width="7.6640625" customWidth="1"/>
  </cols>
  <sheetData>
    <row r="1" spans="1:24" ht="36.75" customHeight="1" x14ac:dyDescent="0.2">
      <c r="A1" s="84" t="s">
        <v>113</v>
      </c>
      <c r="B1" s="84"/>
      <c r="C1" s="84"/>
      <c r="D1" s="84"/>
      <c r="E1" s="84"/>
      <c r="F1" s="84"/>
      <c r="G1" s="84"/>
      <c r="H1" s="84"/>
      <c r="I1" s="84"/>
      <c r="J1" s="84"/>
      <c r="K1" s="84"/>
      <c r="L1" s="84"/>
      <c r="M1" s="84"/>
    </row>
    <row r="2" spans="1:24" ht="21" customHeight="1" x14ac:dyDescent="0.2">
      <c r="A2" s="19" t="s">
        <v>114</v>
      </c>
      <c r="B2" s="19" t="s">
        <v>115</v>
      </c>
      <c r="C2" s="8" t="s">
        <v>116</v>
      </c>
      <c r="D2" s="8" t="s">
        <v>117</v>
      </c>
      <c r="E2" s="23"/>
      <c r="F2" s="23"/>
      <c r="G2" s="23"/>
      <c r="H2" s="23"/>
      <c r="I2" s="23"/>
      <c r="J2" s="23"/>
      <c r="K2" s="23"/>
      <c r="L2" s="23"/>
      <c r="M2" s="23"/>
    </row>
    <row r="3" spans="1:24" ht="21" customHeight="1" x14ac:dyDescent="0.2">
      <c r="A3" s="4" t="s">
        <v>118</v>
      </c>
      <c r="B3">
        <v>1.5</v>
      </c>
      <c r="C3" t="s">
        <v>119</v>
      </c>
      <c r="D3" t="s">
        <v>120</v>
      </c>
      <c r="E3" s="23"/>
      <c r="F3" s="23"/>
      <c r="G3" s="23"/>
      <c r="H3" s="23"/>
      <c r="I3" s="23"/>
      <c r="J3" s="23"/>
      <c r="K3" s="23"/>
      <c r="L3" s="23"/>
      <c r="M3" s="23"/>
    </row>
    <row r="4" spans="1:24" ht="21" customHeight="1" x14ac:dyDescent="0.2">
      <c r="A4" s="4" t="s">
        <v>121</v>
      </c>
      <c r="B4">
        <v>1</v>
      </c>
      <c r="C4" t="s">
        <v>122</v>
      </c>
      <c r="D4" t="s">
        <v>120</v>
      </c>
      <c r="E4" s="23"/>
      <c r="F4" s="23"/>
      <c r="G4" s="23"/>
      <c r="H4" s="23"/>
      <c r="I4" s="23"/>
      <c r="J4" s="23"/>
      <c r="K4" s="23"/>
      <c r="L4" s="23"/>
      <c r="M4" s="23"/>
    </row>
    <row r="5" spans="1:24" ht="21" customHeight="1" x14ac:dyDescent="0.2">
      <c r="A5" s="4" t="s">
        <v>123</v>
      </c>
      <c r="B5">
        <v>0.01</v>
      </c>
      <c r="C5" t="s">
        <v>124</v>
      </c>
      <c r="D5" s="4" t="s">
        <v>125</v>
      </c>
      <c r="G5" s="1" t="s">
        <v>126</v>
      </c>
    </row>
    <row r="6" spans="1:24" ht="23.25" customHeight="1" x14ac:dyDescent="0.4">
      <c r="A6" s="4" t="s">
        <v>127</v>
      </c>
      <c r="B6">
        <v>0</v>
      </c>
      <c r="C6" t="s">
        <v>128</v>
      </c>
      <c r="D6" s="4" t="s">
        <v>129</v>
      </c>
      <c r="G6" s="20" t="s">
        <v>145</v>
      </c>
      <c r="J6" s="85" t="s">
        <v>153</v>
      </c>
      <c r="K6" s="85"/>
      <c r="L6" s="85"/>
      <c r="M6" s="85"/>
      <c r="N6" s="85"/>
      <c r="O6" s="85"/>
      <c r="P6" s="85"/>
      <c r="Q6" s="85"/>
    </row>
    <row r="7" spans="1:24" x14ac:dyDescent="0.2">
      <c r="A7" s="4"/>
      <c r="C7" s="16"/>
      <c r="D7" s="16"/>
      <c r="E7" s="1" t="s">
        <v>130</v>
      </c>
      <c r="M7" s="28" t="s">
        <v>152</v>
      </c>
    </row>
    <row r="8" spans="1:24" ht="21" customHeight="1" x14ac:dyDescent="0.2">
      <c r="A8" s="17" t="s">
        <v>1</v>
      </c>
      <c r="B8" s="17" t="s">
        <v>147</v>
      </c>
      <c r="C8" s="18" t="s">
        <v>148</v>
      </c>
      <c r="D8" s="18" t="s">
        <v>149</v>
      </c>
      <c r="E8" s="17" t="s">
        <v>150</v>
      </c>
      <c r="G8" s="17" t="s">
        <v>1</v>
      </c>
      <c r="H8" s="17" t="s">
        <v>147</v>
      </c>
      <c r="I8" s="18" t="s">
        <v>148</v>
      </c>
      <c r="J8" s="18" t="s">
        <v>149</v>
      </c>
      <c r="K8" s="17" t="s">
        <v>150</v>
      </c>
      <c r="M8" s="28" t="s">
        <v>151</v>
      </c>
    </row>
    <row r="9" spans="1:24" ht="36" customHeight="1" x14ac:dyDescent="0.2">
      <c r="A9" t="str" cm="1">
        <f t="array" ref="A9:A57">inventory[product_name]</f>
        <v>Laptop Dell XPS</v>
      </c>
      <c r="B9" s="15" cm="1">
        <f t="array" ref="B9:B57">inventory[current_stock]</f>
        <v>0</v>
      </c>
      <c r="C9" cm="1">
        <f t="array" ref="C9:C57">inventory[minimum_stock]</f>
        <v>20</v>
      </c>
      <c r="D9" s="4" cm="1">
        <f t="array" ref="D9">_xlfn.IFS(E9=$C$6, C9, E9=$C$5, C9-B9, E9=$C$4, "No need", E9=$C$3, "No need")</f>
        <v>20</v>
      </c>
      <c r="E9" t="str">
        <f>_xlfn.XLOOKUP(B9/C9,$B$3:$B$6,$C$3:$C$6, "Unknown", -1)</f>
        <v>🔴 Out of Stock</v>
      </c>
      <c r="G9" t="str" cm="1">
        <f t="array" ref="G9:K14">_xlfn._xlws.SORT(_xlfn._xlws.FILTER(A9:E56, E9:E56=G6))</f>
        <v>Bocinas JBL</v>
      </c>
      <c r="H9">
        <v>0</v>
      </c>
      <c r="I9">
        <v>20</v>
      </c>
      <c r="J9">
        <v>20</v>
      </c>
      <c r="K9" t="str">
        <v>🔴 Out of Stock</v>
      </c>
      <c r="L9" t="s">
        <v>131</v>
      </c>
      <c r="M9" s="72" t="s">
        <v>146</v>
      </c>
      <c r="N9" s="72"/>
      <c r="O9" s="72"/>
      <c r="P9" s="72"/>
      <c r="Q9" s="72"/>
    </row>
    <row r="10" spans="1:24" ht="19" customHeight="1" x14ac:dyDescent="0.2">
      <c r="A10" t="str">
        <v>iPhone 15 Pro</v>
      </c>
      <c r="B10" s="14">
        <v>0</v>
      </c>
      <c r="C10">
        <v>20</v>
      </c>
      <c r="D10" s="4" cm="1">
        <f t="array" ref="D10">_xlfn.IFS(E10=$C$6, C10, E10=$C$5, C10-B10, E10=$C$4, "No need", E10=$C$3, "No need")</f>
        <v>20</v>
      </c>
      <c r="E10" t="str">
        <f>_xlfn.XLOOKUP(B10/C10,$B$3:$B$6,$C$3:$C$6, "Unknown", -1)</f>
        <v>🔴 Out of Stock</v>
      </c>
      <c r="G10" t="str">
        <v>Cama Queen Size</v>
      </c>
      <c r="H10">
        <v>0</v>
      </c>
      <c r="I10">
        <v>20</v>
      </c>
      <c r="J10">
        <v>20</v>
      </c>
      <c r="K10" t="str">
        <v>🔴 Out of Stock</v>
      </c>
      <c r="M10" s="28" t="s">
        <v>1</v>
      </c>
      <c r="N10" s="28" t="s">
        <v>179</v>
      </c>
      <c r="O10" s="28" t="s">
        <v>180</v>
      </c>
      <c r="P10" s="28" t="s">
        <v>149</v>
      </c>
      <c r="Q10" s="28" t="s">
        <v>150</v>
      </c>
      <c r="T10" s="28"/>
      <c r="U10" s="28"/>
      <c r="V10" s="28"/>
      <c r="W10" s="28"/>
      <c r="X10" s="28"/>
    </row>
    <row r="11" spans="1:24" ht="16" x14ac:dyDescent="0.2">
      <c r="A11" t="str">
        <v>Samsung Galaxy S23</v>
      </c>
      <c r="B11" s="14">
        <v>20</v>
      </c>
      <c r="C11">
        <v>17</v>
      </c>
      <c r="D11" s="4" t="str" cm="1">
        <f t="array" ref="D11">_xlfn.IFS(E11=$C$6, C11, E11=$C$5, C11-B11, E11=$C$4, "No need", E11=$C$3, "No need")</f>
        <v>No need</v>
      </c>
      <c r="E11" t="str">
        <f t="shared" ref="E11:E57" si="0">_xlfn.XLOOKUP(B11/C11,$B$3:$B$6,$C$3:$C$6, "Unknown", -1)</f>
        <v>🟢 Optimal Stock</v>
      </c>
      <c r="G11" t="str">
        <v>iPhone 15 Pro</v>
      </c>
      <c r="H11">
        <v>0</v>
      </c>
      <c r="I11">
        <v>20</v>
      </c>
      <c r="J11">
        <v>20</v>
      </c>
      <c r="K11" t="str">
        <v>🔴 Out of Stock</v>
      </c>
      <c r="M11" t="str" cm="1">
        <f t="array" ref="M11:Q29">_xlfn._xlws.SORT(_xlfn._xlws.FILTER(A9:E57, (E9:E57=C6)+(E9:E57=C5)), 2,1)</f>
        <v>Laptop Dell XPS</v>
      </c>
      <c r="N11">
        <v>0</v>
      </c>
      <c r="O11">
        <v>20</v>
      </c>
      <c r="P11">
        <v>20</v>
      </c>
      <c r="Q11" t="str">
        <v>🔴 Out of Stock</v>
      </c>
    </row>
    <row r="12" spans="1:24" ht="16" x14ac:dyDescent="0.2">
      <c r="A12" t="str">
        <v>Smart TV LG 55"</v>
      </c>
      <c r="B12" s="14">
        <v>35</v>
      </c>
      <c r="C12">
        <v>13</v>
      </c>
      <c r="D12" s="4" t="str" cm="1">
        <f t="array" ref="D12">_xlfn.IFS(E12=$C$6, C12, E12=$C$5, C12-B12, E12=$C$4, "No need", E12=$C$3, "No need")</f>
        <v>No need</v>
      </c>
      <c r="E12" t="str">
        <f t="shared" si="0"/>
        <v>✅ Overstocked</v>
      </c>
      <c r="G12" t="str">
        <v>Laptop Dell XPS</v>
      </c>
      <c r="H12">
        <v>0</v>
      </c>
      <c r="I12">
        <v>20</v>
      </c>
      <c r="J12">
        <v>20</v>
      </c>
      <c r="K12" t="str">
        <v>🔴 Out of Stock</v>
      </c>
      <c r="M12" t="str">
        <v>iPhone 15 Pro</v>
      </c>
      <c r="N12">
        <v>0</v>
      </c>
      <c r="O12">
        <v>20</v>
      </c>
      <c r="P12">
        <v>20</v>
      </c>
      <c r="Q12" t="str">
        <v>🔴 Out of Stock</v>
      </c>
    </row>
    <row r="13" spans="1:24" ht="16" x14ac:dyDescent="0.2">
      <c r="A13" t="str">
        <v>PlayStation 5</v>
      </c>
      <c r="B13" s="14">
        <v>34</v>
      </c>
      <c r="C13">
        <v>17</v>
      </c>
      <c r="D13" s="4" t="str" cm="1">
        <f t="array" ref="D13">_xlfn.IFS(E13=$C$6, C13, E13=$C$5, C13-B13, E13=$C$4, "No need", E13=$C$3, "No need")</f>
        <v>No need</v>
      </c>
      <c r="E13" t="str">
        <f t="shared" si="0"/>
        <v>✅ Overstocked</v>
      </c>
      <c r="G13" t="str">
        <v>Laptop HP Spectre</v>
      </c>
      <c r="H13">
        <v>0</v>
      </c>
      <c r="I13">
        <v>15</v>
      </c>
      <c r="J13">
        <v>15</v>
      </c>
      <c r="K13" t="str">
        <v>🔴 Out of Stock</v>
      </c>
      <c r="M13" t="str">
        <v>Bocinas JBL</v>
      </c>
      <c r="N13">
        <v>0</v>
      </c>
      <c r="O13">
        <v>20</v>
      </c>
      <c r="P13">
        <v>20</v>
      </c>
      <c r="Q13" t="str">
        <v>🔴 Out of Stock</v>
      </c>
    </row>
    <row r="14" spans="1:24" ht="16" x14ac:dyDescent="0.2">
      <c r="A14" t="str">
        <v>Xbox Series X</v>
      </c>
      <c r="B14" s="14">
        <v>19</v>
      </c>
      <c r="C14">
        <v>10</v>
      </c>
      <c r="D14" s="4" t="str" cm="1">
        <f t="array" ref="D14">_xlfn.IFS(E14=$C$6, C14, E14=$C$5, C14-B14, E14=$C$4, "No need", E14=$C$3, "No need")</f>
        <v>No need</v>
      </c>
      <c r="E14" t="str">
        <f t="shared" si="0"/>
        <v>✅ Overstocked</v>
      </c>
      <c r="G14" t="str">
        <v>Sofá de Cuero</v>
      </c>
      <c r="H14">
        <v>0</v>
      </c>
      <c r="I14">
        <v>10</v>
      </c>
      <c r="J14">
        <v>10</v>
      </c>
      <c r="K14" t="str">
        <v>🔴 Out of Stock</v>
      </c>
      <c r="M14" t="str">
        <v>Laptop HP Spectre</v>
      </c>
      <c r="N14">
        <v>0</v>
      </c>
      <c r="O14">
        <v>15</v>
      </c>
      <c r="P14">
        <v>15</v>
      </c>
      <c r="Q14" t="str">
        <v>🔴 Out of Stock</v>
      </c>
    </row>
    <row r="15" spans="1:24" ht="16" x14ac:dyDescent="0.2">
      <c r="A15" t="str">
        <v>AirPods Pro</v>
      </c>
      <c r="B15" s="14">
        <v>39</v>
      </c>
      <c r="C15">
        <v>14</v>
      </c>
      <c r="D15" s="4" t="str" cm="1">
        <f t="array" ref="D15">_xlfn.IFS(E15=$C$6, C15, E15=$C$5, C15-B15, E15=$C$4, "No need", E15=$C$3, "No need")</f>
        <v>No need</v>
      </c>
      <c r="E15" t="str">
        <f t="shared" si="0"/>
        <v>✅ Overstocked</v>
      </c>
      <c r="M15" t="str">
        <v>Sofá de Cuero</v>
      </c>
      <c r="N15">
        <v>0</v>
      </c>
      <c r="O15">
        <v>10</v>
      </c>
      <c r="P15">
        <v>10</v>
      </c>
      <c r="Q15" t="str">
        <v>🔴 Out of Stock</v>
      </c>
    </row>
    <row r="16" spans="1:24" x14ac:dyDescent="0.2">
      <c r="A16" t="str">
        <v>Cámara Canon EOS</v>
      </c>
      <c r="B16" s="14">
        <v>10</v>
      </c>
      <c r="C16">
        <v>20</v>
      </c>
      <c r="D16" s="4" cm="1">
        <f t="array" ref="D16">_xlfn.IFS(E16=$C$6, C16, E16=$C$5, C16-B16, E16=$C$4, "No need", E16=$C$3, "No need")</f>
        <v>10</v>
      </c>
      <c r="E16" t="str">
        <f t="shared" si="0"/>
        <v>🟡 Low Stock</v>
      </c>
      <c r="M16" t="str">
        <v>Cama Queen Size</v>
      </c>
      <c r="N16">
        <v>0</v>
      </c>
      <c r="O16">
        <v>20</v>
      </c>
      <c r="P16">
        <v>20</v>
      </c>
      <c r="Q16" t="str">
        <v>🔴 Out of Stock</v>
      </c>
    </row>
    <row r="17" spans="1:17" ht="16" x14ac:dyDescent="0.2">
      <c r="A17" t="str">
        <v>Reloj Apple Watch</v>
      </c>
      <c r="B17" s="14">
        <v>22</v>
      </c>
      <c r="C17">
        <v>17</v>
      </c>
      <c r="D17" s="4" t="str" cm="1">
        <f t="array" ref="D17">_xlfn.IFS(E17=$C$6, C17, E17=$C$5, C17-B17, E17=$C$4, "No need", E17=$C$3, "No need")</f>
        <v>No need</v>
      </c>
      <c r="E17" t="str">
        <f t="shared" si="0"/>
        <v>🟢 Optimal Stock</v>
      </c>
      <c r="M17" t="str">
        <v>Trotadora NordicTrack</v>
      </c>
      <c r="N17">
        <v>3</v>
      </c>
      <c r="O17">
        <v>14</v>
      </c>
      <c r="P17">
        <v>11</v>
      </c>
      <c r="Q17" t="str">
        <v>🟡 Low Stock</v>
      </c>
    </row>
    <row r="18" spans="1:17" x14ac:dyDescent="0.2">
      <c r="A18" t="str">
        <v>Bocinas JBL</v>
      </c>
      <c r="B18" s="14">
        <v>0</v>
      </c>
      <c r="C18">
        <v>20</v>
      </c>
      <c r="D18" s="4" cm="1">
        <f t="array" ref="D18">_xlfn.IFS(E18=$C$6, C18, E18=$C$5, C18-B18, E18=$C$4, "No need", E18=$C$3, "No need")</f>
        <v>20</v>
      </c>
      <c r="E18" t="str">
        <f t="shared" si="0"/>
        <v>🔴 Out of Stock</v>
      </c>
      <c r="M18" t="str">
        <v>Lavadora Whirlpool</v>
      </c>
      <c r="N18">
        <v>4</v>
      </c>
      <c r="O18">
        <v>12</v>
      </c>
      <c r="P18">
        <v>8</v>
      </c>
      <c r="Q18" t="str">
        <v>🟡 Low Stock</v>
      </c>
    </row>
    <row r="19" spans="1:17" x14ac:dyDescent="0.2">
      <c r="A19" t="str">
        <v>Laptop HP Spectre</v>
      </c>
      <c r="B19" s="14">
        <v>0</v>
      </c>
      <c r="C19">
        <v>15</v>
      </c>
      <c r="D19" s="4" cm="1">
        <f t="array" ref="D19">_xlfn.IFS(E19=$C$6, C19, E19=$C$5, C19-B19, E19=$C$4, "No need", E19=$C$3, "No need")</f>
        <v>15</v>
      </c>
      <c r="E19" t="str">
        <f t="shared" si="0"/>
        <v>🔴 Out of Stock</v>
      </c>
      <c r="M19" t="str">
        <v>Tenis Nike Air Max</v>
      </c>
      <c r="N19">
        <v>4</v>
      </c>
      <c r="O19">
        <v>17</v>
      </c>
      <c r="P19">
        <v>13</v>
      </c>
      <c r="Q19" t="str">
        <v>🟡 Low Stock</v>
      </c>
    </row>
    <row r="20" spans="1:17" ht="16" x14ac:dyDescent="0.2">
      <c r="A20" t="str">
        <v>Monitor Dell 27"</v>
      </c>
      <c r="B20" s="14">
        <v>40</v>
      </c>
      <c r="C20">
        <v>15</v>
      </c>
      <c r="D20" s="4" t="str" cm="1">
        <f t="array" ref="D20">_xlfn.IFS(E20=$C$6, C20, E20=$C$5, C20-B20, E20=$C$4, "No need", E20=$C$3, "No need")</f>
        <v>No need</v>
      </c>
      <c r="E20" t="str">
        <f t="shared" si="0"/>
        <v>✅ Overstocked</v>
      </c>
      <c r="M20" t="str">
        <v>Botas Timberland</v>
      </c>
      <c r="N20">
        <v>4</v>
      </c>
      <c r="O20">
        <v>10</v>
      </c>
      <c r="P20">
        <v>6</v>
      </c>
      <c r="Q20" t="str">
        <v>🟡 Low Stock</v>
      </c>
    </row>
    <row r="21" spans="1:17" ht="16" x14ac:dyDescent="0.2">
      <c r="A21" t="str">
        <v>Mouse Logitech MX</v>
      </c>
      <c r="B21" s="14">
        <v>25</v>
      </c>
      <c r="C21">
        <v>15</v>
      </c>
      <c r="D21" s="4" t="str" cm="1">
        <f t="array" ref="D21">_xlfn.IFS(E21=$C$6, C21, E21=$C$5, C21-B21, E21=$C$4, "No need", E21=$C$3, "No need")</f>
        <v>No need</v>
      </c>
      <c r="E21" t="str">
        <f t="shared" si="0"/>
        <v>✅ Overstocked</v>
      </c>
      <c r="M21" t="str">
        <v>Chaqueta North Face</v>
      </c>
      <c r="N21">
        <v>4</v>
      </c>
      <c r="O21">
        <v>13</v>
      </c>
      <c r="P21">
        <v>9</v>
      </c>
      <c r="Q21" t="str">
        <v>🟡 Low Stock</v>
      </c>
    </row>
    <row r="22" spans="1:17" ht="16" x14ac:dyDescent="0.2">
      <c r="A22" t="str">
        <v>Teclado Mecánico Razer</v>
      </c>
      <c r="B22" s="14">
        <v>34</v>
      </c>
      <c r="C22">
        <v>17</v>
      </c>
      <c r="D22" s="4" t="str" cm="1">
        <f t="array" ref="D22">_xlfn.IFS(E22=$C$6, C22, E22=$C$5, C22-B22, E22=$C$4, "No need", E22=$C$3, "No need")</f>
        <v>No need</v>
      </c>
      <c r="E22" t="str">
        <f t="shared" si="0"/>
        <v>✅ Overstocked</v>
      </c>
      <c r="M22" t="str">
        <v>Pantalón Levi's 501</v>
      </c>
      <c r="N22">
        <v>4</v>
      </c>
      <c r="O22">
        <v>16</v>
      </c>
      <c r="P22">
        <v>12</v>
      </c>
      <c r="Q22" t="str">
        <v>🟡 Low Stock</v>
      </c>
    </row>
    <row r="23" spans="1:17" ht="16" x14ac:dyDescent="0.2">
      <c r="A23" t="str">
        <v>Silla Gamer Corsair</v>
      </c>
      <c r="B23" s="14">
        <v>31</v>
      </c>
      <c r="C23">
        <v>16</v>
      </c>
      <c r="D23" s="4" t="str" cm="1">
        <f t="array" ref="D23">_xlfn.IFS(E23=$C$6, C23, E23=$C$5, C23-B23, E23=$C$4, "No need", E23=$C$3, "No need")</f>
        <v>No need</v>
      </c>
      <c r="E23" t="str">
        <f t="shared" si="0"/>
        <v>✅ Overstocked</v>
      </c>
      <c r="M23" t="str">
        <v>Mochila Adidas</v>
      </c>
      <c r="N23">
        <v>4</v>
      </c>
      <c r="O23">
        <v>19</v>
      </c>
      <c r="P23">
        <v>15</v>
      </c>
      <c r="Q23" t="str">
        <v>🟡 Low Stock</v>
      </c>
    </row>
    <row r="24" spans="1:17" ht="16" x14ac:dyDescent="0.2">
      <c r="A24" t="str">
        <v>Escritorio Ejecutivo</v>
      </c>
      <c r="B24" s="14">
        <v>40</v>
      </c>
      <c r="C24">
        <v>17</v>
      </c>
      <c r="D24" s="4" t="str" cm="1">
        <f t="array" ref="D24">_xlfn.IFS(E24=$C$6, C24, E24=$C$5, C24-B24, E24=$C$4, "No need", E24=$C$3, "No need")</f>
        <v>No need</v>
      </c>
      <c r="E24" t="str">
        <f t="shared" si="0"/>
        <v>✅ Overstocked</v>
      </c>
      <c r="M24" t="str">
        <v>Perfume Dior Sauvage</v>
      </c>
      <c r="N24">
        <v>4</v>
      </c>
      <c r="O24">
        <v>12</v>
      </c>
      <c r="P24">
        <v>8</v>
      </c>
      <c r="Q24" t="str">
        <v>🟡 Low Stock</v>
      </c>
    </row>
    <row r="25" spans="1:17" x14ac:dyDescent="0.2">
      <c r="A25" t="str">
        <v>Sofá de Cuero</v>
      </c>
      <c r="B25" s="14">
        <v>0</v>
      </c>
      <c r="C25">
        <v>10</v>
      </c>
      <c r="D25" s="4" cm="1">
        <f t="array" ref="D25">_xlfn.IFS(E25=$C$6, C25, E25=$C$5, C25-B25, E25=$C$4, "No need", E25=$C$3, "No need")</f>
        <v>10</v>
      </c>
      <c r="E25" t="str">
        <f t="shared" si="0"/>
        <v>🔴 Out of Stock</v>
      </c>
      <c r="M25" t="str">
        <v>Secadora Whirlpool</v>
      </c>
      <c r="N25">
        <v>5</v>
      </c>
      <c r="O25">
        <v>13</v>
      </c>
      <c r="P25">
        <v>8</v>
      </c>
      <c r="Q25" t="str">
        <v>🟡 Low Stock</v>
      </c>
    </row>
    <row r="26" spans="1:17" x14ac:dyDescent="0.2">
      <c r="A26" t="str">
        <v>Cama Queen Size</v>
      </c>
      <c r="B26" s="14">
        <v>0</v>
      </c>
      <c r="C26">
        <v>20</v>
      </c>
      <c r="D26" s="4" cm="1">
        <f t="array" ref="D26">_xlfn.IFS(E26=$C$6, C26, E26=$C$5, C26-B26, E26=$C$4, "No need", E26=$C$3, "No need")</f>
        <v>20</v>
      </c>
      <c r="E26" t="str">
        <f t="shared" si="0"/>
        <v>🔴 Out of Stock</v>
      </c>
      <c r="M26" t="str">
        <v>Cafetera Nespresso</v>
      </c>
      <c r="N26">
        <v>5</v>
      </c>
      <c r="O26">
        <v>18</v>
      </c>
      <c r="P26">
        <v>13</v>
      </c>
      <c r="Q26" t="str">
        <v>🟡 Low Stock</v>
      </c>
    </row>
    <row r="27" spans="1:17" ht="16" x14ac:dyDescent="0.2">
      <c r="A27" t="str">
        <v>Almohada Memory Foam</v>
      </c>
      <c r="B27" s="14">
        <v>40</v>
      </c>
      <c r="C27">
        <v>16</v>
      </c>
      <c r="D27" s="4" t="str" cm="1">
        <f t="array" ref="D27">_xlfn.IFS(E27=$C$6, C27, E27=$C$5, C27-B27, E27=$C$4, "No need", E27=$C$3, "No need")</f>
        <v>No need</v>
      </c>
      <c r="E27" t="str">
        <f t="shared" si="0"/>
        <v>✅ Overstocked</v>
      </c>
      <c r="M27" t="str">
        <v>Aspiradora Dyson</v>
      </c>
      <c r="N27">
        <v>6</v>
      </c>
      <c r="O27">
        <v>13</v>
      </c>
      <c r="P27">
        <v>7</v>
      </c>
      <c r="Q27" t="str">
        <v>🟡 Low Stock</v>
      </c>
    </row>
    <row r="28" spans="1:17" ht="16" x14ac:dyDescent="0.2">
      <c r="A28" t="str">
        <v>Refrigerador Samsung</v>
      </c>
      <c r="B28" s="14">
        <v>40</v>
      </c>
      <c r="C28">
        <v>16</v>
      </c>
      <c r="D28" s="4" t="str" cm="1">
        <f t="array" ref="D28">_xlfn.IFS(E28=$C$6, C28, E28=$C$5, C28-B28, E28=$C$4, "No need", E28=$C$3, "No need")</f>
        <v>No need</v>
      </c>
      <c r="E28" t="str">
        <f t="shared" si="0"/>
        <v>✅ Overstocked</v>
      </c>
      <c r="M28" t="str">
        <v>Cámara Canon EOS</v>
      </c>
      <c r="N28">
        <v>10</v>
      </c>
      <c r="O28">
        <v>20</v>
      </c>
      <c r="P28">
        <v>10</v>
      </c>
      <c r="Q28" t="str">
        <v>🟡 Low Stock</v>
      </c>
    </row>
    <row r="29" spans="1:17" ht="16" x14ac:dyDescent="0.2">
      <c r="A29" t="str">
        <v>Microondas LG</v>
      </c>
      <c r="B29" s="14">
        <v>40</v>
      </c>
      <c r="C29">
        <v>15</v>
      </c>
      <c r="D29" s="4" t="str" cm="1">
        <f t="array" ref="D29">_xlfn.IFS(E29=$C$6, C29, E29=$C$5, C29-B29, E29=$C$4, "No need", E29=$C$3, "No need")</f>
        <v>No need</v>
      </c>
      <c r="E29" t="str">
        <f t="shared" si="0"/>
        <v>✅ Overstocked</v>
      </c>
      <c r="M29" t="str">
        <v>Bolígrafo Montblanc</v>
      </c>
      <c r="N29">
        <v>10</v>
      </c>
      <c r="O29">
        <v>19</v>
      </c>
      <c r="P29">
        <v>9</v>
      </c>
      <c r="Q29" t="str">
        <v>🟡 Low Stock</v>
      </c>
    </row>
    <row r="30" spans="1:17" ht="16" x14ac:dyDescent="0.2">
      <c r="A30" t="str">
        <v>Licuadora Ninja</v>
      </c>
      <c r="B30" s="14">
        <v>40</v>
      </c>
      <c r="C30">
        <v>15</v>
      </c>
      <c r="D30" s="4" t="str" cm="1">
        <f t="array" ref="D30">_xlfn.IFS(E30=$C$6, C30, E30=$C$5, C30-B30, E30=$C$4, "No need", E30=$C$3, "No need")</f>
        <v>No need</v>
      </c>
      <c r="E30" t="str">
        <f t="shared" si="0"/>
        <v>✅ Overstocked</v>
      </c>
    </row>
    <row r="31" spans="1:17" x14ac:dyDescent="0.2">
      <c r="A31" t="str">
        <v>Lavadora Whirlpool</v>
      </c>
      <c r="B31" s="14">
        <v>4</v>
      </c>
      <c r="C31">
        <v>12</v>
      </c>
      <c r="D31" s="4" cm="1">
        <f t="array" ref="D31">_xlfn.IFS(E31=$C$6, C31, E31=$C$5, C31-B31, E31=$C$4, "No need", E31=$C$3, "No need")</f>
        <v>8</v>
      </c>
      <c r="E31" t="str">
        <f t="shared" si="0"/>
        <v>🟡 Low Stock</v>
      </c>
    </row>
    <row r="32" spans="1:17" x14ac:dyDescent="0.2">
      <c r="A32" t="str">
        <v>Secadora Whirlpool</v>
      </c>
      <c r="B32" s="14">
        <v>5</v>
      </c>
      <c r="C32">
        <v>13</v>
      </c>
      <c r="D32" s="4" cm="1">
        <f t="array" ref="D32">_xlfn.IFS(E32=$C$6, C32, E32=$C$5, C32-B32, E32=$C$4, "No need", E32=$C$3, "No need")</f>
        <v>8</v>
      </c>
      <c r="E32" t="str">
        <f t="shared" si="0"/>
        <v>🟡 Low Stock</v>
      </c>
    </row>
    <row r="33" spans="1:5" x14ac:dyDescent="0.2">
      <c r="A33" t="str">
        <v>Cafetera Nespresso</v>
      </c>
      <c r="B33" s="14">
        <v>5</v>
      </c>
      <c r="C33">
        <v>18</v>
      </c>
      <c r="D33" s="4" cm="1">
        <f t="array" ref="D33">_xlfn.IFS(E33=$C$6, C33, E33=$C$5, C33-B33, E33=$C$4, "No need", E33=$C$3, "No need")</f>
        <v>13</v>
      </c>
      <c r="E33" t="str">
        <f t="shared" si="0"/>
        <v>🟡 Low Stock</v>
      </c>
    </row>
    <row r="34" spans="1:5" x14ac:dyDescent="0.2">
      <c r="A34" t="str">
        <v>Aspiradora Dyson</v>
      </c>
      <c r="B34" s="14">
        <v>6</v>
      </c>
      <c r="C34">
        <v>13</v>
      </c>
      <c r="D34" s="4" cm="1">
        <f t="array" ref="D34">_xlfn.IFS(E34=$C$6, C34, E34=$C$5, C34-B34, E34=$C$4, "No need", E34=$C$3, "No need")</f>
        <v>7</v>
      </c>
      <c r="E34" t="str">
        <f t="shared" si="0"/>
        <v>🟡 Low Stock</v>
      </c>
    </row>
    <row r="35" spans="1:5" ht="16" x14ac:dyDescent="0.2">
      <c r="A35" t="str">
        <v>Purificador de Aire</v>
      </c>
      <c r="B35" s="14">
        <v>100</v>
      </c>
      <c r="C35">
        <v>18</v>
      </c>
      <c r="D35" s="4" t="str" cm="1">
        <f t="array" ref="D35">_xlfn.IFS(E35=$C$6, C35, E35=$C$5, C35-B35, E35=$C$4, "No need", E35=$C$3, "No need")</f>
        <v>No need</v>
      </c>
      <c r="E35" t="str">
        <f t="shared" si="0"/>
        <v>✅ Overstocked</v>
      </c>
    </row>
    <row r="36" spans="1:5" ht="16" x14ac:dyDescent="0.2">
      <c r="A36" t="str">
        <v>Bicicleta Montaña</v>
      </c>
      <c r="B36" s="14">
        <v>120</v>
      </c>
      <c r="C36">
        <v>10</v>
      </c>
      <c r="D36" s="4" t="str" cm="1">
        <f t="array" ref="D36">_xlfn.IFS(E36=$C$6, C36, E36=$C$5, C36-B36, E36=$C$4, "No need", E36=$C$3, "No need")</f>
        <v>No need</v>
      </c>
      <c r="E36" t="str">
        <f t="shared" si="0"/>
        <v>✅ Overstocked</v>
      </c>
    </row>
    <row r="37" spans="1:5" ht="16" x14ac:dyDescent="0.2">
      <c r="A37" t="str">
        <v>Patines Rollerblade</v>
      </c>
      <c r="B37" s="14">
        <v>100</v>
      </c>
      <c r="C37">
        <v>17</v>
      </c>
      <c r="D37" s="4" t="str" cm="1">
        <f t="array" ref="D37">_xlfn.IFS(E37=$C$6, C37, E37=$C$5, C37-B37, E37=$C$4, "No need", E37=$C$3, "No need")</f>
        <v>No need</v>
      </c>
      <c r="E37" t="str">
        <f t="shared" si="0"/>
        <v>✅ Overstocked</v>
      </c>
    </row>
    <row r="38" spans="1:5" ht="16" x14ac:dyDescent="0.2">
      <c r="A38" t="str">
        <v>Mancuernas 20kg</v>
      </c>
      <c r="B38" s="14">
        <v>200</v>
      </c>
      <c r="C38">
        <v>11</v>
      </c>
      <c r="D38" s="4" t="str" cm="1">
        <f t="array" ref="D38">_xlfn.IFS(E38=$C$6, C38, E38=$C$5, C38-B38, E38=$C$4, "No need", E38=$C$3, "No need")</f>
        <v>No need</v>
      </c>
      <c r="E38" t="str">
        <f t="shared" si="0"/>
        <v>✅ Overstocked</v>
      </c>
    </row>
    <row r="39" spans="1:5" x14ac:dyDescent="0.2">
      <c r="A39" t="str">
        <v>Trotadora NordicTrack</v>
      </c>
      <c r="B39" s="14">
        <v>3</v>
      </c>
      <c r="C39">
        <v>14</v>
      </c>
      <c r="D39" s="4" cm="1">
        <f t="array" ref="D39">_xlfn.IFS(E39=$C$6, C39, E39=$C$5, C39-B39, E39=$C$4, "No need", E39=$C$3, "No need")</f>
        <v>11</v>
      </c>
      <c r="E39" t="str">
        <f t="shared" si="0"/>
        <v>🟡 Low Stock</v>
      </c>
    </row>
    <row r="40" spans="1:5" ht="16" x14ac:dyDescent="0.2">
      <c r="A40" t="str">
        <v>Barra Olímpica</v>
      </c>
      <c r="B40" s="14">
        <v>22</v>
      </c>
      <c r="C40">
        <v>20</v>
      </c>
      <c r="D40" s="4" t="str" cm="1">
        <f t="array" ref="D40">_xlfn.IFS(E40=$C$6, C40, E40=$C$5, C40-B40, E40=$C$4, "No need", E40=$C$3, "No need")</f>
        <v>No need</v>
      </c>
      <c r="E40" t="str">
        <f t="shared" si="0"/>
        <v>🟢 Optimal Stock</v>
      </c>
    </row>
    <row r="41" spans="1:5" x14ac:dyDescent="0.2">
      <c r="A41" t="str">
        <v>Tenis Nike Air Max</v>
      </c>
      <c r="B41" s="14">
        <v>4</v>
      </c>
      <c r="C41">
        <v>17</v>
      </c>
      <c r="D41" s="4" cm="1">
        <f t="array" ref="D41">_xlfn.IFS(E41=$C$6, C41, E41=$C$5, C41-B41, E41=$C$4, "No need", E41=$C$3, "No need")</f>
        <v>13</v>
      </c>
      <c r="E41" t="str">
        <f t="shared" si="0"/>
        <v>🟡 Low Stock</v>
      </c>
    </row>
    <row r="42" spans="1:5" x14ac:dyDescent="0.2">
      <c r="A42" t="str">
        <v>Botas Timberland</v>
      </c>
      <c r="B42" s="14">
        <v>4</v>
      </c>
      <c r="C42">
        <v>10</v>
      </c>
      <c r="D42" s="4" cm="1">
        <f t="array" ref="D42">_xlfn.IFS(E42=$C$6, C42, E42=$C$5, C42-B42, E42=$C$4, "No need", E42=$C$3, "No need")</f>
        <v>6</v>
      </c>
      <c r="E42" t="str">
        <f t="shared" si="0"/>
        <v>🟡 Low Stock</v>
      </c>
    </row>
    <row r="43" spans="1:5" x14ac:dyDescent="0.2">
      <c r="A43" t="str">
        <v>Chaqueta North Face</v>
      </c>
      <c r="B43" s="14">
        <v>4</v>
      </c>
      <c r="C43">
        <v>13</v>
      </c>
      <c r="D43" s="4" cm="1">
        <f t="array" ref="D43">_xlfn.IFS(E43=$C$6, C43, E43=$C$5, C43-B43, E43=$C$4, "No need", E43=$C$3, "No need")</f>
        <v>9</v>
      </c>
      <c r="E43" t="str">
        <f t="shared" si="0"/>
        <v>🟡 Low Stock</v>
      </c>
    </row>
    <row r="44" spans="1:5" x14ac:dyDescent="0.2">
      <c r="A44" t="str">
        <v>Pantalón Levi's 501</v>
      </c>
      <c r="B44" s="14">
        <v>4</v>
      </c>
      <c r="C44">
        <v>16</v>
      </c>
      <c r="D44" s="4" cm="1">
        <f t="array" ref="D44">_xlfn.IFS(E44=$C$6, C44, E44=$C$5, C44-B44, E44=$C$4, "No need", E44=$C$3, "No need")</f>
        <v>12</v>
      </c>
      <c r="E44" t="str">
        <f t="shared" si="0"/>
        <v>🟡 Low Stock</v>
      </c>
    </row>
    <row r="45" spans="1:5" x14ac:dyDescent="0.2">
      <c r="A45" t="str">
        <v>Mochila Adidas</v>
      </c>
      <c r="B45" s="14">
        <v>4</v>
      </c>
      <c r="C45">
        <v>19</v>
      </c>
      <c r="D45" s="4" cm="1">
        <f t="array" ref="D45">_xlfn.IFS(E45=$C$6, C45, E45=$C$5, C45-B45, E45=$C$4, "No need", E45=$C$3, "No need")</f>
        <v>15</v>
      </c>
      <c r="E45" t="str">
        <f t="shared" si="0"/>
        <v>🟡 Low Stock</v>
      </c>
    </row>
    <row r="46" spans="1:5" x14ac:dyDescent="0.2">
      <c r="A46" t="str">
        <v>Perfume Dior Sauvage</v>
      </c>
      <c r="B46" s="14">
        <v>4</v>
      </c>
      <c r="C46">
        <v>12</v>
      </c>
      <c r="D46" s="4" cm="1">
        <f t="array" ref="D46">_xlfn.IFS(E46=$C$6, C46, E46=$C$5, C46-B46, E46=$C$4, "No need", E46=$C$3, "No need")</f>
        <v>8</v>
      </c>
      <c r="E46" t="str">
        <f t="shared" si="0"/>
        <v>🟡 Low Stock</v>
      </c>
    </row>
    <row r="47" spans="1:5" ht="16" x14ac:dyDescent="0.2">
      <c r="A47" t="str">
        <v>Maquillaje MAC</v>
      </c>
      <c r="B47" s="14">
        <v>135</v>
      </c>
      <c r="C47">
        <v>12</v>
      </c>
      <c r="D47" s="4" t="str" cm="1">
        <f t="array" ref="D47">_xlfn.IFS(E47=$C$6, C47, E47=$C$5, C47-B47, E47=$C$4, "No need", E47=$C$3, "No need")</f>
        <v>No need</v>
      </c>
      <c r="E47" t="str">
        <f t="shared" si="0"/>
        <v>✅ Overstocked</v>
      </c>
    </row>
    <row r="48" spans="1:5" ht="16" x14ac:dyDescent="0.2">
      <c r="A48" t="str">
        <v>Crema Hidratante CeraVe</v>
      </c>
      <c r="B48" s="14">
        <v>20</v>
      </c>
      <c r="C48">
        <v>16</v>
      </c>
      <c r="D48" s="4" t="str" cm="1">
        <f t="array" ref="D48">_xlfn.IFS(E48=$C$6, C48, E48=$C$5, C48-B48, E48=$C$4, "No need", E48=$C$3, "No need")</f>
        <v>No need</v>
      </c>
      <c r="E48" t="str">
        <f t="shared" si="0"/>
        <v>🟢 Optimal Stock</v>
      </c>
    </row>
    <row r="49" spans="1:6" ht="16" x14ac:dyDescent="0.2">
      <c r="A49" t="str">
        <v>Protector Solar La Roche</v>
      </c>
      <c r="B49" s="14">
        <v>106</v>
      </c>
      <c r="C49">
        <v>17</v>
      </c>
      <c r="D49" s="4" t="str" cm="1">
        <f t="array" ref="D49">_xlfn.IFS(E49=$C$6, C49, E49=$C$5, C49-B49, E49=$C$4, "No need", E49=$C$3, "No need")</f>
        <v>No need</v>
      </c>
      <c r="E49" t="str">
        <f t="shared" si="0"/>
        <v>✅ Overstocked</v>
      </c>
    </row>
    <row r="50" spans="1:6" ht="16" x14ac:dyDescent="0.2">
      <c r="A50" t="str">
        <v>Shampoo Redken</v>
      </c>
      <c r="B50" s="14">
        <v>59</v>
      </c>
      <c r="C50">
        <v>15</v>
      </c>
      <c r="D50" s="4" t="str" cm="1">
        <f t="array" ref="D50">_xlfn.IFS(E50=$C$6, C50, E50=$C$5, C50-B50, E50=$C$4, "No need", E50=$C$3, "No need")</f>
        <v>No need</v>
      </c>
      <c r="E50" t="str">
        <f t="shared" si="0"/>
        <v>✅ Overstocked</v>
      </c>
    </row>
    <row r="51" spans="1:6" ht="16" x14ac:dyDescent="0.2">
      <c r="A51" t="str">
        <v>Lentes de Sol RayBan</v>
      </c>
      <c r="B51" s="14">
        <v>89</v>
      </c>
      <c r="C51">
        <v>15</v>
      </c>
      <c r="D51" s="4" t="str" cm="1">
        <f t="array" ref="D51">_xlfn.IFS(E51=$C$6, C51, E51=$C$5, C51-B51, E51=$C$4, "No need", E51=$C$3, "No need")</f>
        <v>No need</v>
      </c>
      <c r="E51" t="str">
        <f t="shared" si="0"/>
        <v>✅ Overstocked</v>
      </c>
    </row>
    <row r="52" spans="1:6" ht="16" x14ac:dyDescent="0.2">
      <c r="A52" t="str">
        <v>Reloj Casio Vintage</v>
      </c>
      <c r="B52" s="14">
        <v>85</v>
      </c>
      <c r="C52">
        <v>17</v>
      </c>
      <c r="D52" s="4" t="str" cm="1">
        <f t="array" ref="D52">_xlfn.IFS(E52=$C$6, C52, E52=$C$5, C52-B52, E52=$C$4, "No need", E52=$C$3, "No need")</f>
        <v>No need</v>
      </c>
      <c r="E52" t="str">
        <f t="shared" si="0"/>
        <v>✅ Overstocked</v>
      </c>
    </row>
    <row r="53" spans="1:6" ht="16" x14ac:dyDescent="0.2">
      <c r="A53" t="str">
        <v>Maleta Samsonite</v>
      </c>
      <c r="B53" s="14">
        <v>89</v>
      </c>
      <c r="C53">
        <v>19</v>
      </c>
      <c r="D53" s="4" t="str" cm="1">
        <f t="array" ref="D53">_xlfn.IFS(E53=$C$6, C53, E53=$C$5, C53-B53, E53=$C$4, "No need", E53=$C$3, "No need")</f>
        <v>No need</v>
      </c>
      <c r="E53" t="str">
        <f t="shared" si="0"/>
        <v>✅ Overstocked</v>
      </c>
    </row>
    <row r="54" spans="1:6" ht="16" x14ac:dyDescent="0.2">
      <c r="A54" t="str">
        <v>Cinturón Cuero Hugo Boss</v>
      </c>
      <c r="B54" s="14">
        <v>38</v>
      </c>
      <c r="C54">
        <v>18</v>
      </c>
      <c r="D54" s="4" t="str" cm="1">
        <f t="array" ref="D54">_xlfn.IFS(E54=$C$6, C54, E54=$C$5, C54-B54, E54=$C$4, "No need", E54=$C$3, "No need")</f>
        <v>No need</v>
      </c>
      <c r="E54" t="str">
        <f t="shared" si="0"/>
        <v>✅ Overstocked</v>
      </c>
    </row>
    <row r="55" spans="1:6" ht="16" x14ac:dyDescent="0.2">
      <c r="A55" t="str">
        <v>Guantes de Cuero</v>
      </c>
      <c r="B55" s="14">
        <v>108</v>
      </c>
      <c r="C55">
        <v>15</v>
      </c>
      <c r="D55" s="4" t="str" cm="1">
        <f t="array" ref="D55">_xlfn.IFS(E55=$C$6, C55, E55=$C$5, C55-B55, E55=$C$4, "No need", E55=$C$3, "No need")</f>
        <v>No need</v>
      </c>
      <c r="E55" t="str">
        <f t="shared" si="0"/>
        <v>✅ Overstocked</v>
      </c>
    </row>
    <row r="56" spans="1:6" x14ac:dyDescent="0.2">
      <c r="A56" t="str">
        <v>Bolígrafo Montblanc</v>
      </c>
      <c r="B56">
        <v>10</v>
      </c>
      <c r="C56">
        <v>19</v>
      </c>
      <c r="D56" s="4" cm="1">
        <f t="array" ref="D56">_xlfn.IFS(E56=$C$6, C56, E56=$C$5, C56-B56, E56=$C$4, "No need", E56=$C$3, "No need")</f>
        <v>9</v>
      </c>
      <c r="E56" t="str">
        <f t="shared" si="0"/>
        <v>🟡 Low Stock</v>
      </c>
    </row>
    <row r="57" spans="1:6" ht="17" thickBot="1" x14ac:dyDescent="0.25">
      <c r="A57" t="str">
        <v>Corrector MAC</v>
      </c>
      <c r="B57">
        <v>20</v>
      </c>
      <c r="C57">
        <v>10</v>
      </c>
      <c r="D57" s="4" t="str" cm="1">
        <f t="array" ref="D57">_xlfn.IFS(E57=$C$6, C57, E57=$C$5, C57-B57, E57=$C$4, "No need", E57=$C$3, "No need")</f>
        <v>No need</v>
      </c>
      <c r="E57" t="str">
        <f t="shared" si="0"/>
        <v>✅ Overstocked</v>
      </c>
    </row>
    <row r="58" spans="1:6" ht="16" thickBot="1" x14ac:dyDescent="0.25">
      <c r="A58" s="35" t="s">
        <v>183</v>
      </c>
      <c r="B58" s="32"/>
      <c r="C58" s="32"/>
      <c r="D58" s="34">
        <f>SUM(D8:D56)</f>
        <v>234</v>
      </c>
      <c r="E58" s="33"/>
    </row>
    <row r="60" spans="1:6" ht="31.5" customHeight="1" x14ac:dyDescent="0.2">
      <c r="A60" s="86"/>
      <c r="B60" s="87"/>
      <c r="C60" s="87"/>
      <c r="D60" s="87"/>
      <c r="E60" s="87"/>
    </row>
    <row r="61" spans="1:6" x14ac:dyDescent="0.2">
      <c r="A61" s="8" t="s">
        <v>116</v>
      </c>
      <c r="B61" s="8" t="s">
        <v>93</v>
      </c>
      <c r="C61" s="8" t="s">
        <v>154</v>
      </c>
      <c r="E61" s="8" t="s">
        <v>164</v>
      </c>
      <c r="F61" s="8" t="s">
        <v>165</v>
      </c>
    </row>
    <row r="62" spans="1:6" x14ac:dyDescent="0.2">
      <c r="A62" t="s">
        <v>122</v>
      </c>
      <c r="B62">
        <f>COUNTIF($E$9:$E$57, A62)</f>
        <v>4</v>
      </c>
      <c r="C62" s="29">
        <f>B62/$B$66</f>
        <v>8.1632653061224483E-2</v>
      </c>
      <c r="D62" t="s">
        <v>166</v>
      </c>
      <c r="E62" s="29">
        <f>_xlfn.XLOOKUP(C5,A62:A65,C62:C65)</f>
        <v>0.26530612244897961</v>
      </c>
      <c r="F62" s="29">
        <f>_xlfn.XLOOKUP(C6,A62:A65,C62:C65)</f>
        <v>0.12244897959183673</v>
      </c>
    </row>
    <row r="63" spans="1:6" x14ac:dyDescent="0.2">
      <c r="A63" t="s">
        <v>124</v>
      </c>
      <c r="B63">
        <f>COUNTIF($E$9:$E$57, A63)</f>
        <v>13</v>
      </c>
      <c r="C63" s="29">
        <f>B63/$B$66</f>
        <v>0.26530612244897961</v>
      </c>
    </row>
    <row r="64" spans="1:6" x14ac:dyDescent="0.2">
      <c r="A64" t="s">
        <v>128</v>
      </c>
      <c r="B64">
        <f>COUNTIF($E$9:$E$57, A64)</f>
        <v>6</v>
      </c>
      <c r="C64" s="29">
        <f>B64/$B$66</f>
        <v>0.12244897959183673</v>
      </c>
      <c r="E64" s="37" t="s">
        <v>188</v>
      </c>
    </row>
    <row r="65" spans="1:5" x14ac:dyDescent="0.2">
      <c r="A65" t="s">
        <v>119</v>
      </c>
      <c r="B65">
        <f>COUNTIF($E$9:$E$57, A65)</f>
        <v>26</v>
      </c>
      <c r="C65" s="29">
        <f>B65/$B$66</f>
        <v>0.53061224489795922</v>
      </c>
      <c r="E65">
        <f>B64+B63</f>
        <v>19</v>
      </c>
    </row>
    <row r="66" spans="1:5" x14ac:dyDescent="0.2">
      <c r="A66" s="28"/>
      <c r="B66">
        <f>SUM(B62:B65)</f>
        <v>49</v>
      </c>
      <c r="C66" s="29"/>
    </row>
  </sheetData>
  <sortState xmlns:xlrd2="http://schemas.microsoft.com/office/spreadsheetml/2017/richdata2" ref="A62:C66">
    <sortCondition ref="B63:B66"/>
  </sortState>
  <mergeCells count="4">
    <mergeCell ref="A1:M1"/>
    <mergeCell ref="J6:Q6"/>
    <mergeCell ref="A60:E60"/>
    <mergeCell ref="M9:Q9"/>
  </mergeCells>
  <dataValidations count="1">
    <dataValidation type="list" allowBlank="1" showInputMessage="1" showErrorMessage="1" sqref="G6" xr:uid="{43EF8590-9A66-45DE-A1FB-E3019DA790E6}">
      <formula1>$C$3:$C$6</formula1>
    </dataValidation>
  </dataValidation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E91F1-D92C-4A1C-93F5-4084FFD4E5E7}">
  <dimension ref="A1:J68"/>
  <sheetViews>
    <sheetView zoomScale="200" zoomScaleNormal="222" workbookViewId="0">
      <selection activeCell="J56" sqref="J56"/>
    </sheetView>
  </sheetViews>
  <sheetFormatPr baseColWidth="10" defaultColWidth="8.83203125" defaultRowHeight="15" x14ac:dyDescent="0.2"/>
  <cols>
    <col min="1" max="1" width="36.5" bestFit="1" customWidth="1"/>
    <col min="2" max="2" width="16.83203125" customWidth="1"/>
    <col min="3" max="3" width="20.5" customWidth="1"/>
    <col min="4" max="4" width="30.5" customWidth="1"/>
    <col min="5" max="5" width="13.6640625" customWidth="1"/>
    <col min="6" max="7" width="17.33203125" customWidth="1"/>
  </cols>
  <sheetData>
    <row r="1" spans="1:8" ht="22.5" customHeight="1" x14ac:dyDescent="0.2">
      <c r="A1" s="87" t="s">
        <v>132</v>
      </c>
      <c r="B1" s="87"/>
      <c r="C1" s="87"/>
      <c r="D1" s="87"/>
      <c r="E1" s="87"/>
      <c r="F1" s="87"/>
      <c r="G1" s="87"/>
      <c r="H1" s="87"/>
    </row>
    <row r="3" spans="1:8" x14ac:dyDescent="0.2">
      <c r="A3" s="1" t="s">
        <v>133</v>
      </c>
      <c r="B3">
        <f>MAX(sales[total])</f>
        <v>9990</v>
      </c>
      <c r="C3" s="13" t="s">
        <v>110</v>
      </c>
    </row>
    <row r="4" spans="1:8" ht="64" x14ac:dyDescent="0.2">
      <c r="A4" s="1" t="s">
        <v>134</v>
      </c>
      <c r="B4" t="str">
        <f>_xlfn.XLOOKUP(B3, sales[total], sales[employee], ,0)</f>
        <v>Ana López</v>
      </c>
      <c r="C4" s="22" t="s">
        <v>135</v>
      </c>
    </row>
    <row r="7" spans="1:8" ht="38.25" customHeight="1" x14ac:dyDescent="0.2">
      <c r="A7" s="88" t="s">
        <v>136</v>
      </c>
      <c r="B7" s="89"/>
      <c r="C7" s="89"/>
    </row>
    <row r="9" spans="1:8" x14ac:dyDescent="0.2">
      <c r="A9" s="8" t="s">
        <v>83</v>
      </c>
      <c r="B9" s="8" t="s">
        <v>84</v>
      </c>
      <c r="C9" s="8" t="s">
        <v>85</v>
      </c>
      <c r="D9" s="8" t="s">
        <v>137</v>
      </c>
    </row>
    <row r="10" spans="1:8" x14ac:dyDescent="0.2">
      <c r="A10" t="s">
        <v>62</v>
      </c>
      <c r="B10">
        <v>40</v>
      </c>
      <c r="C10">
        <v>8</v>
      </c>
      <c r="D10">
        <f t="shared" ref="D10:D19" si="0">B10/C10</f>
        <v>5</v>
      </c>
    </row>
    <row r="11" spans="1:8" x14ac:dyDescent="0.2">
      <c r="A11" t="s">
        <v>69</v>
      </c>
      <c r="B11">
        <v>42</v>
      </c>
      <c r="C11">
        <v>9</v>
      </c>
      <c r="D11" s="24">
        <f t="shared" si="0"/>
        <v>4.666666666666667</v>
      </c>
    </row>
    <row r="12" spans="1:8" x14ac:dyDescent="0.2">
      <c r="A12" t="s">
        <v>68</v>
      </c>
      <c r="B12">
        <v>40</v>
      </c>
      <c r="C12">
        <v>11</v>
      </c>
      <c r="D12" s="24">
        <f t="shared" si="0"/>
        <v>3.6363636363636362</v>
      </c>
    </row>
    <row r="13" spans="1:8" x14ac:dyDescent="0.2">
      <c r="A13" t="s">
        <v>70</v>
      </c>
      <c r="B13">
        <v>32</v>
      </c>
      <c r="C13">
        <v>9</v>
      </c>
      <c r="D13" s="24">
        <f t="shared" si="0"/>
        <v>3.5555555555555554</v>
      </c>
    </row>
    <row r="14" spans="1:8" x14ac:dyDescent="0.2">
      <c r="A14" t="s">
        <v>66</v>
      </c>
      <c r="B14">
        <v>35</v>
      </c>
      <c r="C14">
        <v>12</v>
      </c>
      <c r="D14" s="24">
        <f t="shared" si="0"/>
        <v>2.9166666666666665</v>
      </c>
    </row>
    <row r="15" spans="1:8" x14ac:dyDescent="0.2">
      <c r="A15" t="s">
        <v>71</v>
      </c>
      <c r="B15">
        <v>25</v>
      </c>
      <c r="C15">
        <v>9</v>
      </c>
      <c r="D15" s="24">
        <f t="shared" si="0"/>
        <v>2.7777777777777777</v>
      </c>
    </row>
    <row r="16" spans="1:8" x14ac:dyDescent="0.2">
      <c r="A16" t="s">
        <v>74</v>
      </c>
      <c r="B16">
        <v>32</v>
      </c>
      <c r="C16">
        <v>12</v>
      </c>
      <c r="D16" s="24">
        <f t="shared" si="0"/>
        <v>2.6666666666666665</v>
      </c>
    </row>
    <row r="17" spans="1:7" x14ac:dyDescent="0.2">
      <c r="A17" t="s">
        <v>67</v>
      </c>
      <c r="B17">
        <v>30</v>
      </c>
      <c r="C17">
        <v>14</v>
      </c>
      <c r="D17" s="24">
        <f t="shared" si="0"/>
        <v>2.1428571428571428</v>
      </c>
    </row>
    <row r="18" spans="1:7" x14ac:dyDescent="0.2">
      <c r="A18" t="s">
        <v>72</v>
      </c>
      <c r="B18">
        <v>30</v>
      </c>
      <c r="C18">
        <v>14</v>
      </c>
      <c r="D18" s="24">
        <f t="shared" si="0"/>
        <v>2.1428571428571428</v>
      </c>
    </row>
    <row r="19" spans="1:7" x14ac:dyDescent="0.2">
      <c r="A19" t="s">
        <v>64</v>
      </c>
      <c r="B19">
        <v>38</v>
      </c>
      <c r="C19">
        <v>21</v>
      </c>
      <c r="D19" s="24">
        <f t="shared" si="0"/>
        <v>1.8095238095238095</v>
      </c>
    </row>
    <row r="21" spans="1:7" ht="20.25" customHeight="1" x14ac:dyDescent="0.4">
      <c r="A21" s="90" t="s">
        <v>138</v>
      </c>
      <c r="B21" s="90"/>
      <c r="C21" s="90"/>
      <c r="D21" s="90"/>
    </row>
    <row r="22" spans="1:7" ht="33" customHeight="1" x14ac:dyDescent="0.2">
      <c r="E22" s="1" t="s">
        <v>139</v>
      </c>
      <c r="F22" s="82" t="s">
        <v>162</v>
      </c>
      <c r="G22" s="82"/>
    </row>
    <row r="23" spans="1:7" ht="18" customHeight="1" x14ac:dyDescent="0.2">
      <c r="A23" s="8" t="s">
        <v>88</v>
      </c>
      <c r="B23" s="8" t="s">
        <v>89</v>
      </c>
      <c r="C23" s="8" t="s">
        <v>140</v>
      </c>
      <c r="E23" s="8" t="s">
        <v>88</v>
      </c>
      <c r="F23" s="8" t="s">
        <v>89</v>
      </c>
      <c r="G23" s="8" t="s">
        <v>140</v>
      </c>
    </row>
    <row r="24" spans="1:7" x14ac:dyDescent="0.2">
      <c r="A24" t="s">
        <v>70</v>
      </c>
      <c r="B24" s="5">
        <f>SUMIF(sales[employee], A24, sales[total])</f>
        <v>12625</v>
      </c>
      <c r="C24" t="b">
        <f t="shared" ref="C24:C33" si="1">IF(B24&gt;=$B$36,TRUE, FALSE)</f>
        <v>0</v>
      </c>
      <c r="E24" t="str" cm="1">
        <f t="array" ref="E24:G26">_xlfn._xlws.SORT(_xlfn._xlws.FILTER(A24:C33, C24:C33 = TRUE),2, -1)</f>
        <v>Ana López</v>
      </c>
      <c r="F24">
        <v>39803</v>
      </c>
      <c r="G24" t="b">
        <v>1</v>
      </c>
    </row>
    <row r="25" spans="1:7" x14ac:dyDescent="0.2">
      <c r="A25" t="s">
        <v>71</v>
      </c>
      <c r="B25" s="5">
        <f>SUMIF(sales[employee], A25, sales[total])</f>
        <v>15120</v>
      </c>
      <c r="C25" t="b">
        <f t="shared" si="1"/>
        <v>0</v>
      </c>
      <c r="E25" t="str">
        <v>María Fernández</v>
      </c>
      <c r="F25">
        <v>28746</v>
      </c>
      <c r="G25" t="b">
        <v>1</v>
      </c>
    </row>
    <row r="26" spans="1:7" x14ac:dyDescent="0.2">
      <c r="A26" t="s">
        <v>74</v>
      </c>
      <c r="B26" s="5">
        <f>SUMIF(sales[employee], A26, sales[total])</f>
        <v>15344</v>
      </c>
      <c r="C26" t="b">
        <f t="shared" si="1"/>
        <v>0</v>
      </c>
      <c r="E26" t="str">
        <v>Diego Castro</v>
      </c>
      <c r="F26">
        <v>24369</v>
      </c>
      <c r="G26" t="b">
        <v>1</v>
      </c>
    </row>
    <row r="27" spans="1:7" x14ac:dyDescent="0.2">
      <c r="A27" t="s">
        <v>69</v>
      </c>
      <c r="B27" s="5">
        <f>SUMIF(sales[employee], A27, sales[total])</f>
        <v>16135</v>
      </c>
      <c r="C27" t="b">
        <f t="shared" si="1"/>
        <v>0</v>
      </c>
    </row>
    <row r="28" spans="1:7" x14ac:dyDescent="0.2">
      <c r="A28" t="s">
        <v>66</v>
      </c>
      <c r="B28" s="5">
        <f>SUMIF(sales[employee], A28, sales[total])</f>
        <v>17340</v>
      </c>
      <c r="C28" t="b">
        <f t="shared" si="1"/>
        <v>0</v>
      </c>
    </row>
    <row r="29" spans="1:7" x14ac:dyDescent="0.2">
      <c r="A29" t="s">
        <v>62</v>
      </c>
      <c r="B29" s="5">
        <f>SUMIF(sales[employee], A29, sales[total])</f>
        <v>17344</v>
      </c>
      <c r="C29" t="b">
        <f t="shared" si="1"/>
        <v>0</v>
      </c>
    </row>
    <row r="30" spans="1:7" x14ac:dyDescent="0.2">
      <c r="A30" t="s">
        <v>68</v>
      </c>
      <c r="B30" s="5">
        <f>SUMIF(sales[employee], A30, sales[total])</f>
        <v>17721</v>
      </c>
      <c r="C30" t="b">
        <f t="shared" si="1"/>
        <v>0</v>
      </c>
    </row>
    <row r="31" spans="1:7" x14ac:dyDescent="0.2">
      <c r="A31" t="s">
        <v>72</v>
      </c>
      <c r="B31" s="5">
        <f>SUMIF(sales[employee], A31, sales[total])</f>
        <v>24369</v>
      </c>
      <c r="C31" t="b">
        <f t="shared" si="1"/>
        <v>1</v>
      </c>
    </row>
    <row r="32" spans="1:7" x14ac:dyDescent="0.2">
      <c r="A32" t="s">
        <v>67</v>
      </c>
      <c r="B32" s="5">
        <f>SUMIF(sales[employee], A32, sales[total])</f>
        <v>28746</v>
      </c>
      <c r="C32" t="b">
        <f t="shared" si="1"/>
        <v>1</v>
      </c>
    </row>
    <row r="33" spans="1:4" x14ac:dyDescent="0.2">
      <c r="A33" t="s">
        <v>64</v>
      </c>
      <c r="B33" s="5">
        <f>SUMIF(sales[employee], A33, sales[total])</f>
        <v>39803</v>
      </c>
      <c r="C33" t="b">
        <f t="shared" si="1"/>
        <v>1</v>
      </c>
    </row>
    <row r="35" spans="1:4" x14ac:dyDescent="0.2">
      <c r="A35" s="1" t="s">
        <v>141</v>
      </c>
    </row>
    <row r="36" spans="1:4" x14ac:dyDescent="0.2">
      <c r="A36" s="1" t="s">
        <v>142</v>
      </c>
      <c r="B36" s="21">
        <v>20000</v>
      </c>
    </row>
    <row r="38" spans="1:4" x14ac:dyDescent="0.2">
      <c r="A38" s="39" t="s">
        <v>195</v>
      </c>
      <c r="B38" s="39" t="s">
        <v>196</v>
      </c>
    </row>
    <row r="39" spans="1:4" x14ac:dyDescent="0.2">
      <c r="A39" s="38" t="str">
        <f>employee_selected</f>
        <v>Ana López</v>
      </c>
      <c r="B39" s="38" t="str">
        <f>month_selected</f>
        <v>Aug</v>
      </c>
    </row>
    <row r="41" spans="1:4" x14ac:dyDescent="0.2">
      <c r="A41" t="s">
        <v>197</v>
      </c>
    </row>
    <row r="42" spans="1:4" x14ac:dyDescent="0.2">
      <c r="A42" s="8" t="s">
        <v>88</v>
      </c>
      <c r="B42" s="8" t="s">
        <v>89</v>
      </c>
      <c r="C42" s="8" t="s">
        <v>198</v>
      </c>
      <c r="D42" s="8" t="s">
        <v>199</v>
      </c>
    </row>
    <row r="43" spans="1:4" x14ac:dyDescent="0.2">
      <c r="A43" t="s">
        <v>70</v>
      </c>
      <c r="B43" s="5">
        <f>SUMIF(sales[employee], A43, sales[total])</f>
        <v>12625</v>
      </c>
      <c r="C43" s="26" t="e">
        <f>IF(A43=$A$39, B43, NA())</f>
        <v>#N/A</v>
      </c>
      <c r="D43" s="26">
        <f>IF(A43&lt;&gt;$A$39, B43, NA())</f>
        <v>12625</v>
      </c>
    </row>
    <row r="44" spans="1:4" x14ac:dyDescent="0.2">
      <c r="A44" t="s">
        <v>71</v>
      </c>
      <c r="B44" s="5">
        <f>SUMIF(sales[employee], A44, sales[total])</f>
        <v>15120</v>
      </c>
      <c r="C44" s="26" t="e">
        <f t="shared" ref="C44:C52" si="2">IF(A44=$A$39, B44, NA())</f>
        <v>#N/A</v>
      </c>
      <c r="D44" s="26">
        <f t="shared" ref="D44:D52" si="3">IF(A44&lt;&gt;$A$39, B44, NA())</f>
        <v>15120</v>
      </c>
    </row>
    <row r="45" spans="1:4" x14ac:dyDescent="0.2">
      <c r="A45" t="s">
        <v>74</v>
      </c>
      <c r="B45" s="5">
        <f>SUMIF(sales[employee], A45, sales[total])</f>
        <v>15344</v>
      </c>
      <c r="C45" s="26" t="e">
        <f t="shared" si="2"/>
        <v>#N/A</v>
      </c>
      <c r="D45" s="26">
        <f t="shared" si="3"/>
        <v>15344</v>
      </c>
    </row>
    <row r="46" spans="1:4" x14ac:dyDescent="0.2">
      <c r="A46" t="s">
        <v>69</v>
      </c>
      <c r="B46" s="5">
        <f>SUMIF(sales[employee], A46, sales[total])</f>
        <v>16135</v>
      </c>
      <c r="C46" s="26" t="e">
        <f t="shared" si="2"/>
        <v>#N/A</v>
      </c>
      <c r="D46" s="26">
        <f t="shared" si="3"/>
        <v>16135</v>
      </c>
    </row>
    <row r="47" spans="1:4" x14ac:dyDescent="0.2">
      <c r="A47" t="s">
        <v>66</v>
      </c>
      <c r="B47" s="5">
        <f>SUMIF(sales[employee], A47, sales[total])</f>
        <v>17340</v>
      </c>
      <c r="C47" s="26" t="e">
        <f t="shared" si="2"/>
        <v>#N/A</v>
      </c>
      <c r="D47" s="26">
        <f t="shared" si="3"/>
        <v>17340</v>
      </c>
    </row>
    <row r="48" spans="1:4" x14ac:dyDescent="0.2">
      <c r="A48" t="s">
        <v>62</v>
      </c>
      <c r="B48" s="5">
        <f>SUMIF(sales[employee], A48, sales[total])</f>
        <v>17344</v>
      </c>
      <c r="C48" s="26" t="e">
        <f t="shared" si="2"/>
        <v>#N/A</v>
      </c>
      <c r="D48" s="26">
        <f t="shared" si="3"/>
        <v>17344</v>
      </c>
    </row>
    <row r="49" spans="1:10" x14ac:dyDescent="0.2">
      <c r="A49" t="s">
        <v>68</v>
      </c>
      <c r="B49" s="5">
        <f>SUMIF(sales[employee], A49, sales[total])</f>
        <v>17721</v>
      </c>
      <c r="C49" s="26" t="e">
        <f t="shared" si="2"/>
        <v>#N/A</v>
      </c>
      <c r="D49" s="26">
        <f t="shared" si="3"/>
        <v>17721</v>
      </c>
    </row>
    <row r="50" spans="1:10" x14ac:dyDescent="0.2">
      <c r="A50" t="s">
        <v>72</v>
      </c>
      <c r="B50" s="5">
        <f>SUMIF(sales[employee], A50, sales[total])</f>
        <v>24369</v>
      </c>
      <c r="C50" s="26" t="e">
        <f t="shared" si="2"/>
        <v>#N/A</v>
      </c>
      <c r="D50" s="26">
        <f t="shared" si="3"/>
        <v>24369</v>
      </c>
    </row>
    <row r="51" spans="1:10" x14ac:dyDescent="0.2">
      <c r="A51" t="s">
        <v>67</v>
      </c>
      <c r="B51" s="5">
        <f>SUMIF(sales[employee], A51, sales[total])</f>
        <v>28746</v>
      </c>
      <c r="C51" s="26" t="e">
        <f t="shared" si="2"/>
        <v>#N/A</v>
      </c>
      <c r="D51" s="26">
        <f t="shared" si="3"/>
        <v>28746</v>
      </c>
    </row>
    <row r="52" spans="1:10" x14ac:dyDescent="0.2">
      <c r="A52" t="s">
        <v>64</v>
      </c>
      <c r="B52" s="5">
        <f>SUMIF(sales[employee], A52, sales[total])</f>
        <v>39803</v>
      </c>
      <c r="C52" s="26">
        <f t="shared" si="2"/>
        <v>39803</v>
      </c>
      <c r="D52" s="26" t="e">
        <f t="shared" si="3"/>
        <v>#N/A</v>
      </c>
    </row>
    <row r="54" spans="1:10" x14ac:dyDescent="0.2">
      <c r="A54" t="s">
        <v>200</v>
      </c>
    </row>
    <row r="55" spans="1:10" x14ac:dyDescent="0.2">
      <c r="A55" s="8" t="s">
        <v>92</v>
      </c>
      <c r="B55" s="8" t="s">
        <v>201</v>
      </c>
      <c r="C55" s="8" t="s">
        <v>202</v>
      </c>
      <c r="D55" s="8" t="s">
        <v>199</v>
      </c>
    </row>
    <row r="56" spans="1:10" x14ac:dyDescent="0.2">
      <c r="A56" t="s">
        <v>96</v>
      </c>
      <c r="B56" s="9" cm="1">
        <f t="array" ref="B56">SUMPRODUCT(((TEXT(sales[date], "mmm")=A56)*(sales[employee]=employee_selected))*(sales[total]))</f>
        <v>0</v>
      </c>
      <c r="C56" s="26" t="e">
        <f>IF(A56=$B$39, B56, NA())</f>
        <v>#N/A</v>
      </c>
      <c r="D56" s="26">
        <f>IF(A56&lt;&gt;$B$39, B56, NA())</f>
        <v>0</v>
      </c>
    </row>
    <row r="57" spans="1:10" x14ac:dyDescent="0.2">
      <c r="A57" t="s">
        <v>97</v>
      </c>
      <c r="B57" s="9" cm="1">
        <f t="array" ref="B57">SUMPRODUCT(((TEXT(sales[date], "mmm")=A57)*(sales[employee]=employee_selected))*(sales[total]))</f>
        <v>300</v>
      </c>
      <c r="C57" s="26" t="e">
        <f t="shared" ref="C57:C67" si="4">IF(A57=$B$39, B57, NA())</f>
        <v>#N/A</v>
      </c>
      <c r="D57" s="26">
        <f t="shared" ref="D57:D67" si="5">IF(A57&lt;&gt;$B$39, B57, NA())</f>
        <v>300</v>
      </c>
      <c r="E57" s="40"/>
      <c r="F57" s="40"/>
      <c r="H57" s="72"/>
      <c r="I57" s="72"/>
      <c r="J57" s="72"/>
    </row>
    <row r="58" spans="1:10" x14ac:dyDescent="0.2">
      <c r="A58" t="s">
        <v>98</v>
      </c>
      <c r="B58" s="9" cm="1">
        <f t="array" ref="B58">SUMPRODUCT(((TEXT(sales[date], "mmm")=A58)*(sales[employee]=employee_selected))*(sales[total]))</f>
        <v>6947</v>
      </c>
      <c r="C58" s="26" t="e">
        <f t="shared" si="4"/>
        <v>#N/A</v>
      </c>
      <c r="D58" s="26">
        <f t="shared" si="5"/>
        <v>6947</v>
      </c>
    </row>
    <row r="59" spans="1:10" x14ac:dyDescent="0.2">
      <c r="A59" t="s">
        <v>99</v>
      </c>
      <c r="B59" s="9" cm="1">
        <f t="array" ref="B59">SUMPRODUCT(((TEXT(sales[date], "mmm")=A59)*(sales[employee]=employee_selected))*(sales[total]))</f>
        <v>2387</v>
      </c>
      <c r="C59" s="26" t="e">
        <f t="shared" si="4"/>
        <v>#N/A</v>
      </c>
      <c r="D59" s="26">
        <f t="shared" si="5"/>
        <v>2387</v>
      </c>
    </row>
    <row r="60" spans="1:10" x14ac:dyDescent="0.2">
      <c r="A60" t="s">
        <v>100</v>
      </c>
      <c r="B60" s="9" cm="1">
        <f t="array" ref="B60">SUMPRODUCT(((TEXT(sales[date], "mmm")=A60)*(sales[employee]=employee_selected))*(sales[total]))</f>
        <v>0</v>
      </c>
      <c r="C60" s="26" t="e">
        <f t="shared" si="4"/>
        <v>#N/A</v>
      </c>
      <c r="D60" s="26">
        <f t="shared" si="5"/>
        <v>0</v>
      </c>
    </row>
    <row r="61" spans="1:10" x14ac:dyDescent="0.2">
      <c r="A61" t="s">
        <v>101</v>
      </c>
      <c r="B61" s="9" cm="1">
        <f t="array" ref="B61">SUMPRODUCT(((TEXT(sales[date], "mmm")=A61)*(sales[employee]=employee_selected))*(sales[total]))</f>
        <v>6750</v>
      </c>
      <c r="C61" s="26" t="e">
        <f t="shared" si="4"/>
        <v>#N/A</v>
      </c>
      <c r="D61" s="26">
        <f t="shared" si="5"/>
        <v>6750</v>
      </c>
    </row>
    <row r="62" spans="1:10" x14ac:dyDescent="0.2">
      <c r="A62" t="s">
        <v>102</v>
      </c>
      <c r="B62" s="9" cm="1">
        <f t="array" ref="B62">SUMPRODUCT(((TEXT(sales[date], "mmm")=A62)*(sales[employee]=employee_selected))*(sales[total]))</f>
        <v>0</v>
      </c>
      <c r="C62" s="26" t="e">
        <f t="shared" si="4"/>
        <v>#N/A</v>
      </c>
      <c r="D62" s="26">
        <f t="shared" si="5"/>
        <v>0</v>
      </c>
    </row>
    <row r="63" spans="1:10" x14ac:dyDescent="0.2">
      <c r="A63" t="s">
        <v>103</v>
      </c>
      <c r="B63" s="9" cm="1">
        <f t="array" ref="B63">SUMPRODUCT(((TEXT(sales[date], "mmm")=A63)*(sales[employee]=employee_selected))*(sales[total]))</f>
        <v>2000</v>
      </c>
      <c r="C63" s="26">
        <f t="shared" si="4"/>
        <v>2000</v>
      </c>
      <c r="D63" s="26" t="e">
        <f t="shared" si="5"/>
        <v>#N/A</v>
      </c>
    </row>
    <row r="64" spans="1:10" x14ac:dyDescent="0.2">
      <c r="A64" t="s">
        <v>104</v>
      </c>
      <c r="B64" s="9" cm="1">
        <f t="array" ref="B64">SUMPRODUCT(((TEXT(sales[date], "mmm")=A64)*(sales[employee]=employee_selected))*(sales[total]))</f>
        <v>760</v>
      </c>
      <c r="C64" s="26" t="e">
        <f t="shared" si="4"/>
        <v>#N/A</v>
      </c>
      <c r="D64" s="26">
        <f t="shared" si="5"/>
        <v>760</v>
      </c>
    </row>
    <row r="65" spans="1:4" x14ac:dyDescent="0.2">
      <c r="A65" t="s">
        <v>105</v>
      </c>
      <c r="B65" s="9" cm="1">
        <f t="array" ref="B65">SUMPRODUCT(((TEXT(sales[date], "mmm")=A65)*(sales[employee]=employee_selected))*(sales[total]))</f>
        <v>13590</v>
      </c>
      <c r="C65" s="26" t="e">
        <f t="shared" si="4"/>
        <v>#N/A</v>
      </c>
      <c r="D65" s="26">
        <f t="shared" si="5"/>
        <v>13590</v>
      </c>
    </row>
    <row r="66" spans="1:4" x14ac:dyDescent="0.2">
      <c r="A66" t="s">
        <v>106</v>
      </c>
      <c r="B66" s="9" cm="1">
        <f t="array" ref="B66">SUMPRODUCT(((TEXT(sales[date], "mmm")=A66)*(sales[employee]=employee_selected))*(sales[total]))</f>
        <v>6340</v>
      </c>
      <c r="C66" s="26" t="e">
        <f t="shared" si="4"/>
        <v>#N/A</v>
      </c>
      <c r="D66" s="26">
        <f t="shared" si="5"/>
        <v>6340</v>
      </c>
    </row>
    <row r="67" spans="1:4" x14ac:dyDescent="0.2">
      <c r="A67" t="s">
        <v>107</v>
      </c>
      <c r="B67" s="9" cm="1">
        <f t="array" ref="B67">SUMPRODUCT(((TEXT(sales[date], "mmm")=A67)*(sales[employee]=employee_selected))*(sales[total]))</f>
        <v>729</v>
      </c>
      <c r="C67" s="26" t="e">
        <f t="shared" si="4"/>
        <v>#N/A</v>
      </c>
      <c r="D67" s="26">
        <f t="shared" si="5"/>
        <v>729</v>
      </c>
    </row>
    <row r="68" spans="1:4" x14ac:dyDescent="0.2">
      <c r="A68" t="s">
        <v>94</v>
      </c>
      <c r="B68" s="5">
        <f>SUM(B56:B67)</f>
        <v>39803</v>
      </c>
    </row>
  </sheetData>
  <sortState xmlns:xlrd2="http://schemas.microsoft.com/office/spreadsheetml/2017/richdata2" ref="A24:C33">
    <sortCondition ref="B25:B33"/>
  </sortState>
  <mergeCells count="5">
    <mergeCell ref="A1:H1"/>
    <mergeCell ref="A7:C7"/>
    <mergeCell ref="A21:D21"/>
    <mergeCell ref="F22:G22"/>
    <mergeCell ref="H57:J57"/>
  </mergeCells>
  <phoneticPr fontId="25"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KPIs Dashboard Sales</vt:lpstr>
      <vt:lpstr>Sales_db</vt:lpstr>
      <vt:lpstr>Inventory_db</vt:lpstr>
      <vt:lpstr>Employees_db</vt:lpstr>
      <vt:lpstr>Total_sales_product</vt:lpstr>
      <vt:lpstr>1. Sales_analysis</vt:lpstr>
      <vt:lpstr>2.Inventory admin</vt:lpstr>
      <vt:lpstr>3. Employee performance</vt:lpstr>
      <vt:lpstr>best_employee</vt:lpstr>
      <vt:lpstr>day_highest_sales</vt:lpstr>
      <vt:lpstr>employee_highest_sales</vt:lpstr>
      <vt:lpstr>employee_selected</vt:lpstr>
      <vt:lpstr>max_sales</vt:lpstr>
      <vt:lpstr>month_selected</vt:lpstr>
      <vt:lpstr>total_sales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Natalia Valero</cp:lastModifiedBy>
  <cp:revision/>
  <dcterms:created xsi:type="dcterms:W3CDTF">2025-01-29T19:30:30Z</dcterms:created>
  <dcterms:modified xsi:type="dcterms:W3CDTF">2025-02-13T22:00:36Z</dcterms:modified>
  <cp:category/>
  <cp:contentStatus/>
</cp:coreProperties>
</file>