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atalie/Documents/_DA_course/finalProject_/Isar/data/Sylvensteinspeicher/fluesse-wasserstand/"/>
    </mc:Choice>
  </mc:AlternateContent>
  <xr:revisionPtr revIDLastSave="0" documentId="13_ncr:1_{4DA3312E-7466-4442-8344-BCACF9B88939}" xr6:coauthVersionLast="47" xr6:coauthVersionMax="47" xr10:uidLastSave="{00000000-0000-0000-0000-000000000000}"/>
  <bookViews>
    <workbookView xWindow="0" yWindow="780" windowWidth="30240" windowHeight="17280" firstSheet="1" activeTab="9" xr2:uid="{1E0E951D-6C0E-40C1-A206-79469257C87A}"/>
  </bookViews>
  <sheets>
    <sheet name="Einnahmen" sheetId="1" r:id="rId1"/>
    <sheet name="Urlaube25" sheetId="18" r:id="rId2"/>
    <sheet name="Notgroschen" sheetId="4" r:id="rId3"/>
    <sheet name="Ausgaben" sheetId="2" r:id="rId4"/>
    <sheet name="Geschenke" sheetId="26" r:id="rId5"/>
    <sheet name="HobbiesKinder √" sheetId="25" r:id="rId6"/>
    <sheet name="ToDos" sheetId="24" r:id="rId7"/>
    <sheet name="Kleidung" sheetId="27" r:id="rId8"/>
    <sheet name="50-30-20 √" sheetId="23" r:id="rId9"/>
    <sheet name="VersicherungenJahresbeiträge √" sheetId="20" r:id="rId10"/>
    <sheet name="einsparen" sheetId="21" r:id="rId11"/>
    <sheet name="Steuerrückzahlungen" sheetId="19" r:id="rId12"/>
    <sheet name="EssenSpezial √" sheetId="16" r:id="rId13"/>
    <sheet name="AuslagenErbe" sheetId="7" r:id="rId14"/>
    <sheet name="JahresausgabenBudgets" sheetId="3" r:id="rId15"/>
    <sheet name="FüllungBildungsetatUndAusland" sheetId="12" r:id="rId16"/>
    <sheet name="HochrechnungHaushalt" sheetId="13" state="hidden" r:id="rId17"/>
    <sheet name="AufteilungZahlung23" sheetId="14" r:id="rId18"/>
    <sheet name="Tabelle1" sheetId="28"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0" l="1"/>
  <c r="B21" i="26"/>
  <c r="F60" i="2"/>
  <c r="E65" i="2" s="1"/>
  <c r="F64" i="2"/>
  <c r="B36" i="2"/>
  <c r="F62" i="2"/>
  <c r="I7" i="26"/>
  <c r="F14" i="2"/>
  <c r="I14" i="26"/>
  <c r="I4" i="26"/>
  <c r="I5" i="26"/>
  <c r="I6" i="26"/>
  <c r="I8" i="26"/>
  <c r="I9" i="26"/>
  <c r="I10" i="26"/>
  <c r="I11" i="26"/>
  <c r="I12" i="26"/>
  <c r="I3" i="26"/>
  <c r="F63" i="2"/>
  <c r="F59" i="2"/>
  <c r="F55" i="2"/>
  <c r="F56" i="2" s="1"/>
  <c r="E66" i="2" l="1"/>
  <c r="I7" i="2"/>
  <c r="I6" i="2"/>
  <c r="B6" i="2" s="1"/>
  <c r="D16" i="19"/>
  <c r="C18" i="19"/>
  <c r="E18" i="19" s="1"/>
  <c r="B18" i="19"/>
  <c r="C16" i="19"/>
  <c r="B16" i="19"/>
  <c r="B17" i="19"/>
  <c r="N13" i="1"/>
  <c r="C34" i="20"/>
  <c r="C35" i="20" s="1"/>
  <c r="B34" i="20"/>
  <c r="B35" i="20"/>
  <c r="B28" i="20"/>
  <c r="B33" i="20"/>
  <c r="C22" i="20"/>
  <c r="C23" i="20"/>
  <c r="C25" i="20"/>
  <c r="C26" i="20"/>
  <c r="B24" i="20"/>
  <c r="C21" i="20"/>
  <c r="L1" i="1"/>
  <c r="K3" i="1"/>
  <c r="B37" i="19"/>
  <c r="D35" i="19" s="1"/>
  <c r="D31" i="19"/>
  <c r="B33" i="19"/>
  <c r="B31" i="19"/>
  <c r="B28" i="19"/>
  <c r="D26" i="19" s="1"/>
  <c r="B26" i="19"/>
  <c r="C20" i="19"/>
  <c r="C22" i="19" s="1"/>
  <c r="E22" i="19" s="1"/>
  <c r="B21" i="19"/>
  <c r="B20" i="19"/>
  <c r="B22" i="19" s="1"/>
  <c r="D20" i="19" s="1"/>
  <c r="Q2" i="2"/>
  <c r="N10" i="2"/>
  <c r="N46" i="2"/>
  <c r="N42" i="2"/>
  <c r="M39" i="2"/>
  <c r="N35" i="2"/>
  <c r="N33" i="2"/>
  <c r="M8" i="2"/>
  <c r="M6" i="2"/>
  <c r="M5" i="2"/>
  <c r="N3" i="2"/>
  <c r="M3" i="2"/>
  <c r="P50" i="2" l="1"/>
  <c r="C26" i="19"/>
  <c r="C6" i="1"/>
  <c r="F48" i="2" s="1"/>
  <c r="F7" i="26"/>
  <c r="H7" i="26"/>
  <c r="H6" i="26"/>
  <c r="G6" i="26"/>
  <c r="F6" i="26"/>
  <c r="J3" i="1"/>
  <c r="K1" i="1"/>
  <c r="F22" i="2"/>
  <c r="I4" i="1"/>
  <c r="I6" i="1" s="1"/>
  <c r="J4" i="1"/>
  <c r="J6" i="1" s="1"/>
  <c r="H47" i="2" s="1"/>
  <c r="I5" i="1"/>
  <c r="J5" i="1"/>
  <c r="C20" i="20"/>
  <c r="C19" i="20"/>
  <c r="C17" i="20"/>
  <c r="C16" i="20"/>
  <c r="C15" i="20"/>
  <c r="C14" i="20"/>
  <c r="P6" i="1"/>
  <c r="E4" i="1"/>
  <c r="E6" i="1" s="1"/>
  <c r="D18" i="1"/>
  <c r="D21" i="1" s="1"/>
  <c r="D22" i="1" s="1"/>
  <c r="D20" i="26"/>
  <c r="J20" i="1"/>
  <c r="I27" i="1"/>
  <c r="J23" i="1"/>
  <c r="J22" i="1"/>
  <c r="D29" i="1"/>
  <c r="G14" i="2"/>
  <c r="B8" i="27"/>
  <c r="C8" i="27"/>
  <c r="F30" i="2"/>
  <c r="B6" i="27"/>
  <c r="B7" i="27"/>
  <c r="D6" i="26"/>
  <c r="D7" i="26"/>
  <c r="D13" i="26"/>
  <c r="D14" i="26"/>
  <c r="D15" i="26"/>
  <c r="C7" i="27"/>
  <c r="B4" i="27"/>
  <c r="D2" i="26"/>
  <c r="B13" i="26"/>
  <c r="B14" i="26"/>
  <c r="E5" i="25"/>
  <c r="E9" i="25" s="1"/>
  <c r="D7" i="25"/>
  <c r="D5" i="25"/>
  <c r="B5" i="25"/>
  <c r="L39" i="2"/>
  <c r="B19" i="23"/>
  <c r="B6" i="23"/>
  <c r="F27" i="2"/>
  <c r="B7" i="21"/>
  <c r="B6" i="21"/>
  <c r="B5" i="21"/>
  <c r="C4" i="21"/>
  <c r="B4" i="21" s="1"/>
  <c r="B3" i="21"/>
  <c r="B2" i="21"/>
  <c r="C2" i="21" s="1"/>
  <c r="C16" i="21" s="1"/>
  <c r="K6" i="16"/>
  <c r="B10" i="20"/>
  <c r="B11" i="2" s="1"/>
  <c r="B29" i="20"/>
  <c r="E13" i="19"/>
  <c r="C13" i="19"/>
  <c r="B13" i="19"/>
  <c r="D11" i="19"/>
  <c r="E7" i="19"/>
  <c r="C7" i="19"/>
  <c r="B7" i="19"/>
  <c r="D5" i="19"/>
  <c r="I27" i="16"/>
  <c r="E5" i="1"/>
  <c r="E8" i="1"/>
  <c r="B19" i="16"/>
  <c r="G24" i="16"/>
  <c r="G27" i="16"/>
  <c r="G17" i="16"/>
  <c r="G16" i="16"/>
  <c r="G14" i="16"/>
  <c r="G11" i="16"/>
  <c r="G10" i="16"/>
  <c r="G9" i="16"/>
  <c r="G8" i="16"/>
  <c r="G6" i="16"/>
  <c r="G5" i="16"/>
  <c r="G4" i="16"/>
  <c r="G3" i="16"/>
  <c r="C8" i="16"/>
  <c r="B6" i="16"/>
  <c r="B24" i="16"/>
  <c r="B22" i="16"/>
  <c r="B13" i="16"/>
  <c r="B7" i="16"/>
  <c r="B5" i="16"/>
  <c r="B4" i="16"/>
  <c r="B3" i="16"/>
  <c r="D6" i="1"/>
  <c r="D10" i="1" s="1"/>
  <c r="G11" i="18"/>
  <c r="J19" i="1"/>
  <c r="J24" i="1" s="1"/>
  <c r="G18" i="16"/>
  <c r="H11" i="16"/>
  <c r="B8" i="16"/>
  <c r="B26" i="16"/>
  <c r="I28" i="16"/>
  <c r="I29" i="16"/>
  <c r="B31" i="16"/>
  <c r="B33" i="16"/>
  <c r="B35" i="16"/>
  <c r="B36" i="16"/>
  <c r="H14" i="3"/>
  <c r="K1" i="3"/>
  <c r="J2" i="3"/>
  <c r="B3" i="14"/>
  <c r="B1" i="14"/>
  <c r="B6" i="14"/>
  <c r="B9" i="14"/>
  <c r="B11" i="14"/>
  <c r="B34" i="3"/>
  <c r="B33" i="3"/>
  <c r="C32" i="3"/>
  <c r="B32" i="3"/>
  <c r="H30" i="3"/>
  <c r="O22" i="3"/>
  <c r="O21" i="3"/>
  <c r="O20" i="3"/>
  <c r="F31" i="3"/>
  <c r="H33" i="3"/>
  <c r="H34" i="3"/>
  <c r="H28" i="3"/>
  <c r="F29" i="3"/>
  <c r="B31" i="3"/>
  <c r="C31" i="3"/>
  <c r="C29" i="3"/>
  <c r="B29" i="3"/>
  <c r="C30" i="3"/>
  <c r="B30" i="3"/>
  <c r="J7" i="3"/>
  <c r="N23" i="3"/>
  <c r="I6" i="3"/>
  <c r="M32" i="3"/>
  <c r="M31" i="3"/>
  <c r="M29" i="3"/>
  <c r="M4" i="3"/>
  <c r="J6" i="3"/>
  <c r="H12" i="3"/>
  <c r="H9" i="3"/>
  <c r="J13" i="3"/>
  <c r="I7" i="3"/>
  <c r="H18" i="3"/>
  <c r="F18" i="3"/>
  <c r="M30" i="3"/>
  <c r="M35" i="3"/>
  <c r="H13" i="3"/>
  <c r="M34" i="3"/>
  <c r="O33" i="3"/>
  <c r="O32" i="3"/>
  <c r="N13" i="3"/>
  <c r="N11" i="3"/>
  <c r="N10" i="3"/>
  <c r="N17" i="3"/>
  <c r="M13" i="3"/>
  <c r="L13" i="3"/>
  <c r="L12" i="3"/>
  <c r="Q14" i="3"/>
  <c r="R4" i="3"/>
  <c r="R9" i="3"/>
  <c r="M11" i="3"/>
  <c r="M10" i="3"/>
  <c r="M19" i="3"/>
  <c r="O2" i="3"/>
  <c r="F3" i="1"/>
  <c r="G3" i="1"/>
  <c r="H8" i="1"/>
  <c r="H3" i="1"/>
  <c r="J3" i="3"/>
  <c r="J14" i="3"/>
  <c r="O34" i="3"/>
  <c r="M17" i="3"/>
  <c r="M20" i="3"/>
  <c r="M23" i="3"/>
  <c r="N24" i="3"/>
  <c r="J7" i="2"/>
  <c r="B42" i="2"/>
  <c r="F42" i="2" s="1"/>
  <c r="G45" i="2" s="1"/>
  <c r="C13" i="3"/>
  <c r="F13" i="3"/>
  <c r="B9" i="13"/>
  <c r="B10" i="13"/>
  <c r="B11" i="13"/>
  <c r="B8" i="13"/>
  <c r="B6" i="13"/>
  <c r="B5" i="13"/>
  <c r="E15" i="12"/>
  <c r="D15" i="12"/>
  <c r="C15" i="12"/>
  <c r="F7" i="12"/>
  <c r="D7" i="12"/>
  <c r="F9" i="12"/>
  <c r="F10" i="12"/>
  <c r="F11" i="12"/>
  <c r="D9" i="12"/>
  <c r="D10" i="12"/>
  <c r="D11" i="12"/>
  <c r="C6" i="12"/>
  <c r="C11" i="7"/>
  <c r="F39" i="2"/>
  <c r="F5" i="2"/>
  <c r="G5" i="2" s="1"/>
  <c r="J6" i="2"/>
  <c r="J8" i="2"/>
  <c r="F1" i="2"/>
  <c r="G1" i="2" s="1"/>
  <c r="F14" i="3"/>
  <c r="C14" i="3"/>
  <c r="C15" i="3"/>
  <c r="B6" i="1"/>
  <c r="B10" i="1"/>
  <c r="B11" i="1"/>
  <c r="B9" i="1"/>
  <c r="B7" i="1"/>
  <c r="B12" i="1"/>
  <c r="B10" i="2" l="1"/>
  <c r="G11" i="2"/>
  <c r="F8" i="2"/>
  <c r="B5" i="23"/>
  <c r="F32" i="2"/>
  <c r="G35" i="2" s="1"/>
  <c r="D9" i="1"/>
  <c r="E9" i="1" s="1"/>
  <c r="D7" i="1"/>
  <c r="D11" i="1"/>
  <c r="E11" i="1" s="1"/>
  <c r="E7" i="1"/>
  <c r="G48" i="2"/>
  <c r="E10" i="1"/>
  <c r="D12" i="1"/>
  <c r="E12" i="1" s="1"/>
  <c r="I9" i="1"/>
  <c r="I10" i="1"/>
  <c r="I7" i="1"/>
  <c r="I11" i="1"/>
  <c r="F6" i="1"/>
  <c r="B8" i="23"/>
  <c r="C7" i="1"/>
  <c r="C28" i="19"/>
  <c r="E28" i="19" s="1"/>
  <c r="C31" i="19"/>
  <c r="B16" i="21"/>
  <c r="C28" i="20"/>
  <c r="C29" i="20" s="1"/>
  <c r="N8" i="2" s="1"/>
  <c r="O50" i="2" s="1"/>
  <c r="G10" i="2"/>
  <c r="B4" i="23"/>
  <c r="B12" i="23" s="1"/>
  <c r="B15" i="23" s="1"/>
  <c r="B14" i="23" s="1"/>
  <c r="B12" i="2"/>
  <c r="G12" i="2" s="1"/>
  <c r="F47" i="2" l="1"/>
  <c r="I12" i="1"/>
  <c r="C33" i="19"/>
  <c r="E33" i="19" s="1"/>
  <c r="C35" i="19"/>
  <c r="C37" i="19" s="1"/>
  <c r="E37" i="19" s="1"/>
  <c r="B47" i="2"/>
  <c r="C47" i="2" s="1"/>
  <c r="G19" i="23"/>
  <c r="B13" i="23"/>
  <c r="C12" i="23"/>
  <c r="C13" i="23" s="1"/>
  <c r="C14" i="23" s="1"/>
  <c r="D14" i="23" s="1"/>
  <c r="B7" i="23"/>
  <c r="C4" i="23" s="1"/>
  <c r="G13" i="2"/>
  <c r="B2" i="4" l="1"/>
  <c r="B3" i="4" s="1"/>
  <c r="B7" i="4" s="1"/>
  <c r="F50" i="2"/>
  <c r="H48" i="2"/>
  <c r="H49" i="2" s="1"/>
  <c r="F49" i="2"/>
  <c r="B61" i="2" s="1"/>
  <c r="C2" i="4"/>
  <c r="C3" i="4" s="1"/>
  <c r="C5" i="4" s="1"/>
  <c r="G47" i="2"/>
  <c r="G49" i="2" s="1"/>
  <c r="D12" i="23"/>
  <c r="D15" i="23" s="1"/>
  <c r="G11" i="23"/>
  <c r="F4" i="23"/>
  <c r="G4" i="23" s="1"/>
  <c r="F5" i="23"/>
  <c r="G5" i="23" s="1"/>
  <c r="F6" i="23"/>
  <c r="G6" i="23" s="1"/>
  <c r="D4" i="23"/>
  <c r="C5" i="23"/>
  <c r="D13" i="23"/>
  <c r="B4" i="4" l="1"/>
  <c r="B6" i="4"/>
  <c r="B5" i="4"/>
  <c r="C4" i="4"/>
  <c r="C7" i="4"/>
  <c r="C6" i="4"/>
  <c r="C6" i="23"/>
  <c r="D6" i="23" s="1"/>
  <c r="E6" i="23" s="1"/>
  <c r="D5" i="23"/>
  <c r="E5" i="23" s="1"/>
  <c r="E4" i="23"/>
  <c r="D7" i="23"/>
  <c r="N50" i="2" l="1"/>
  <c r="O51" i="2" s="1"/>
  <c r="P51" i="2" l="1"/>
</calcChain>
</file>

<file path=xl/sharedStrings.xml><?xml version="1.0" encoding="utf-8"?>
<sst xmlns="http://schemas.openxmlformats.org/spreadsheetml/2006/main" count="594" uniqueCount="412">
  <si>
    <t>Einnahmen</t>
  </si>
  <si>
    <t>Juli</t>
  </si>
  <si>
    <t>August - Oktober</t>
  </si>
  <si>
    <t>August-Oktober StKl3</t>
  </si>
  <si>
    <t>mögliche Reduzierung auf 20 Wochenstunden:</t>
  </si>
  <si>
    <t>Lohn = 28€</t>
  </si>
  <si>
    <t>Natalie</t>
  </si>
  <si>
    <t>Manuel</t>
  </si>
  <si>
    <t>3665.36</t>
  </si>
  <si>
    <t xml:space="preserve"> = 80% Steuerklasse IV</t>
  </si>
  <si>
    <t>Kindergeld</t>
  </si>
  <si>
    <t>4118.86</t>
  </si>
  <si>
    <t xml:space="preserve"> = 80% Steuerklasse 3</t>
  </si>
  <si>
    <t>GESAMT:</t>
  </si>
  <si>
    <t>(ohne Kindergeld)</t>
  </si>
  <si>
    <t>50% Fixkosten:</t>
  </si>
  <si>
    <t>30% Freizeit:</t>
  </si>
  <si>
    <t>20% Sparen:</t>
  </si>
  <si>
    <t>Miete</t>
  </si>
  <si>
    <t>fix</t>
  </si>
  <si>
    <t>Lebenshaltungskosten</t>
  </si>
  <si>
    <t>Wohnen:</t>
  </si>
  <si>
    <t>50-30-20 Regelung überprüfen!</t>
  </si>
  <si>
    <t>Strom</t>
  </si>
  <si>
    <t>Jola</t>
  </si>
  <si>
    <t>variabel</t>
  </si>
  <si>
    <t>Essen, Hygiene, Medizin</t>
  </si>
  <si>
    <t>Essen, Drogerie etc.:</t>
  </si>
  <si>
    <t>Jahr</t>
  </si>
  <si>
    <t>monatlich</t>
  </si>
  <si>
    <t>Mobilität</t>
  </si>
  <si>
    <t>MVV:</t>
  </si>
  <si>
    <t>carsharing</t>
  </si>
  <si>
    <t>Krankenversicherung Manuel</t>
  </si>
  <si>
    <t>Versicherungen:</t>
  </si>
  <si>
    <t>amazon</t>
  </si>
  <si>
    <t>Versicherungen</t>
  </si>
  <si>
    <t xml:space="preserve"> - monatlich</t>
  </si>
  <si>
    <t xml:space="preserve"> - jährlich</t>
  </si>
  <si>
    <t>private Rentenversicherung Natalie</t>
  </si>
  <si>
    <t>Sparen/Invest</t>
  </si>
  <si>
    <t>Altersvorsorge:</t>
  </si>
  <si>
    <t>Depot Natalie</t>
  </si>
  <si>
    <t>Tagesgeld risikofreier Teil Natalie</t>
  </si>
  <si>
    <t>Riester Natalie</t>
  </si>
  <si>
    <t>stilllegen, davor umwidmen</t>
  </si>
  <si>
    <t>Depot Manuel</t>
  </si>
  <si>
    <t>pausieren bis Rentenlücke klar</t>
  </si>
  <si>
    <t>Riester Manuel</t>
  </si>
  <si>
    <t>Notgroschen</t>
  </si>
  <si>
    <t>Freizeit</t>
  </si>
  <si>
    <t>Kinder:</t>
  </si>
  <si>
    <t>Taschengeld Manuelín</t>
  </si>
  <si>
    <t xml:space="preserve">Topf "California" inkl. Nachzahlung Manuel </t>
  </si>
  <si>
    <t>Taschengeld Fernando</t>
  </si>
  <si>
    <t>ETF Sparplan Manuelín</t>
  </si>
  <si>
    <t>Abfindung Natalie</t>
  </si>
  <si>
    <t>ETF Sparplan Ferni</t>
  </si>
  <si>
    <t>Steuerrückzahlung 21</t>
  </si>
  <si>
    <t>?</t>
  </si>
  <si>
    <t>Steuerrückzahlung 22</t>
  </si>
  <si>
    <t>eBay-Kleinanzeigen</t>
  </si>
  <si>
    <t>Urlaubskasse</t>
  </si>
  <si>
    <t>Miete Atelier</t>
  </si>
  <si>
    <t>Miete Atelier:</t>
  </si>
  <si>
    <t>Keiderbudget</t>
  </si>
  <si>
    <t>Nebenkosten Atelier</t>
  </si>
  <si>
    <t>Sonderzahlung Manuel</t>
  </si>
  <si>
    <t>Hobbies Natalie</t>
  </si>
  <si>
    <t>Hobbies Natalie:</t>
  </si>
  <si>
    <t>Kleidung</t>
  </si>
  <si>
    <t>Budgets:</t>
  </si>
  <si>
    <t>Urlaub</t>
  </si>
  <si>
    <t>Hobbies Kinder</t>
  </si>
  <si>
    <t>Geschenke</t>
  </si>
  <si>
    <t>Bücher/amazon</t>
  </si>
  <si>
    <t>supplements</t>
  </si>
  <si>
    <t>Norsan</t>
  </si>
  <si>
    <t>Manuel Spaßgeld</t>
  </si>
  <si>
    <t>Spaßgeld:</t>
  </si>
  <si>
    <t>Natalie Spaßgeld</t>
  </si>
  <si>
    <t>Handy-Verträge</t>
  </si>
  <si>
    <t>Sonstiges:</t>
  </si>
  <si>
    <t>GEZ</t>
  </si>
  <si>
    <t>Essen außer Haus (Manuelin, Ferni, Familie)</t>
  </si>
  <si>
    <t>DSL</t>
  </si>
  <si>
    <t>ab 01-24: 34,95 €</t>
  </si>
  <si>
    <t>GESAMTSUMME:</t>
  </si>
  <si>
    <t>EINNAHMEN:</t>
  </si>
  <si>
    <t>DIFFERENZ:</t>
  </si>
  <si>
    <t>ALT</t>
  </si>
  <si>
    <t>Anmerkungen</t>
  </si>
  <si>
    <t>NEU</t>
  </si>
  <si>
    <t>Kindergeburtstage</t>
  </si>
  <si>
    <t>Christina</t>
  </si>
  <si>
    <t>Opa Kurt</t>
  </si>
  <si>
    <t>Waltraud</t>
  </si>
  <si>
    <t>Manuelín</t>
  </si>
  <si>
    <t>150€ Geburtstag, 200 € Weihnachten</t>
  </si>
  <si>
    <t>Hälfte wird investiert</t>
  </si>
  <si>
    <t>Fernando</t>
  </si>
  <si>
    <t>50 € Geburtstag, 200 € Weihnachten</t>
  </si>
  <si>
    <t>Daniel</t>
  </si>
  <si>
    <t>Laura</t>
  </si>
  <si>
    <t>Lena</t>
  </si>
  <si>
    <t>abuela, hermanas</t>
  </si>
  <si>
    <t>SUMME:</t>
  </si>
  <si>
    <t>monatlich:</t>
  </si>
  <si>
    <t>Diff</t>
  </si>
  <si>
    <t>Hobbies</t>
  </si>
  <si>
    <t>Fußballverein</t>
  </si>
  <si>
    <t>Gym</t>
  </si>
  <si>
    <t>Volleyballverein</t>
  </si>
  <si>
    <t>Summe:</t>
  </si>
  <si>
    <t>Klavier</t>
  </si>
  <si>
    <t>breaken</t>
  </si>
  <si>
    <t>ToDos:</t>
  </si>
  <si>
    <t>offene Fragen:</t>
  </si>
  <si>
    <t>Was machen wir mit Neuanschaffungen von höherem Wert, z.B. Fahrräder? Woher nehmen wir das Geld für Reparaturen (Notgroschen? Dann muss die Einzahlung monatlich größer sein, als im Durchschnitt jährlich ausgegeben wird. Ansonsten schrumpft der Notgroschen</t>
  </si>
  <si>
    <t>tatsächlich 23</t>
  </si>
  <si>
    <t>Budget 24</t>
  </si>
  <si>
    <t>eher noch 150€: 650 €</t>
  </si>
  <si>
    <t>Manuelín*</t>
  </si>
  <si>
    <t>Fernando**</t>
  </si>
  <si>
    <t>SUMMEN:</t>
  </si>
  <si>
    <t>* hat mehr ausgegeben als Budget: erfragen!</t>
  </si>
  <si>
    <t>** Manuel ergänzt, Natalie auch noch (amazon)</t>
  </si>
  <si>
    <t>tatsächliche prozentuale Aufteilung</t>
  </si>
  <si>
    <t>Summen</t>
  </si>
  <si>
    <t>%</t>
  </si>
  <si>
    <t>mit dem, was wir haben:</t>
  </si>
  <si>
    <t>Diff:</t>
  </si>
  <si>
    <t>GESAMT</t>
  </si>
  <si>
    <t>Einnahmen aktuell:</t>
  </si>
  <si>
    <t>Optimum income (4.227,23 € = 50%)</t>
  </si>
  <si>
    <t>Fehlen aktuell:</t>
  </si>
  <si>
    <t>bei gleichem Verdienst:</t>
  </si>
  <si>
    <t>fehlen:</t>
  </si>
  <si>
    <t>Lebensversicherung N</t>
  </si>
  <si>
    <t>BU Natalie</t>
  </si>
  <si>
    <t>BU Manuel 1</t>
  </si>
  <si>
    <t>BU Manuel 2</t>
  </si>
  <si>
    <t>Kinder Zusatz</t>
  </si>
  <si>
    <t>jährlich:</t>
  </si>
  <si>
    <t>Lebensversicherung M</t>
  </si>
  <si>
    <t>√</t>
  </si>
  <si>
    <t>ADAC Auslandsschutz</t>
  </si>
  <si>
    <t>Haftpflicht</t>
  </si>
  <si>
    <t>Rechtsschutz</t>
  </si>
  <si>
    <t>Zusatz Natalie</t>
  </si>
  <si>
    <t>Unfall Kinder</t>
  </si>
  <si>
    <t>Reiserücktritt</t>
  </si>
  <si>
    <t>Hausrat</t>
  </si>
  <si>
    <t>jährlich</t>
  </si>
  <si>
    <t>disney+</t>
  </si>
  <si>
    <t>kündigen</t>
  </si>
  <si>
    <t>asap</t>
  </si>
  <si>
    <t>BU M</t>
  </si>
  <si>
    <t>netflix</t>
  </si>
  <si>
    <t>ab Oktober 2023</t>
  </si>
  <si>
    <t>spotify</t>
  </si>
  <si>
    <t>SZ Plus</t>
  </si>
  <si>
    <t>Summe</t>
  </si>
  <si>
    <t>Steuerrückzahlungen</t>
  </si>
  <si>
    <t>Einkommen</t>
  </si>
  <si>
    <t>bezahlte Steuern:</t>
  </si>
  <si>
    <t>zu versteuerndes Einkommen</t>
  </si>
  <si>
    <t>Natalie:</t>
  </si>
  <si>
    <t>Manuelín:</t>
  </si>
  <si>
    <t>Smoothie</t>
  </si>
  <si>
    <t>Shake</t>
  </si>
  <si>
    <t>Kokosjoghurt:</t>
  </si>
  <si>
    <t>Magerquark</t>
  </si>
  <si>
    <t>tiefgefrorene Mango:</t>
  </si>
  <si>
    <t>Erdnussbutter</t>
  </si>
  <si>
    <t>Limetten</t>
  </si>
  <si>
    <t>Bananen</t>
  </si>
  <si>
    <t>Rucola</t>
  </si>
  <si>
    <t>Haferflocken</t>
  </si>
  <si>
    <t>Gurke</t>
  </si>
  <si>
    <t>pro Smoothie:</t>
  </si>
  <si>
    <t>Honig</t>
  </si>
  <si>
    <t>Milch</t>
  </si>
  <si>
    <t>Kreatin</t>
  </si>
  <si>
    <t>mass-gainer</t>
  </si>
  <si>
    <t>Fleisch &amp; Fisch</t>
  </si>
  <si>
    <t>Hackfleisch</t>
  </si>
  <si>
    <t>Hühnchen</t>
  </si>
  <si>
    <t>Steak</t>
  </si>
  <si>
    <t>Fisch</t>
  </si>
  <si>
    <t>Gambas</t>
  </si>
  <si>
    <t>pata negra</t>
  </si>
  <si>
    <t>Lachs</t>
  </si>
  <si>
    <t>Sonstiges</t>
  </si>
  <si>
    <t>Obst &amp; Gemüse</t>
  </si>
  <si>
    <t>Riegel</t>
  </si>
  <si>
    <t>Heidelbeeren</t>
  </si>
  <si>
    <t>Reis</t>
  </si>
  <si>
    <t>Nudeln</t>
  </si>
  <si>
    <t>Zusatz</t>
  </si>
  <si>
    <t>neuer Betrag:</t>
  </si>
  <si>
    <t>plus Schulgeld:</t>
  </si>
  <si>
    <t>pro Monat</t>
  </si>
  <si>
    <t>vom Erbe bezahlt:</t>
  </si>
  <si>
    <t>Ausgaben von meinem Erbe für die Familie</t>
  </si>
  <si>
    <t>Was?</t>
  </si>
  <si>
    <t>Wann?</t>
  </si>
  <si>
    <t>Wie viel?</t>
  </si>
  <si>
    <t>für wen?</t>
  </si>
  <si>
    <t>Kommentar</t>
  </si>
  <si>
    <t>Führerschein</t>
  </si>
  <si>
    <t>ca.-Betrag, gesonderte Excel-Tabelle mit konkreter Aufstellung</t>
  </si>
  <si>
    <t>IKEA Schränke</t>
  </si>
  <si>
    <t>beide, Kinder</t>
  </si>
  <si>
    <t>später aufteilen</t>
  </si>
  <si>
    <t>Frau Knapp</t>
  </si>
  <si>
    <t>n.a.</t>
  </si>
  <si>
    <t>Stereoanlage</t>
  </si>
  <si>
    <t>gehört mir</t>
  </si>
  <si>
    <t>Urlaub Italien Zuschuss</t>
  </si>
  <si>
    <t>Familie</t>
  </si>
  <si>
    <t>Manuelin</t>
  </si>
  <si>
    <t>Überweisung auf Konto, damit Sparbetrag angemessen, Höhe unklar!</t>
  </si>
  <si>
    <t>Manuelín Auffüllung Konto</t>
  </si>
  <si>
    <t>Urlaub Kroatien</t>
  </si>
  <si>
    <t>Schränke</t>
  </si>
  <si>
    <t>tatsächlich</t>
  </si>
  <si>
    <t>Weihnachten plus</t>
  </si>
  <si>
    <t>Weihnachten REWE Bestellung</t>
  </si>
  <si>
    <t>Einzelposten</t>
  </si>
  <si>
    <t>Italien o. Ä.</t>
  </si>
  <si>
    <t>Essen</t>
  </si>
  <si>
    <t>Spanien</t>
  </si>
  <si>
    <t>Baum</t>
  </si>
  <si>
    <t>1 Städtereise</t>
  </si>
  <si>
    <t>Manuel Geb</t>
  </si>
  <si>
    <t>Überw. Manuelin</t>
  </si>
  <si>
    <t>Manuelin Geb</t>
  </si>
  <si>
    <t>Überw. Fernando</t>
  </si>
  <si>
    <t>Silvester Ausflug</t>
  </si>
  <si>
    <t>Manuel supplements</t>
  </si>
  <si>
    <t>(Zuzahlung zum Lasergerät)</t>
  </si>
  <si>
    <t>Jacke Fernando+Strümpfe</t>
  </si>
  <si>
    <t>snowboard</t>
  </si>
  <si>
    <t>abuelos, hermanas</t>
  </si>
  <si>
    <t>REWE-Bestellung:</t>
  </si>
  <si>
    <t>Rückzahlung über comdirect</t>
  </si>
  <si>
    <t>SUMMe:</t>
  </si>
  <si>
    <t>DM-Bestellung:</t>
  </si>
  <si>
    <t>monatl. Kosten</t>
  </si>
  <si>
    <t>für Dez. 2022:</t>
  </si>
  <si>
    <t>Kontostand:</t>
  </si>
  <si>
    <t>alt</t>
  </si>
  <si>
    <t>übrig:</t>
  </si>
  <si>
    <t>"California"</t>
  </si>
  <si>
    <t>Geschenke-Investment:</t>
  </si>
  <si>
    <t>noch offen:</t>
  </si>
  <si>
    <t>für Spanienflüge:</t>
  </si>
  <si>
    <t>Eigenanteil</t>
  </si>
  <si>
    <t>Familienbudget</t>
  </si>
  <si>
    <t>Kontostand 16.12.2022:</t>
  </si>
  <si>
    <t>Weihnachtsgeld abuela</t>
  </si>
  <si>
    <t>Ostern</t>
  </si>
  <si>
    <t>im Dez anfallende Kosten:</t>
  </si>
  <si>
    <t>Kinder</t>
  </si>
  <si>
    <t>Manuel Coaching</t>
  </si>
  <si>
    <t>Fleisch</t>
  </si>
  <si>
    <t>Sonderzahlung Natalie</t>
  </si>
  <si>
    <t>Sommer</t>
  </si>
  <si>
    <t>Überweisungen Kinder:</t>
  </si>
  <si>
    <t>offen</t>
  </si>
  <si>
    <t>Alpenhof Königssee</t>
  </si>
  <si>
    <t>Ausflug Sylvester/Weihnachten:</t>
  </si>
  <si>
    <t>überwiesen Depot</t>
  </si>
  <si>
    <t>Anzahlung mobile home</t>
  </si>
  <si>
    <t>Jola Rechnung:</t>
  </si>
  <si>
    <t>Girokonto</t>
  </si>
  <si>
    <t>Coaching Manuelín:</t>
  </si>
  <si>
    <t>Verrechnungskonto</t>
  </si>
  <si>
    <t>bleiben übrig:</t>
  </si>
  <si>
    <t>ohne Coaching:</t>
  </si>
  <si>
    <t>Anreise</t>
  </si>
  <si>
    <t>Unterkunft*</t>
  </si>
  <si>
    <t>Extras</t>
  </si>
  <si>
    <t>*wenn keine Koste für Unterkunft, dann Geschenke</t>
  </si>
  <si>
    <t>income</t>
  </si>
  <si>
    <t>Urlaub 2024 und 2025</t>
  </si>
  <si>
    <t>Fernando Ferienbetreuung</t>
  </si>
  <si>
    <t>Fasching</t>
  </si>
  <si>
    <t>Pfingsten</t>
  </si>
  <si>
    <t>Berghof</t>
  </si>
  <si>
    <t>Herbst</t>
  </si>
  <si>
    <t>Weihnachten</t>
  </si>
  <si>
    <t>Polarlichter</t>
  </si>
  <si>
    <t>Einmalzahlung</t>
  </si>
  <si>
    <t>monatliche Sparrate</t>
  </si>
  <si>
    <t>3 x Monatsausgaben</t>
  </si>
  <si>
    <t>6 x Monatsausgaben</t>
  </si>
  <si>
    <t>Mindesthöhe</t>
  </si>
  <si>
    <t>Stand 21.11.2022</t>
  </si>
  <si>
    <t>Plan Aufbau Auslandsaufenthalt und Bildungsetat</t>
  </si>
  <si>
    <t>Ausland</t>
  </si>
  <si>
    <t>Bildung</t>
  </si>
  <si>
    <t>Stand aktuell:</t>
  </si>
  <si>
    <t>Ziel:</t>
  </si>
  <si>
    <t>(letzteres verteilt auf 2020 und 2021)</t>
  </si>
  <si>
    <t>Monate</t>
  </si>
  <si>
    <t>Einzahlung Juni-August</t>
  </si>
  <si>
    <t>Rate für die restlichen Monate</t>
  </si>
  <si>
    <t>Einnahmen durch Business - Modellrechnung</t>
  </si>
  <si>
    <t>davon 20% in Humankapital</t>
  </si>
  <si>
    <t>Haushaltskonto Hochrechnung pro Monat:</t>
  </si>
  <si>
    <t>Plan B</t>
  </si>
  <si>
    <t>Hello Fresh</t>
  </si>
  <si>
    <t>Schule Manuelin:</t>
  </si>
  <si>
    <t>Pausenbrot Joker</t>
  </si>
  <si>
    <t>Taschengeld Ferni</t>
  </si>
  <si>
    <t>Nachhilfe Manuelin</t>
  </si>
  <si>
    <t>bleiben von 1050 übrig:</t>
  </si>
  <si>
    <t>bedeutet ca. pro Woche</t>
  </si>
  <si>
    <t>übrig</t>
  </si>
  <si>
    <t>abuela</t>
  </si>
  <si>
    <t>Nachzahlung Natalie</t>
  </si>
  <si>
    <t>Papa</t>
  </si>
  <si>
    <t>Kleidung:</t>
  </si>
  <si>
    <t>noch zu überweisen:</t>
  </si>
  <si>
    <t>Kleidergeld</t>
  </si>
  <si>
    <t>880 € Manuelín</t>
  </si>
  <si>
    <t>Summe Überweisung:</t>
  </si>
  <si>
    <t>Natalie, Manuel</t>
  </si>
  <si>
    <t>siehe Tabelle!</t>
  </si>
  <si>
    <t>Kontostand 03.01.:</t>
  </si>
  <si>
    <t>von Steuerberaterin errechnet:</t>
  </si>
  <si>
    <t>tatsächlich:</t>
  </si>
  <si>
    <t>budgetiert</t>
  </si>
  <si>
    <t>gemeinsam:</t>
  </si>
  <si>
    <t xml:space="preserve"> - Urlaub neu</t>
  </si>
  <si>
    <t xml:space="preserve"> - Rentenlücken berechnen</t>
  </si>
  <si>
    <t xml:space="preserve"> - Notgroschenbetrag festlegen und Dauerauftrag</t>
  </si>
  <si>
    <t>monatl. 36 Monate</t>
  </si>
  <si>
    <t>monatl. 12 Monate</t>
  </si>
  <si>
    <t>monatl. 24 Monate</t>
  </si>
  <si>
    <t>monatl. 48 Monate</t>
  </si>
  <si>
    <t>ca. 4.000</t>
  </si>
  <si>
    <t>Einmalig "Töpfe"</t>
  </si>
  <si>
    <t>mit Steuer 2022 ca.</t>
  </si>
  <si>
    <t>Invest:</t>
  </si>
  <si>
    <t>Küche</t>
  </si>
  <si>
    <t>Urlaub 24+25</t>
  </si>
  <si>
    <t xml:space="preserve"> + Rückzahlung 2022</t>
  </si>
  <si>
    <t>Urlaub 23 + Geschenke</t>
  </si>
  <si>
    <t>Geschenke 2024</t>
  </si>
  <si>
    <t>Kleider 2024</t>
  </si>
  <si>
    <t>ALG I ab Oktober</t>
  </si>
  <si>
    <t>Lohnst.kl. V</t>
  </si>
  <si>
    <t>Lohnst.kl. III</t>
  </si>
  <si>
    <t>Bedarf Rente:</t>
  </si>
  <si>
    <t>Rente:</t>
  </si>
  <si>
    <t>ALG I Nov.</t>
  </si>
  <si>
    <t>Geb</t>
  </si>
  <si>
    <t>Weih</t>
  </si>
  <si>
    <t>Natalie für Rentenlückenberechnung</t>
  </si>
  <si>
    <t>Notgroschen:</t>
  </si>
  <si>
    <t>Enkelkinder:</t>
  </si>
  <si>
    <t>Hobbies:</t>
  </si>
  <si>
    <t>priv. Arztkosten</t>
  </si>
  <si>
    <t>Handy, Internet:</t>
  </si>
  <si>
    <t>GEZ:</t>
  </si>
  <si>
    <t>Essen außer Haus:</t>
  </si>
  <si>
    <t>Urlaub:</t>
  </si>
  <si>
    <t>Standard oder Luxus?</t>
  </si>
  <si>
    <t>Standard</t>
  </si>
  <si>
    <t>Luxus</t>
  </si>
  <si>
    <t>Halb, halb</t>
  </si>
  <si>
    <t>luxus</t>
  </si>
  <si>
    <t>Standard:</t>
  </si>
  <si>
    <t>Luxus:</t>
  </si>
  <si>
    <t>Krankenversicherung:</t>
  </si>
  <si>
    <t>Anfangsrate:</t>
  </si>
  <si>
    <t>Rentenlücke ohne Miete berechnen!</t>
  </si>
  <si>
    <t>Antivirus</t>
  </si>
  <si>
    <t>Philolog*innen Verband</t>
  </si>
  <si>
    <t>Stattauto</t>
  </si>
  <si>
    <t>ADAC Plus</t>
  </si>
  <si>
    <t>Turnerbund Manuelín</t>
  </si>
  <si>
    <t>TSV Basketball Fernando</t>
  </si>
  <si>
    <t>MS Office 365</t>
  </si>
  <si>
    <t>breaken Fernando</t>
  </si>
  <si>
    <t>nach Gründungszuschuss</t>
  </si>
  <si>
    <t>c</t>
  </si>
  <si>
    <t>Ausgaben:</t>
  </si>
  <si>
    <t>Rest Nordlichter</t>
  </si>
  <si>
    <t>Rückzahlung SWM Manuel</t>
  </si>
  <si>
    <t>Weihnachtsgeld Manuel</t>
  </si>
  <si>
    <t>Kleidergeld 2024 1. Hälfte</t>
  </si>
  <si>
    <t>Fernando England</t>
  </si>
  <si>
    <t>Weihnachten extra</t>
  </si>
  <si>
    <t>Ausfall Natalie</t>
  </si>
  <si>
    <t>Notgroschen Businesses</t>
  </si>
  <si>
    <t>Notgroschen neu:</t>
  </si>
  <si>
    <t>Krankenversicherung Natalie</t>
  </si>
  <si>
    <t>Einmalzahlung bis 06/25</t>
  </si>
  <si>
    <t>"Sonderzahlungen"</t>
  </si>
  <si>
    <t>Fasching '26</t>
  </si>
  <si>
    <t>Natalie schaut noch da</t>
  </si>
  <si>
    <t>bis 01/2025 pausieren</t>
  </si>
  <si>
    <t>465 € zusammen mit Geschenke</t>
  </si>
  <si>
    <t>Manuel IBAN!</t>
  </si>
  <si>
    <t>neu, wenn Manueles gewechselt sind</t>
  </si>
  <si>
    <t>✅</t>
  </si>
  <si>
    <t>✅ - fehlt noch 2023</t>
  </si>
  <si>
    <t>Einzahlung Notgroschen: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</si>
</sst>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0\ _€"/>
    <numFmt numFmtId="165" formatCode="#,##0.00\ &quot;€&quot;"/>
    <numFmt numFmtId="166" formatCode="_-* #,##0.00\ [$€-407]_-;\-* #,##0.00\ [$€-407]_-;_-* &quot;-&quot;??\ [$€-407]_-;_-@_-"/>
    <numFmt numFmtId="167" formatCode="0_ ;\-0\ "/>
  </numFmts>
  <fonts count="23"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0000"/>
      <name val="Calibri"/>
      <family val="2"/>
    </font>
    <font>
      <b/>
      <sz val="11"/>
      <color rgb="FF000000"/>
      <name val="Calibri"/>
      <family val="2"/>
    </font>
    <font>
      <sz val="11"/>
      <color rgb="FF00B050"/>
      <name val="Calibri"/>
      <family val="2"/>
      <scheme val="minor"/>
    </font>
    <font>
      <b/>
      <sz val="10"/>
      <color theme="1"/>
      <name val="Arial Unicode MS"/>
      <family val="2"/>
    </font>
    <font>
      <u/>
      <sz val="12"/>
      <color theme="1"/>
      <name val="Calibri"/>
      <family val="2"/>
      <scheme val="minor"/>
    </font>
    <font>
      <i/>
      <sz val="11"/>
      <color theme="1"/>
      <name val="Calibri"/>
      <family val="2"/>
      <scheme val="minor"/>
    </font>
    <font>
      <b/>
      <sz val="11"/>
      <color rgb="FFFF0000"/>
      <name val="Calibri"/>
      <family val="2"/>
      <scheme val="minor"/>
    </font>
    <font>
      <b/>
      <sz val="11"/>
      <color rgb="FFFF0000"/>
      <name val="Calibri"/>
      <family val="2"/>
    </font>
    <font>
      <sz val="11"/>
      <color theme="1"/>
      <name val="Calibri"/>
      <family val="2"/>
      <scheme val="minor"/>
    </font>
    <font>
      <sz val="11"/>
      <color theme="1"/>
      <name val="Calibri"/>
      <family val="2"/>
    </font>
    <font>
      <b/>
      <sz val="11"/>
      <color rgb="FFFF0000"/>
      <name val="Calibri"/>
      <family val="2"/>
      <scheme val="minor"/>
    </font>
    <font>
      <b/>
      <sz val="11"/>
      <color rgb="FFFF0000"/>
      <name val="Calibri"/>
      <family val="2"/>
    </font>
    <font>
      <b/>
      <sz val="11"/>
      <color rgb="FF0070C0"/>
      <name val="Calibri"/>
      <family val="2"/>
      <scheme val="minor"/>
    </font>
    <font>
      <b/>
      <sz val="11"/>
      <color rgb="FF7030A0"/>
      <name val="Calibri"/>
      <family val="2"/>
      <scheme val="minor"/>
    </font>
    <font>
      <b/>
      <sz val="11"/>
      <color theme="0"/>
      <name val="Calibri"/>
      <family val="2"/>
      <scheme val="minor"/>
    </font>
    <font>
      <sz val="11"/>
      <color theme="0"/>
      <name val="Calibri"/>
      <family val="2"/>
      <scheme val="minor"/>
    </font>
    <font>
      <u/>
      <sz val="11"/>
      <color theme="1"/>
      <name val="Calibri"/>
      <family val="2"/>
      <scheme val="minor"/>
    </font>
    <font>
      <b/>
      <sz val="11"/>
      <color theme="0"/>
      <name val="Calibri (Textkörper)"/>
    </font>
    <font>
      <sz val="11"/>
      <color theme="0"/>
      <name val="Calibri (Textkörper)"/>
    </font>
  </fonts>
  <fills count="16">
    <fill>
      <patternFill patternType="none"/>
    </fill>
    <fill>
      <patternFill patternType="gray125"/>
    </fill>
    <fill>
      <patternFill patternType="solid">
        <fgColor rgb="FFFFFF99"/>
        <bgColor indexed="64"/>
      </patternFill>
    </fill>
    <fill>
      <patternFill patternType="solid">
        <fgColor rgb="FFFFCC99"/>
        <bgColor indexed="64"/>
      </patternFill>
    </fill>
    <fill>
      <patternFill patternType="solid">
        <fgColor rgb="FFFF999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
      <patternFill patternType="solid">
        <fgColor rgb="FFCCCCFF"/>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B6E19"/>
        <bgColor indexed="64"/>
      </patternFill>
    </fill>
    <fill>
      <patternFill patternType="solid">
        <fgColor rgb="FF99FFCC"/>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44" fontId="12" fillId="0" borderId="0" applyFont="0" applyFill="0" applyBorder="0" applyAlignment="0" applyProtection="0"/>
    <xf numFmtId="9" fontId="12" fillId="0" borderId="0" applyFont="0" applyFill="0" applyBorder="0" applyAlignment="0" applyProtection="0"/>
  </cellStyleXfs>
  <cellXfs count="143">
    <xf numFmtId="0" fontId="0" fillId="0" borderId="0" xfId="0"/>
    <xf numFmtId="164" fontId="0" fillId="0" borderId="0" xfId="0" applyNumberFormat="1"/>
    <xf numFmtId="165" fontId="0" fillId="0" borderId="0" xfId="0" applyNumberFormat="1"/>
    <xf numFmtId="0" fontId="1" fillId="0" borderId="0" xfId="0" applyFont="1"/>
    <xf numFmtId="165" fontId="1" fillId="0" borderId="0" xfId="0" applyNumberFormat="1" applyFont="1"/>
    <xf numFmtId="0" fontId="1" fillId="0" borderId="0" xfId="0" applyFont="1" applyAlignment="1">
      <alignment horizontal="right"/>
    </xf>
    <xf numFmtId="0" fontId="1" fillId="2" borderId="1" xfId="0" applyFont="1" applyFill="1" applyBorder="1"/>
    <xf numFmtId="165" fontId="0" fillId="2" borderId="1" xfId="0" applyNumberFormat="1" applyFill="1" applyBorder="1"/>
    <xf numFmtId="0" fontId="1" fillId="2" borderId="1" xfId="0" applyFont="1" applyFill="1" applyBorder="1" applyAlignment="1">
      <alignment horizontal="right"/>
    </xf>
    <xf numFmtId="165" fontId="1" fillId="2" borderId="1" xfId="0" applyNumberFormat="1" applyFont="1" applyFill="1" applyBorder="1"/>
    <xf numFmtId="165" fontId="0" fillId="3" borderId="1" xfId="0" applyNumberFormat="1" applyFill="1" applyBorder="1"/>
    <xf numFmtId="0" fontId="1" fillId="3" borderId="1" xfId="0" applyFont="1" applyFill="1" applyBorder="1" applyAlignment="1">
      <alignment horizontal="right"/>
    </xf>
    <xf numFmtId="165" fontId="1" fillId="3" borderId="1" xfId="0" applyNumberFormat="1" applyFont="1" applyFill="1" applyBorder="1"/>
    <xf numFmtId="0" fontId="1" fillId="4" borderId="1" xfId="0" applyFont="1" applyFill="1" applyBorder="1"/>
    <xf numFmtId="165" fontId="0" fillId="4" borderId="1" xfId="0" applyNumberFormat="1" applyFill="1" applyBorder="1"/>
    <xf numFmtId="0" fontId="1" fillId="4" borderId="1" xfId="0" applyFont="1" applyFill="1" applyBorder="1" applyAlignment="1">
      <alignment horizontal="right"/>
    </xf>
    <xf numFmtId="165" fontId="1" fillId="4" borderId="1" xfId="0" applyNumberFormat="1" applyFont="1" applyFill="1" applyBorder="1"/>
    <xf numFmtId="0" fontId="0" fillId="0" borderId="0" xfId="0" applyAlignment="1">
      <alignment vertical="center"/>
    </xf>
    <xf numFmtId="1" fontId="0" fillId="0" borderId="0" xfId="0" applyNumberFormat="1"/>
    <xf numFmtId="2" fontId="0" fillId="0" borderId="0" xfId="0" applyNumberFormat="1"/>
    <xf numFmtId="0" fontId="2" fillId="0" borderId="0" xfId="0" applyFont="1"/>
    <xf numFmtId="0" fontId="3" fillId="0" borderId="0" xfId="0" applyFont="1"/>
    <xf numFmtId="165" fontId="3" fillId="0" borderId="0" xfId="0" applyNumberFormat="1" applyFont="1"/>
    <xf numFmtId="17" fontId="0" fillId="0" borderId="0" xfId="0" applyNumberFormat="1"/>
    <xf numFmtId="0" fontId="4" fillId="0" borderId="0" xfId="0" applyFont="1"/>
    <xf numFmtId="0" fontId="6" fillId="0" borderId="0" xfId="0" applyFont="1"/>
    <xf numFmtId="4" fontId="0" fillId="0" borderId="0" xfId="0" applyNumberFormat="1"/>
    <xf numFmtId="166" fontId="0" fillId="0" borderId="0" xfId="0" applyNumberFormat="1"/>
    <xf numFmtId="166" fontId="1" fillId="0" borderId="0" xfId="0" applyNumberFormat="1" applyFont="1"/>
    <xf numFmtId="0" fontId="0" fillId="0" borderId="0" xfId="0" applyAlignment="1">
      <alignment horizontal="right"/>
    </xf>
    <xf numFmtId="166" fontId="0" fillId="0" borderId="4" xfId="0" applyNumberFormat="1" applyBorder="1"/>
    <xf numFmtId="166" fontId="0" fillId="0" borderId="5" xfId="0" applyNumberFormat="1" applyBorder="1"/>
    <xf numFmtId="9" fontId="1" fillId="0" borderId="0" xfId="0" applyNumberFormat="1" applyFont="1"/>
    <xf numFmtId="166" fontId="0" fillId="6" borderId="0" xfId="0" applyNumberFormat="1" applyFill="1"/>
    <xf numFmtId="0" fontId="1" fillId="0" borderId="0" xfId="0" applyFont="1" applyAlignment="1">
      <alignment horizontal="left"/>
    </xf>
    <xf numFmtId="14" fontId="0" fillId="0" borderId="0" xfId="0" applyNumberFormat="1"/>
    <xf numFmtId="0" fontId="7" fillId="0" borderId="0" xfId="0" applyFont="1" applyAlignment="1">
      <alignment vertical="center"/>
    </xf>
    <xf numFmtId="4" fontId="0" fillId="0" borderId="0" xfId="0" applyNumberFormat="1" applyAlignment="1">
      <alignment vertical="center"/>
    </xf>
    <xf numFmtId="0" fontId="8" fillId="0" borderId="0" xfId="0" applyFont="1"/>
    <xf numFmtId="0" fontId="1" fillId="0" borderId="1" xfId="0" applyFont="1" applyBorder="1"/>
    <xf numFmtId="166" fontId="2" fillId="0" borderId="0" xfId="0" applyNumberFormat="1" applyFont="1"/>
    <xf numFmtId="166" fontId="0" fillId="0" borderId="1" xfId="0" applyNumberFormat="1" applyBorder="1"/>
    <xf numFmtId="0" fontId="1" fillId="0" borderId="6" xfId="0" applyFont="1" applyBorder="1"/>
    <xf numFmtId="166" fontId="1" fillId="0" borderId="1" xfId="0" applyNumberFormat="1" applyFont="1" applyBorder="1"/>
    <xf numFmtId="0" fontId="9" fillId="0" borderId="7" xfId="0" applyFont="1" applyBorder="1"/>
    <xf numFmtId="0" fontId="2" fillId="0" borderId="0" xfId="0" applyFont="1" applyAlignment="1">
      <alignment horizontal="right"/>
    </xf>
    <xf numFmtId="166" fontId="2" fillId="0" borderId="6" xfId="0" applyNumberFormat="1" applyFont="1" applyBorder="1"/>
    <xf numFmtId="0" fontId="0" fillId="0" borderId="0" xfId="0" applyAlignment="1">
      <alignment wrapText="1"/>
    </xf>
    <xf numFmtId="1" fontId="0" fillId="0" borderId="0" xfId="0" applyNumberFormat="1" applyAlignment="1">
      <alignment horizontal="right"/>
    </xf>
    <xf numFmtId="165" fontId="0" fillId="0" borderId="0" xfId="0" applyNumberFormat="1" applyAlignment="1">
      <alignment horizontal="right"/>
    </xf>
    <xf numFmtId="0" fontId="11" fillId="3" borderId="1" xfId="0" applyFont="1" applyFill="1" applyBorder="1"/>
    <xf numFmtId="165" fontId="10" fillId="3" borderId="1" xfId="0" applyNumberFormat="1" applyFont="1" applyFill="1" applyBorder="1"/>
    <xf numFmtId="165" fontId="0" fillId="6" borderId="1" xfId="0" applyNumberFormat="1" applyFill="1" applyBorder="1"/>
    <xf numFmtId="3" fontId="0" fillId="0" borderId="0" xfId="0" applyNumberFormat="1"/>
    <xf numFmtId="167" fontId="0" fillId="0" borderId="0" xfId="0" applyNumberFormat="1"/>
    <xf numFmtId="44" fontId="0" fillId="0" borderId="0" xfId="1" applyFont="1"/>
    <xf numFmtId="44" fontId="1" fillId="0" borderId="0" xfId="0" applyNumberFormat="1" applyFont="1"/>
    <xf numFmtId="10" fontId="0" fillId="0" borderId="1" xfId="2" applyNumberFormat="1" applyFont="1" applyBorder="1"/>
    <xf numFmtId="10" fontId="0" fillId="0" borderId="0" xfId="2" applyNumberFormat="1" applyFont="1"/>
    <xf numFmtId="10" fontId="0" fillId="0" borderId="0" xfId="0" applyNumberFormat="1"/>
    <xf numFmtId="10" fontId="1" fillId="0" borderId="0" xfId="2" applyNumberFormat="1" applyFont="1"/>
    <xf numFmtId="0" fontId="1" fillId="8" borderId="1" xfId="0" applyFont="1" applyFill="1" applyBorder="1"/>
    <xf numFmtId="165" fontId="0" fillId="8" borderId="2" xfId="0" applyNumberFormat="1" applyFill="1" applyBorder="1"/>
    <xf numFmtId="0" fontId="1" fillId="8" borderId="2" xfId="0" applyFont="1" applyFill="1" applyBorder="1" applyAlignment="1">
      <alignment horizontal="right"/>
    </xf>
    <xf numFmtId="165" fontId="1" fillId="8" borderId="2" xfId="0" applyNumberFormat="1" applyFont="1" applyFill="1" applyBorder="1"/>
    <xf numFmtId="0" fontId="1" fillId="8" borderId="2" xfId="0" applyFont="1" applyFill="1" applyBorder="1"/>
    <xf numFmtId="165" fontId="0" fillId="8" borderId="3" xfId="0" applyNumberFormat="1" applyFill="1" applyBorder="1"/>
    <xf numFmtId="165" fontId="0" fillId="9" borderId="1" xfId="0" applyNumberFormat="1" applyFill="1" applyBorder="1"/>
    <xf numFmtId="0" fontId="1" fillId="9" borderId="1" xfId="0" applyFont="1" applyFill="1" applyBorder="1" applyAlignment="1">
      <alignment horizontal="right"/>
    </xf>
    <xf numFmtId="165" fontId="1" fillId="9" borderId="1" xfId="0" applyNumberFormat="1" applyFont="1" applyFill="1" applyBorder="1"/>
    <xf numFmtId="0" fontId="1" fillId="10" borderId="1" xfId="0" applyFont="1" applyFill="1" applyBorder="1"/>
    <xf numFmtId="0" fontId="1" fillId="10" borderId="1" xfId="0" applyFont="1" applyFill="1" applyBorder="1" applyAlignment="1">
      <alignment horizontal="right"/>
    </xf>
    <xf numFmtId="165" fontId="1" fillId="10" borderId="1" xfId="0" applyNumberFormat="1" applyFont="1" applyFill="1" applyBorder="1"/>
    <xf numFmtId="0" fontId="1" fillId="11" borderId="2" xfId="0" applyFont="1" applyFill="1" applyBorder="1"/>
    <xf numFmtId="165" fontId="0" fillId="11" borderId="2" xfId="0" applyNumberFormat="1" applyFill="1" applyBorder="1"/>
    <xf numFmtId="0" fontId="1" fillId="11" borderId="2" xfId="0" applyFont="1" applyFill="1" applyBorder="1" applyAlignment="1">
      <alignment horizontal="right"/>
    </xf>
    <xf numFmtId="165" fontId="1" fillId="11" borderId="2" xfId="0" applyNumberFormat="1" applyFont="1" applyFill="1" applyBorder="1"/>
    <xf numFmtId="0" fontId="5" fillId="11" borderId="2" xfId="0" applyFont="1" applyFill="1" applyBorder="1"/>
    <xf numFmtId="166" fontId="0" fillId="0" borderId="0" xfId="1" applyNumberFormat="1" applyFont="1"/>
    <xf numFmtId="0" fontId="1" fillId="5" borderId="1" xfId="0" applyFont="1" applyFill="1" applyBorder="1"/>
    <xf numFmtId="0" fontId="1" fillId="5" borderId="1" xfId="0" applyFont="1" applyFill="1" applyBorder="1" applyAlignment="1">
      <alignment horizontal="right"/>
    </xf>
    <xf numFmtId="0" fontId="13" fillId="0" borderId="0" xfId="0" applyFont="1"/>
    <xf numFmtId="0" fontId="0" fillId="12" borderId="1" xfId="0" applyFill="1" applyBorder="1"/>
    <xf numFmtId="165" fontId="1" fillId="0" borderId="0" xfId="0" applyNumberFormat="1" applyFont="1" applyAlignment="1">
      <alignment horizontal="right"/>
    </xf>
    <xf numFmtId="0" fontId="0" fillId="5" borderId="1" xfId="0" applyFill="1" applyBorder="1"/>
    <xf numFmtId="44" fontId="0" fillId="5" borderId="1" xfId="1" applyFont="1" applyFill="1" applyBorder="1" applyAlignment="1">
      <alignment horizontal="right"/>
    </xf>
    <xf numFmtId="0" fontId="0" fillId="5" borderId="1" xfId="0" applyFill="1" applyBorder="1" applyAlignment="1">
      <alignment horizontal="left"/>
    </xf>
    <xf numFmtId="0" fontId="0" fillId="0" borderId="8" xfId="0" applyBorder="1"/>
    <xf numFmtId="0" fontId="0" fillId="0" borderId="9" xfId="0" applyBorder="1"/>
    <xf numFmtId="166" fontId="0" fillId="0" borderId="10" xfId="0" applyNumberFormat="1" applyBorder="1"/>
    <xf numFmtId="166" fontId="0" fillId="0" borderId="11" xfId="0" applyNumberFormat="1" applyBorder="1"/>
    <xf numFmtId="0" fontId="9" fillId="0" borderId="0" xfId="0" applyFont="1"/>
    <xf numFmtId="0" fontId="14" fillId="0" borderId="0" xfId="0" applyFont="1"/>
    <xf numFmtId="0" fontId="15" fillId="0" borderId="0" xfId="0" applyFont="1"/>
    <xf numFmtId="0" fontId="10" fillId="9" borderId="1" xfId="0" applyFont="1" applyFill="1" applyBorder="1"/>
    <xf numFmtId="0" fontId="16" fillId="0" borderId="0" xfId="0" applyFont="1"/>
    <xf numFmtId="0" fontId="0" fillId="6" borderId="1" xfId="0" applyFill="1" applyBorder="1"/>
    <xf numFmtId="1" fontId="17" fillId="0" borderId="0" xfId="0" applyNumberFormat="1" applyFont="1" applyAlignment="1">
      <alignment horizontal="right"/>
    </xf>
    <xf numFmtId="166" fontId="0" fillId="0" borderId="12" xfId="0" applyNumberFormat="1" applyBorder="1"/>
    <xf numFmtId="166" fontId="0" fillId="0" borderId="9" xfId="0" applyNumberForma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3" xfId="0" applyBorder="1"/>
    <xf numFmtId="166" fontId="0" fillId="0" borderId="18" xfId="0" applyNumberFormat="1" applyBorder="1"/>
    <xf numFmtId="166" fontId="0" fillId="0" borderId="19" xfId="0" applyNumberFormat="1" applyBorder="1"/>
    <xf numFmtId="166" fontId="0" fillId="0" borderId="20" xfId="0" applyNumberFormat="1" applyBorder="1"/>
    <xf numFmtId="166" fontId="0" fillId="0" borderId="13" xfId="0" applyNumberFormat="1" applyBorder="1"/>
    <xf numFmtId="0" fontId="5" fillId="3" borderId="1" xfId="0" applyFont="1" applyFill="1" applyBorder="1"/>
    <xf numFmtId="165" fontId="6" fillId="0" borderId="0" xfId="0" applyNumberFormat="1" applyFont="1"/>
    <xf numFmtId="44" fontId="0" fillId="0" borderId="0" xfId="0" applyNumberFormat="1"/>
    <xf numFmtId="0" fontId="18" fillId="7" borderId="1" xfId="0" applyFont="1" applyFill="1" applyBorder="1"/>
    <xf numFmtId="0" fontId="18" fillId="7" borderId="1" xfId="0" applyFont="1" applyFill="1" applyBorder="1" applyAlignment="1">
      <alignment horizontal="right"/>
    </xf>
    <xf numFmtId="165" fontId="18" fillId="7" borderId="1" xfId="0" applyNumberFormat="1" applyFont="1" applyFill="1" applyBorder="1"/>
    <xf numFmtId="166" fontId="19" fillId="7" borderId="1" xfId="0" applyNumberFormat="1" applyFont="1" applyFill="1" applyBorder="1" applyAlignment="1">
      <alignment horizontal="right"/>
    </xf>
    <xf numFmtId="0" fontId="19" fillId="7" borderId="1" xfId="0" applyFont="1" applyFill="1" applyBorder="1" applyAlignment="1">
      <alignment horizontal="right"/>
    </xf>
    <xf numFmtId="0" fontId="19" fillId="7" borderId="1" xfId="0" applyFont="1" applyFill="1" applyBorder="1" applyAlignment="1">
      <alignment horizontal="left"/>
    </xf>
    <xf numFmtId="0" fontId="0" fillId="13" borderId="0" xfId="0" applyFill="1"/>
    <xf numFmtId="0" fontId="0" fillId="13" borderId="0" xfId="0" applyFill="1" applyAlignment="1">
      <alignment horizontal="right"/>
    </xf>
    <xf numFmtId="0" fontId="20" fillId="0" borderId="0" xfId="0" applyFont="1"/>
    <xf numFmtId="9" fontId="0" fillId="0" borderId="0" xfId="0" applyNumberFormat="1"/>
    <xf numFmtId="44" fontId="1" fillId="0" borderId="0" xfId="1" applyFont="1"/>
    <xf numFmtId="165" fontId="0" fillId="14" borderId="2" xfId="0" applyNumberFormat="1" applyFill="1" applyBorder="1"/>
    <xf numFmtId="0" fontId="1" fillId="14" borderId="2" xfId="0" applyFont="1" applyFill="1" applyBorder="1" applyAlignment="1">
      <alignment horizontal="right"/>
    </xf>
    <xf numFmtId="0" fontId="1" fillId="14" borderId="2" xfId="0" applyFont="1" applyFill="1" applyBorder="1"/>
    <xf numFmtId="0" fontId="1" fillId="14" borderId="1" xfId="0" applyFont="1" applyFill="1" applyBorder="1"/>
    <xf numFmtId="165" fontId="0" fillId="10" borderId="1" xfId="0" applyNumberFormat="1" applyFill="1" applyBorder="1"/>
    <xf numFmtId="165" fontId="0" fillId="7" borderId="1" xfId="0" applyNumberFormat="1" applyFill="1" applyBorder="1"/>
    <xf numFmtId="165" fontId="19" fillId="7" borderId="1" xfId="0" applyNumberFormat="1" applyFont="1" applyFill="1" applyBorder="1"/>
    <xf numFmtId="44" fontId="0" fillId="14" borderId="1" xfId="1" applyFont="1" applyFill="1" applyBorder="1" applyAlignment="1">
      <alignment horizontal="right"/>
    </xf>
    <xf numFmtId="0" fontId="0" fillId="14" borderId="1" xfId="0" applyFill="1" applyBorder="1"/>
    <xf numFmtId="0" fontId="0" fillId="14" borderId="1" xfId="0" applyFill="1" applyBorder="1" applyAlignment="1">
      <alignment horizontal="left"/>
    </xf>
    <xf numFmtId="0" fontId="1" fillId="14" borderId="1" xfId="0" applyFont="1" applyFill="1" applyBorder="1" applyAlignment="1">
      <alignment horizontal="right"/>
    </xf>
    <xf numFmtId="165" fontId="1" fillId="14" borderId="1" xfId="0" applyNumberFormat="1" applyFont="1" applyFill="1" applyBorder="1"/>
    <xf numFmtId="0" fontId="11" fillId="14" borderId="1" xfId="0" applyFont="1" applyFill="1" applyBorder="1"/>
    <xf numFmtId="165" fontId="0" fillId="14" borderId="1" xfId="0" applyNumberFormat="1" applyFill="1" applyBorder="1"/>
    <xf numFmtId="0" fontId="21" fillId="15" borderId="1" xfId="0" applyFont="1" applyFill="1" applyBorder="1"/>
    <xf numFmtId="44" fontId="22" fillId="15" borderId="1" xfId="1" applyFont="1" applyFill="1" applyBorder="1" applyAlignment="1">
      <alignment horizontal="right"/>
    </xf>
    <xf numFmtId="166" fontId="22" fillId="15" borderId="1" xfId="0" applyNumberFormat="1" applyFont="1" applyFill="1" applyBorder="1" applyAlignment="1">
      <alignment horizontal="right"/>
    </xf>
    <xf numFmtId="0" fontId="21" fillId="15" borderId="1" xfId="0" applyFont="1" applyFill="1" applyBorder="1" applyAlignment="1">
      <alignment horizontal="right"/>
    </xf>
    <xf numFmtId="0" fontId="0" fillId="0" borderId="0" xfId="0" applyAlignment="1">
      <alignment wrapText="1"/>
    </xf>
    <xf numFmtId="0" fontId="0" fillId="0" borderId="0" xfId="0" applyAlignment="1">
      <alignment horizontal="center" wrapText="1"/>
    </xf>
  </cellXfs>
  <cellStyles count="3">
    <cellStyle name="Prozent" xfId="2" builtinId="5"/>
    <cellStyle name="Standard" xfId="0" builtinId="0"/>
    <cellStyle name="Währung" xfId="1" builtinId="4"/>
  </cellStyles>
  <dxfs count="0"/>
  <tableStyles count="0" defaultTableStyle="TableStyleMedium2" defaultPivotStyle="PivotStyleLight16"/>
  <colors>
    <mruColors>
      <color rgb="FF99FFCC"/>
      <color rgb="FFEB6E19"/>
      <color rgb="FF336699"/>
      <color rgb="FFCC9900"/>
      <color rgb="FFCCCCFF"/>
      <color rgb="FFCC99FF"/>
      <color rgb="FFFF9999"/>
      <color rgb="FF008080"/>
      <color rgb="FF99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2CC1-A086-4C13-AA8B-04C88190A8A4}">
  <dimension ref="A1:Q30"/>
  <sheetViews>
    <sheetView zoomScaleNormal="100" workbookViewId="0">
      <selection activeCell="I21" sqref="I21"/>
    </sheetView>
  </sheetViews>
  <sheetFormatPr baseColWidth="10" defaultColWidth="11.5" defaultRowHeight="15" x14ac:dyDescent="0.2"/>
  <cols>
    <col min="1" max="1" width="20.83203125" bestFit="1" customWidth="1"/>
    <col min="2" max="2" width="0" style="2" hidden="1" customWidth="1"/>
    <col min="3" max="3" width="19" style="2" customWidth="1"/>
    <col min="4" max="4" width="20.33203125" customWidth="1"/>
    <col min="5" max="5" width="4.33203125" hidden="1" customWidth="1"/>
    <col min="6" max="6" width="7.6640625" hidden="1" customWidth="1"/>
    <col min="7" max="7" width="6.1640625" hidden="1" customWidth="1"/>
  </cols>
  <sheetData>
    <row r="1" spans="1:17" x14ac:dyDescent="0.2">
      <c r="A1" t="s">
        <v>0</v>
      </c>
      <c r="K1" s="27">
        <f>I3-J3</f>
        <v>468.90000000000009</v>
      </c>
      <c r="L1" s="27">
        <f>K1-K3</f>
        <v>333</v>
      </c>
    </row>
    <row r="2" spans="1:17" x14ac:dyDescent="0.2">
      <c r="B2" s="2" t="s">
        <v>1</v>
      </c>
      <c r="C2" s="2" t="s">
        <v>388</v>
      </c>
      <c r="D2" s="2" t="s">
        <v>2</v>
      </c>
      <c r="E2" t="s">
        <v>3</v>
      </c>
      <c r="F2" t="s">
        <v>4</v>
      </c>
      <c r="H2" t="s">
        <v>5</v>
      </c>
      <c r="I2" t="s">
        <v>353</v>
      </c>
      <c r="J2" t="s">
        <v>358</v>
      </c>
      <c r="L2" s="27"/>
    </row>
    <row r="3" spans="1:17" x14ac:dyDescent="0.2">
      <c r="A3" t="s">
        <v>6</v>
      </c>
      <c r="B3" s="27">
        <v>2000</v>
      </c>
      <c r="C3" s="2">
        <v>0</v>
      </c>
      <c r="D3" s="27">
        <v>2000</v>
      </c>
      <c r="E3" s="27">
        <v>2343</v>
      </c>
      <c r="F3" s="27">
        <f>I3*1.15</f>
        <v>2694.45</v>
      </c>
      <c r="G3" s="27">
        <f>F3*12/52/20</f>
        <v>31.089807692307694</v>
      </c>
      <c r="H3" s="27">
        <f>28*20*52/12</f>
        <v>2426.6666666666665</v>
      </c>
      <c r="I3" s="27">
        <v>2343</v>
      </c>
      <c r="J3" s="27">
        <f>1874.1</f>
        <v>1874.1</v>
      </c>
      <c r="K3" s="27">
        <f>2010-J3</f>
        <v>135.90000000000009</v>
      </c>
      <c r="P3" s="27">
        <v>1987</v>
      </c>
      <c r="Q3" t="s">
        <v>354</v>
      </c>
    </row>
    <row r="4" spans="1:17" x14ac:dyDescent="0.2">
      <c r="A4" t="s">
        <v>7</v>
      </c>
      <c r="B4" s="27">
        <v>4864.82</v>
      </c>
      <c r="C4" s="2">
        <v>4123.41</v>
      </c>
      <c r="D4" s="27">
        <v>3665.36</v>
      </c>
      <c r="E4" s="27">
        <f>D4</f>
        <v>3665.36</v>
      </c>
      <c r="I4" s="27">
        <f>D4</f>
        <v>3665.36</v>
      </c>
      <c r="J4" s="27">
        <f>I4</f>
        <v>3665.36</v>
      </c>
      <c r="K4" s="27">
        <v>4864.82</v>
      </c>
      <c r="M4" t="s">
        <v>9</v>
      </c>
      <c r="P4" s="27">
        <v>4118</v>
      </c>
      <c r="Q4" t="s">
        <v>355</v>
      </c>
    </row>
    <row r="5" spans="1:17" ht="16" x14ac:dyDescent="0.2">
      <c r="A5" t="s">
        <v>10</v>
      </c>
      <c r="B5" s="27">
        <v>500</v>
      </c>
      <c r="C5" s="2">
        <v>500</v>
      </c>
      <c r="D5" s="27">
        <v>500</v>
      </c>
      <c r="E5" s="27">
        <f t="shared" ref="E5:E12" si="0">D5</f>
        <v>500</v>
      </c>
      <c r="I5" s="27">
        <f>B5</f>
        <v>500</v>
      </c>
      <c r="J5" s="27">
        <f>I5</f>
        <v>500</v>
      </c>
      <c r="L5" s="36" t="s">
        <v>8</v>
      </c>
      <c r="M5" t="s">
        <v>12</v>
      </c>
      <c r="P5" s="27">
        <v>500</v>
      </c>
    </row>
    <row r="6" spans="1:17" ht="16" x14ac:dyDescent="0.2">
      <c r="A6" s="3" t="s">
        <v>13</v>
      </c>
      <c r="B6" s="4">
        <f>SUM(B3:B5)</f>
        <v>7364.82</v>
      </c>
      <c r="C6" s="4">
        <f t="shared" ref="C6" si="1">SUM(C3:C5)</f>
        <v>4623.41</v>
      </c>
      <c r="D6" s="4">
        <f t="shared" ref="D6:E6" si="2">SUM(D3:D5)</f>
        <v>6165.3600000000006</v>
      </c>
      <c r="E6" s="4">
        <f t="shared" si="2"/>
        <v>6508.3600000000006</v>
      </c>
      <c r="F6" s="2">
        <f>B6-I6</f>
        <v>856.45999999999913</v>
      </c>
      <c r="I6" s="4">
        <f>SUM(I3:I5)</f>
        <v>6508.3600000000006</v>
      </c>
      <c r="J6" s="4">
        <f>SUM(J3:J5)</f>
        <v>6039.46</v>
      </c>
      <c r="L6" s="36" t="s">
        <v>11</v>
      </c>
      <c r="P6" s="27">
        <f>SUM(P3:P5)</f>
        <v>6605</v>
      </c>
    </row>
    <row r="7" spans="1:17" x14ac:dyDescent="0.2">
      <c r="A7" s="29" t="s">
        <v>14</v>
      </c>
      <c r="B7" s="2">
        <f>B6-B5</f>
        <v>6864.82</v>
      </c>
      <c r="C7" s="2">
        <f t="shared" ref="C7" si="3">C6-C5</f>
        <v>4123.41</v>
      </c>
      <c r="D7" s="2">
        <f t="shared" ref="D7:E7" si="4">D6-D5</f>
        <v>5665.3600000000006</v>
      </c>
      <c r="E7" s="2">
        <f t="shared" si="4"/>
        <v>6008.3600000000006</v>
      </c>
      <c r="I7" s="2">
        <f>I6-I5</f>
        <v>6008.3600000000006</v>
      </c>
    </row>
    <row r="8" spans="1:17" x14ac:dyDescent="0.2">
      <c r="D8" s="2"/>
      <c r="E8" s="27">
        <f t="shared" si="0"/>
        <v>0</v>
      </c>
      <c r="H8">
        <f>3600/4200</f>
        <v>0.8571428571428571</v>
      </c>
    </row>
    <row r="9" spans="1:17" x14ac:dyDescent="0.2">
      <c r="A9" t="s">
        <v>15</v>
      </c>
      <c r="B9" s="2">
        <f>B6*0.5</f>
        <v>3682.41</v>
      </c>
      <c r="D9" s="2">
        <f t="shared" ref="D9" si="5">D6*0.5</f>
        <v>3082.6800000000003</v>
      </c>
      <c r="E9" s="27">
        <f t="shared" si="0"/>
        <v>3082.6800000000003</v>
      </c>
      <c r="I9" s="2">
        <f>I6*0.5</f>
        <v>3254.1800000000003</v>
      </c>
    </row>
    <row r="10" spans="1:17" x14ac:dyDescent="0.2">
      <c r="A10" t="s">
        <v>16</v>
      </c>
      <c r="B10" s="2">
        <f>B6*0.3</f>
        <v>2209.4459999999999</v>
      </c>
      <c r="D10" s="2">
        <f t="shared" ref="D10" si="6">D6*0.3</f>
        <v>1849.6080000000002</v>
      </c>
      <c r="E10" s="27">
        <f t="shared" si="0"/>
        <v>1849.6080000000002</v>
      </c>
      <c r="I10" s="2">
        <f>I6*0.3</f>
        <v>1952.508</v>
      </c>
    </row>
    <row r="11" spans="1:17" x14ac:dyDescent="0.2">
      <c r="A11" t="s">
        <v>17</v>
      </c>
      <c r="B11" s="2">
        <f>B6*0.2</f>
        <v>1472.9639999999999</v>
      </c>
      <c r="D11" s="2">
        <f t="shared" ref="D11" si="7">D6*0.2</f>
        <v>1233.0720000000001</v>
      </c>
      <c r="E11" s="27">
        <f t="shared" si="0"/>
        <v>1233.0720000000001</v>
      </c>
      <c r="I11" s="2">
        <f>I6*0.2</f>
        <v>1301.6720000000003</v>
      </c>
    </row>
    <row r="12" spans="1:17" x14ac:dyDescent="0.2">
      <c r="B12" s="2">
        <f>SUM(B9:B11)</f>
        <v>7364.82</v>
      </c>
      <c r="D12" s="2">
        <f t="shared" ref="D12" si="8">SUM(D9:D11)</f>
        <v>6165.3600000000006</v>
      </c>
      <c r="E12" s="27">
        <f t="shared" si="0"/>
        <v>6165.3600000000006</v>
      </c>
      <c r="I12" s="2">
        <f>SUM(I9:I11)</f>
        <v>6508.3600000000006</v>
      </c>
    </row>
    <row r="13" spans="1:17" x14ac:dyDescent="0.2">
      <c r="D13" s="2"/>
      <c r="N13" s="2">
        <f>C3-1093.82</f>
        <v>-1093.82</v>
      </c>
    </row>
    <row r="15" spans="1:17" x14ac:dyDescent="0.2">
      <c r="A15" s="3" t="s">
        <v>344</v>
      </c>
    </row>
    <row r="16" spans="1:17" x14ac:dyDescent="0.2">
      <c r="A16" s="25"/>
      <c r="C16" s="18"/>
      <c r="D16" s="19"/>
    </row>
    <row r="17" spans="1:13" x14ac:dyDescent="0.2">
      <c r="A17" s="25"/>
      <c r="C17" s="48" t="s">
        <v>53</v>
      </c>
      <c r="D17" s="27">
        <v>8480</v>
      </c>
      <c r="I17" s="3" t="s">
        <v>346</v>
      </c>
      <c r="L17" s="49" t="s">
        <v>61</v>
      </c>
      <c r="M17" s="27">
        <v>200</v>
      </c>
    </row>
    <row r="18" spans="1:13" x14ac:dyDescent="0.2">
      <c r="A18" s="25"/>
      <c r="C18" s="48" t="s">
        <v>58</v>
      </c>
      <c r="D18" s="27">
        <f>Steuerrückzahlungen!F7-1200</f>
        <v>4218.22</v>
      </c>
      <c r="I18" s="118" t="s">
        <v>347</v>
      </c>
      <c r="J18" s="55">
        <v>3000</v>
      </c>
      <c r="L18" s="48" t="s">
        <v>62</v>
      </c>
      <c r="M18" s="27">
        <v>585</v>
      </c>
    </row>
    <row r="19" spans="1:13" x14ac:dyDescent="0.2">
      <c r="C19" s="48" t="s">
        <v>60</v>
      </c>
      <c r="D19" s="19" t="s">
        <v>343</v>
      </c>
      <c r="I19" s="119" t="s">
        <v>350</v>
      </c>
      <c r="J19" s="55" t="e">
        <f>-(#REF!)</f>
        <v>#REF!</v>
      </c>
      <c r="L19" s="48" t="s">
        <v>65</v>
      </c>
      <c r="M19" s="27">
        <v>0</v>
      </c>
    </row>
    <row r="20" spans="1:13" x14ac:dyDescent="0.2">
      <c r="A20" s="25"/>
      <c r="I20" t="s">
        <v>348</v>
      </c>
      <c r="J20" s="55">
        <f>Urlaube25!G12-4000</f>
        <v>-4000</v>
      </c>
    </row>
    <row r="21" spans="1:13" x14ac:dyDescent="0.2">
      <c r="A21" s="25"/>
      <c r="C21" s="4" t="s">
        <v>106</v>
      </c>
      <c r="D21" s="28">
        <f>SUM(D17:D19)</f>
        <v>12698.220000000001</v>
      </c>
      <c r="I21" s="118" t="s">
        <v>49</v>
      </c>
      <c r="J21" s="55">
        <v>5000</v>
      </c>
      <c r="K21" t="s">
        <v>349</v>
      </c>
    </row>
    <row r="22" spans="1:13" x14ac:dyDescent="0.2">
      <c r="A22" s="25"/>
      <c r="C22" s="4" t="s">
        <v>345</v>
      </c>
      <c r="D22" s="28">
        <f>D21+4000</f>
        <v>16698.22</v>
      </c>
      <c r="H22" s="27"/>
      <c r="I22" s="29" t="s">
        <v>352</v>
      </c>
      <c r="J22" s="55">
        <f>Kleidung!C7</f>
        <v>2280</v>
      </c>
    </row>
    <row r="23" spans="1:13" x14ac:dyDescent="0.2">
      <c r="A23" s="25"/>
      <c r="B23"/>
      <c r="I23" s="29" t="s">
        <v>351</v>
      </c>
      <c r="J23" s="55">
        <f>Geschenke!D13</f>
        <v>1040</v>
      </c>
    </row>
    <row r="24" spans="1:13" x14ac:dyDescent="0.2">
      <c r="A24" s="25"/>
      <c r="B24"/>
      <c r="I24" s="3" t="s">
        <v>106</v>
      </c>
      <c r="J24" s="56" t="e">
        <f>SUM(J18:J23)</f>
        <v>#REF!</v>
      </c>
    </row>
    <row r="25" spans="1:13" x14ac:dyDescent="0.2">
      <c r="A25" s="25"/>
      <c r="B25"/>
      <c r="C25" s="48"/>
      <c r="D25" s="27"/>
    </row>
    <row r="26" spans="1:13" x14ac:dyDescent="0.2">
      <c r="A26" s="25"/>
      <c r="B26"/>
      <c r="C26" s="48" t="s">
        <v>56</v>
      </c>
      <c r="D26" s="27">
        <v>21000</v>
      </c>
    </row>
    <row r="27" spans="1:13" x14ac:dyDescent="0.2">
      <c r="C27" s="48" t="s">
        <v>49</v>
      </c>
      <c r="D27" s="27">
        <v>8181.15</v>
      </c>
      <c r="H27" t="s">
        <v>49</v>
      </c>
      <c r="I27" s="27">
        <f>D27+5000+J21</f>
        <v>18181.150000000001</v>
      </c>
    </row>
    <row r="29" spans="1:13" x14ac:dyDescent="0.2">
      <c r="C29" s="48" t="s">
        <v>67</v>
      </c>
      <c r="D29" s="27">
        <f>2709.63+40.9</f>
        <v>2750.53</v>
      </c>
    </row>
    <row r="30" spans="1:13" x14ac:dyDescent="0.2">
      <c r="D30" s="111"/>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A9B7-1635-4C99-83F6-1E5E3EF475C1}">
  <dimension ref="A1:H35"/>
  <sheetViews>
    <sheetView tabSelected="1" zoomScale="120" zoomScaleNormal="120" workbookViewId="0">
      <selection activeCell="B7" sqref="B7"/>
    </sheetView>
  </sheetViews>
  <sheetFormatPr baseColWidth="10" defaultColWidth="11.5" defaultRowHeight="15" x14ac:dyDescent="0.2"/>
  <cols>
    <col min="1" max="1" width="19.83203125" customWidth="1"/>
  </cols>
  <sheetData>
    <row r="1" spans="1:8" x14ac:dyDescent="0.2">
      <c r="A1" t="s">
        <v>36</v>
      </c>
      <c r="B1" s="27"/>
      <c r="C1" t="s">
        <v>357</v>
      </c>
    </row>
    <row r="2" spans="1:8" x14ac:dyDescent="0.2">
      <c r="B2" s="27"/>
    </row>
    <row r="3" spans="1:8" x14ac:dyDescent="0.2">
      <c r="A3" s="3" t="s">
        <v>107</v>
      </c>
      <c r="B3" s="27"/>
    </row>
    <row r="4" spans="1:8" x14ac:dyDescent="0.2">
      <c r="A4" t="s">
        <v>138</v>
      </c>
      <c r="B4" s="27">
        <v>17.37</v>
      </c>
      <c r="C4">
        <v>0</v>
      </c>
    </row>
    <row r="5" spans="1:8" x14ac:dyDescent="0.2">
      <c r="B5" s="27"/>
    </row>
    <row r="6" spans="1:8" x14ac:dyDescent="0.2">
      <c r="A6" t="s">
        <v>139</v>
      </c>
      <c r="B6" s="27">
        <f>64.92+29.57</f>
        <v>94.490000000000009</v>
      </c>
      <c r="C6">
        <v>0</v>
      </c>
    </row>
    <row r="7" spans="1:8" x14ac:dyDescent="0.2">
      <c r="A7" t="s">
        <v>140</v>
      </c>
      <c r="B7" s="27">
        <v>18.43</v>
      </c>
      <c r="C7">
        <v>0</v>
      </c>
    </row>
    <row r="8" spans="1:8" x14ac:dyDescent="0.2">
      <c r="A8" t="s">
        <v>141</v>
      </c>
      <c r="B8" s="27">
        <v>49.99</v>
      </c>
      <c r="C8">
        <v>0</v>
      </c>
    </row>
    <row r="9" spans="1:8" x14ac:dyDescent="0.2">
      <c r="A9" t="s">
        <v>142</v>
      </c>
      <c r="B9" s="27">
        <v>10.01</v>
      </c>
      <c r="C9">
        <v>0</v>
      </c>
    </row>
    <row r="10" spans="1:8" x14ac:dyDescent="0.2">
      <c r="B10" s="28">
        <f>SUM(B4:B9)</f>
        <v>190.29000000000002</v>
      </c>
    </row>
    <row r="11" spans="1:8" x14ac:dyDescent="0.2">
      <c r="B11" s="27"/>
    </row>
    <row r="12" spans="1:8" x14ac:dyDescent="0.2">
      <c r="A12" s="3" t="s">
        <v>143</v>
      </c>
      <c r="B12" s="27"/>
    </row>
    <row r="13" spans="1:8" x14ac:dyDescent="0.2">
      <c r="A13" t="s">
        <v>144</v>
      </c>
      <c r="B13" s="27">
        <v>208.9</v>
      </c>
      <c r="C13">
        <v>0</v>
      </c>
      <c r="H13" s="81" t="s">
        <v>145</v>
      </c>
    </row>
    <row r="14" spans="1:8" x14ac:dyDescent="0.2">
      <c r="A14" t="s">
        <v>146</v>
      </c>
      <c r="B14" s="27">
        <v>23.7</v>
      </c>
      <c r="C14" s="27">
        <f>B14</f>
        <v>23.7</v>
      </c>
    </row>
    <row r="15" spans="1:8" x14ac:dyDescent="0.2">
      <c r="A15" t="s">
        <v>147</v>
      </c>
      <c r="B15" s="27">
        <v>122.92</v>
      </c>
      <c r="C15" s="27">
        <f>B15</f>
        <v>122.92</v>
      </c>
    </row>
    <row r="16" spans="1:8" x14ac:dyDescent="0.2">
      <c r="A16" t="s">
        <v>148</v>
      </c>
      <c r="B16" s="27">
        <v>294.42</v>
      </c>
      <c r="C16" s="27">
        <f>B16</f>
        <v>294.42</v>
      </c>
    </row>
    <row r="17" spans="1:3" x14ac:dyDescent="0.2">
      <c r="A17" t="s">
        <v>149</v>
      </c>
      <c r="B17" s="27">
        <v>697.08</v>
      </c>
      <c r="C17" s="27">
        <f>B17</f>
        <v>697.08</v>
      </c>
    </row>
    <row r="18" spans="1:3" x14ac:dyDescent="0.2">
      <c r="A18" t="s">
        <v>150</v>
      </c>
      <c r="B18" s="27">
        <v>200.34</v>
      </c>
      <c r="C18">
        <v>0</v>
      </c>
    </row>
    <row r="19" spans="1:3" x14ac:dyDescent="0.2">
      <c r="A19" t="s">
        <v>151</v>
      </c>
      <c r="B19" s="27">
        <v>96.15</v>
      </c>
      <c r="C19" s="27">
        <f>B19</f>
        <v>96.15</v>
      </c>
    </row>
    <row r="20" spans="1:3" x14ac:dyDescent="0.2">
      <c r="A20" t="s">
        <v>152</v>
      </c>
      <c r="B20" s="27">
        <v>100.55</v>
      </c>
      <c r="C20" s="27">
        <f>B20</f>
        <v>100.55</v>
      </c>
    </row>
    <row r="21" spans="1:3" x14ac:dyDescent="0.2">
      <c r="A21" t="s">
        <v>383</v>
      </c>
      <c r="B21" s="27">
        <v>129</v>
      </c>
      <c r="C21" s="27">
        <f>B21</f>
        <v>129</v>
      </c>
    </row>
    <row r="22" spans="1:3" x14ac:dyDescent="0.2">
      <c r="C22" s="27">
        <f t="shared" ref="C22:C26" si="0">B22</f>
        <v>0</v>
      </c>
    </row>
    <row r="23" spans="1:3" x14ac:dyDescent="0.2">
      <c r="A23" t="s">
        <v>380</v>
      </c>
      <c r="B23" s="27">
        <v>59.99</v>
      </c>
      <c r="C23" s="27">
        <f t="shared" si="0"/>
        <v>59.99</v>
      </c>
    </row>
    <row r="24" spans="1:3" x14ac:dyDescent="0.2">
      <c r="A24" t="s">
        <v>381</v>
      </c>
      <c r="B24" s="27">
        <f>66.06*4</f>
        <v>264.24</v>
      </c>
      <c r="C24" s="27">
        <v>0</v>
      </c>
    </row>
    <row r="25" spans="1:3" x14ac:dyDescent="0.2">
      <c r="A25" t="s">
        <v>382</v>
      </c>
      <c r="B25" s="27">
        <v>72</v>
      </c>
      <c r="C25" s="27">
        <f t="shared" si="0"/>
        <v>72</v>
      </c>
    </row>
    <row r="26" spans="1:3" x14ac:dyDescent="0.2">
      <c r="A26" t="s">
        <v>386</v>
      </c>
      <c r="B26" s="27">
        <v>99</v>
      </c>
      <c r="C26" s="27">
        <f t="shared" si="0"/>
        <v>99</v>
      </c>
    </row>
    <row r="27" spans="1:3" x14ac:dyDescent="0.2">
      <c r="B27" s="27"/>
      <c r="C27" s="27"/>
    </row>
    <row r="28" spans="1:3" x14ac:dyDescent="0.2">
      <c r="A28" s="5" t="s">
        <v>143</v>
      </c>
      <c r="B28" s="27">
        <f>SUM(B13:B27)</f>
        <v>2368.29</v>
      </c>
      <c r="C28" s="27">
        <f>SUM(C13:C27)</f>
        <v>1694.8100000000002</v>
      </c>
    </row>
    <row r="29" spans="1:3" x14ac:dyDescent="0.2">
      <c r="A29" s="5" t="s">
        <v>107</v>
      </c>
      <c r="B29" s="28">
        <f>B28/12</f>
        <v>197.35749999999999</v>
      </c>
      <c r="C29" s="28">
        <f>C28/12</f>
        <v>141.23416666666668</v>
      </c>
    </row>
    <row r="31" spans="1:3" x14ac:dyDescent="0.2">
      <c r="A31" t="s">
        <v>384</v>
      </c>
      <c r="B31" s="27">
        <v>156</v>
      </c>
    </row>
    <row r="32" spans="1:3" x14ac:dyDescent="0.2">
      <c r="A32" t="s">
        <v>385</v>
      </c>
      <c r="B32" s="27">
        <v>170</v>
      </c>
    </row>
    <row r="33" spans="1:3" x14ac:dyDescent="0.2">
      <c r="A33" t="s">
        <v>387</v>
      </c>
      <c r="B33" s="27">
        <f>13*48</f>
        <v>624</v>
      </c>
    </row>
    <row r="34" spans="1:3" x14ac:dyDescent="0.2">
      <c r="A34" s="5" t="s">
        <v>143</v>
      </c>
      <c r="B34" s="27">
        <f>SUM(B31:B33)</f>
        <v>950</v>
      </c>
      <c r="C34" s="27">
        <f>SUM(C31:C33)</f>
        <v>0</v>
      </c>
    </row>
    <row r="35" spans="1:3" x14ac:dyDescent="0.2">
      <c r="A35" s="5" t="s">
        <v>107</v>
      </c>
      <c r="B35" s="28">
        <f>B34/12</f>
        <v>79.166666666666671</v>
      </c>
      <c r="C35" s="28">
        <f>C34/12</f>
        <v>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0C20-5535-4F58-AC14-8AAB1392DCFA}">
  <dimension ref="A1:E16"/>
  <sheetViews>
    <sheetView workbookViewId="0">
      <selection activeCell="D6" sqref="D6"/>
    </sheetView>
  </sheetViews>
  <sheetFormatPr baseColWidth="10" defaultColWidth="11.5" defaultRowHeight="15" x14ac:dyDescent="0.2"/>
  <cols>
    <col min="1" max="1" width="13.6640625" customWidth="1"/>
  </cols>
  <sheetData>
    <row r="1" spans="1:5" x14ac:dyDescent="0.2">
      <c r="B1" t="s">
        <v>153</v>
      </c>
      <c r="C1" t="s">
        <v>29</v>
      </c>
    </row>
    <row r="2" spans="1:5" x14ac:dyDescent="0.2">
      <c r="A2" t="s">
        <v>36</v>
      </c>
      <c r="B2" s="27">
        <f>'VersicherungenJahresbeiträge √'!B15+'VersicherungenJahresbeiträge √'!B20</f>
        <v>223.47</v>
      </c>
      <c r="C2" s="27">
        <f>B2/12</f>
        <v>18.622499999999999</v>
      </c>
    </row>
    <row r="3" spans="1:5" x14ac:dyDescent="0.2">
      <c r="A3" t="s">
        <v>154</v>
      </c>
      <c r="B3" s="55">
        <f>C3*12</f>
        <v>107.88</v>
      </c>
      <c r="C3" s="55">
        <v>8.99</v>
      </c>
      <c r="D3" t="s">
        <v>155</v>
      </c>
      <c r="E3" t="s">
        <v>156</v>
      </c>
    </row>
    <row r="4" spans="1:5" x14ac:dyDescent="0.2">
      <c r="A4" t="s">
        <v>157</v>
      </c>
      <c r="B4" s="55">
        <f>C4*12</f>
        <v>821.04</v>
      </c>
      <c r="C4" s="55">
        <f>'VersicherungenJahresbeiträge √'!B7+'VersicherungenJahresbeiträge √'!B8</f>
        <v>68.42</v>
      </c>
    </row>
    <row r="5" spans="1:5" x14ac:dyDescent="0.2">
      <c r="A5" t="s">
        <v>158</v>
      </c>
      <c r="B5" s="55">
        <f>C5*12</f>
        <v>143.88</v>
      </c>
      <c r="C5">
        <v>11.99</v>
      </c>
      <c r="D5" t="s">
        <v>155</v>
      </c>
      <c r="E5" t="s">
        <v>159</v>
      </c>
    </row>
    <row r="6" spans="1:5" x14ac:dyDescent="0.2">
      <c r="A6" t="s">
        <v>160</v>
      </c>
      <c r="B6" s="55">
        <f>C6*12</f>
        <v>179.88</v>
      </c>
      <c r="C6">
        <v>14.99</v>
      </c>
    </row>
    <row r="7" spans="1:5" x14ac:dyDescent="0.2">
      <c r="A7" t="s">
        <v>161</v>
      </c>
      <c r="B7" s="55">
        <f>C7*12</f>
        <v>179.88</v>
      </c>
      <c r="C7">
        <v>14.99</v>
      </c>
    </row>
    <row r="16" spans="1:5" x14ac:dyDescent="0.2">
      <c r="A16" s="3" t="s">
        <v>162</v>
      </c>
      <c r="B16" s="56">
        <f>SUM(B2:B15)</f>
        <v>1656.0300000000002</v>
      </c>
      <c r="C16" s="56">
        <f>SUM(C2:C15)</f>
        <v>138.0025</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85F3-0E4E-4F88-BCAE-8AB71C3F5713}">
  <dimension ref="A1:G37"/>
  <sheetViews>
    <sheetView topLeftCell="B10" workbookViewId="0">
      <selection activeCell="E17" sqref="E17"/>
    </sheetView>
  </sheetViews>
  <sheetFormatPr baseColWidth="10" defaultColWidth="11.5" defaultRowHeight="15" x14ac:dyDescent="0.2"/>
  <cols>
    <col min="2" max="2" width="12.5" bestFit="1" customWidth="1"/>
    <col min="3" max="3" width="18.6640625" customWidth="1"/>
    <col min="4" max="4" width="13.83203125" customWidth="1"/>
    <col min="5" max="5" width="11.83203125" customWidth="1"/>
    <col min="6" max="6" width="13.83203125" customWidth="1"/>
  </cols>
  <sheetData>
    <row r="1" spans="1:7" x14ac:dyDescent="0.2">
      <c r="A1" t="s">
        <v>163</v>
      </c>
    </row>
    <row r="3" spans="1:7" x14ac:dyDescent="0.2">
      <c r="A3" s="26"/>
    </row>
    <row r="4" spans="1:7" x14ac:dyDescent="0.2">
      <c r="A4">
        <v>2021</v>
      </c>
      <c r="B4" t="s">
        <v>164</v>
      </c>
      <c r="C4" t="s">
        <v>165</v>
      </c>
      <c r="D4" t="s">
        <v>166</v>
      </c>
    </row>
    <row r="5" spans="1:7" x14ac:dyDescent="0.2">
      <c r="A5" t="s">
        <v>7</v>
      </c>
      <c r="B5" s="27">
        <v>60357.61</v>
      </c>
      <c r="C5" s="27">
        <v>20637.91</v>
      </c>
      <c r="D5" s="27">
        <f>B7-4*2730+12*500-19488</f>
        <v>102150.61</v>
      </c>
      <c r="E5" s="27"/>
      <c r="F5" s="141" t="s">
        <v>332</v>
      </c>
    </row>
    <row r="6" spans="1:7" x14ac:dyDescent="0.2">
      <c r="A6" t="s">
        <v>6</v>
      </c>
      <c r="B6" s="27">
        <v>66201</v>
      </c>
      <c r="C6" s="27">
        <v>8610</v>
      </c>
      <c r="D6" s="27"/>
      <c r="E6" s="27" t="s">
        <v>131</v>
      </c>
      <c r="F6" s="141"/>
      <c r="G6" s="27" t="s">
        <v>333</v>
      </c>
    </row>
    <row r="7" spans="1:7" x14ac:dyDescent="0.2">
      <c r="B7" s="27">
        <f>SUM(B5:B6)</f>
        <v>126558.61</v>
      </c>
      <c r="C7" s="27">
        <f>SUM(C5:C6)</f>
        <v>29247.91</v>
      </c>
      <c r="D7" s="27">
        <v>24824</v>
      </c>
      <c r="E7" s="27">
        <f>C7-D7</f>
        <v>4423.91</v>
      </c>
      <c r="F7" s="27">
        <v>5418.22</v>
      </c>
      <c r="G7" s="27"/>
    </row>
    <row r="8" spans="1:7" x14ac:dyDescent="0.2">
      <c r="B8" s="27"/>
      <c r="C8" s="27"/>
      <c r="D8" s="27"/>
      <c r="E8" s="27"/>
    </row>
    <row r="9" spans="1:7" x14ac:dyDescent="0.2">
      <c r="B9" s="27"/>
      <c r="C9" s="27"/>
      <c r="D9" s="27"/>
      <c r="E9" s="27"/>
    </row>
    <row r="10" spans="1:7" x14ac:dyDescent="0.2">
      <c r="A10" s="54">
        <v>2022</v>
      </c>
      <c r="B10" s="54"/>
      <c r="C10" s="27"/>
      <c r="D10" s="27"/>
      <c r="E10" s="27"/>
    </row>
    <row r="11" spans="1:7" x14ac:dyDescent="0.2">
      <c r="A11" t="s">
        <v>7</v>
      </c>
      <c r="B11" s="27">
        <v>69687</v>
      </c>
      <c r="C11" s="27">
        <v>20637.91</v>
      </c>
      <c r="D11" s="27">
        <f>B13-2*2810+12*500-19488</f>
        <v>102466</v>
      </c>
      <c r="E11" s="27"/>
      <c r="F11" s="142" t="s">
        <v>332</v>
      </c>
    </row>
    <row r="12" spans="1:7" x14ac:dyDescent="0.2">
      <c r="A12" t="s">
        <v>6</v>
      </c>
      <c r="B12" s="27">
        <v>51887</v>
      </c>
      <c r="C12" s="27">
        <v>8094</v>
      </c>
      <c r="D12" s="27"/>
      <c r="E12" s="27" t="s">
        <v>131</v>
      </c>
      <c r="F12" s="142"/>
      <c r="G12" s="27" t="s">
        <v>333</v>
      </c>
    </row>
    <row r="13" spans="1:7" x14ac:dyDescent="0.2">
      <c r="B13" s="27">
        <f>SUM(B11:B12)</f>
        <v>121574</v>
      </c>
      <c r="C13" s="27">
        <f>SUM(C11:C12)</f>
        <v>28731.91</v>
      </c>
      <c r="D13" s="27">
        <v>24586</v>
      </c>
      <c r="E13" s="27">
        <f>C13-D13</f>
        <v>4145.91</v>
      </c>
    </row>
    <row r="15" spans="1:7" x14ac:dyDescent="0.2">
      <c r="A15">
        <v>2023</v>
      </c>
    </row>
    <row r="16" spans="1:7" x14ac:dyDescent="0.2">
      <c r="A16" t="s">
        <v>7</v>
      </c>
      <c r="B16" s="27">
        <f>72818.66+7986.33</f>
        <v>80804.990000000005</v>
      </c>
      <c r="C16" s="27">
        <f>19280+3350</f>
        <v>22630</v>
      </c>
      <c r="D16" s="27">
        <f>B18-4*2730+12*500-19488</f>
        <v>126309.73000000001</v>
      </c>
      <c r="E16" s="27"/>
    </row>
    <row r="17" spans="1:5" x14ac:dyDescent="0.2">
      <c r="A17" t="s">
        <v>6</v>
      </c>
      <c r="B17" s="27">
        <f>63415.86+6496.88</f>
        <v>69912.740000000005</v>
      </c>
      <c r="C17" s="27">
        <v>17119.8</v>
      </c>
      <c r="D17" s="27"/>
      <c r="E17" s="27" t="s">
        <v>131</v>
      </c>
    </row>
    <row r="18" spans="1:5" x14ac:dyDescent="0.2">
      <c r="B18" s="27">
        <f>SUM(B16:B17)</f>
        <v>150717.73000000001</v>
      </c>
      <c r="C18" s="27">
        <f>SUM(C16:C17)</f>
        <v>39749.800000000003</v>
      </c>
      <c r="D18" s="27">
        <v>33142</v>
      </c>
      <c r="E18" s="27">
        <f>C18-D18</f>
        <v>6607.8000000000029</v>
      </c>
    </row>
    <row r="19" spans="1:5" x14ac:dyDescent="0.2">
      <c r="A19">
        <v>2024</v>
      </c>
    </row>
    <row r="20" spans="1:5" x14ac:dyDescent="0.2">
      <c r="A20" t="s">
        <v>7</v>
      </c>
      <c r="B20" s="27">
        <f>5073.53*12</f>
        <v>60882.36</v>
      </c>
      <c r="C20" s="27">
        <f>1148*12</f>
        <v>13776</v>
      </c>
      <c r="D20" s="27">
        <f>B22-4*2730+12*500-19488</f>
        <v>47236.36</v>
      </c>
    </row>
    <row r="21" spans="1:5" x14ac:dyDescent="0.2">
      <c r="A21" t="s">
        <v>6</v>
      </c>
      <c r="B21" s="27">
        <f>6863+2010+1889</f>
        <v>10762</v>
      </c>
      <c r="C21" s="27">
        <v>0</v>
      </c>
      <c r="E21" t="s">
        <v>131</v>
      </c>
    </row>
    <row r="22" spans="1:5" x14ac:dyDescent="0.2">
      <c r="B22" s="27">
        <f>SUM(B20:B21)</f>
        <v>71644.36</v>
      </c>
      <c r="C22" s="27">
        <f>SUM(C20:C21)</f>
        <v>13776</v>
      </c>
      <c r="D22" s="27">
        <v>5826</v>
      </c>
      <c r="E22" s="27">
        <f>C22-D22</f>
        <v>7950</v>
      </c>
    </row>
    <row r="23" spans="1:5" x14ac:dyDescent="0.2">
      <c r="B23" s="27"/>
      <c r="C23" s="27"/>
      <c r="D23" s="27"/>
      <c r="E23" s="27"/>
    </row>
    <row r="25" spans="1:5" x14ac:dyDescent="0.2">
      <c r="A25">
        <v>2025</v>
      </c>
    </row>
    <row r="26" spans="1:5" x14ac:dyDescent="0.2">
      <c r="A26" t="s">
        <v>7</v>
      </c>
      <c r="B26" s="27">
        <f>5073.53*12</f>
        <v>60882.36</v>
      </c>
      <c r="C26" s="27">
        <f>C20</f>
        <v>13776</v>
      </c>
      <c r="D26" s="27">
        <f>B28-4*2730+12*500-19488</f>
        <v>82474.36</v>
      </c>
    </row>
    <row r="27" spans="1:5" x14ac:dyDescent="0.2">
      <c r="A27" t="s">
        <v>6</v>
      </c>
      <c r="B27" s="27">
        <v>46000</v>
      </c>
      <c r="C27" s="27"/>
      <c r="E27" t="s">
        <v>131</v>
      </c>
    </row>
    <row r="28" spans="1:5" x14ac:dyDescent="0.2">
      <c r="B28" s="27">
        <f>SUM(B26:B27)</f>
        <v>106882.36</v>
      </c>
      <c r="C28" s="27">
        <f>SUM(C26:C27)</f>
        <v>13776</v>
      </c>
      <c r="D28" s="27">
        <v>16499</v>
      </c>
      <c r="E28" s="27">
        <f>C28-D28</f>
        <v>-2723</v>
      </c>
    </row>
    <row r="30" spans="1:5" x14ac:dyDescent="0.2">
      <c r="A30">
        <v>2026</v>
      </c>
    </row>
    <row r="31" spans="1:5" x14ac:dyDescent="0.2">
      <c r="A31" t="s">
        <v>7</v>
      </c>
      <c r="B31" s="27">
        <f>5073.53*12</f>
        <v>60882.36</v>
      </c>
      <c r="C31" s="27">
        <f>C26</f>
        <v>13776</v>
      </c>
      <c r="D31" s="27">
        <f>B33-4*2730+12*500-19488</f>
        <v>91474.36</v>
      </c>
      <c r="E31" s="27"/>
    </row>
    <row r="32" spans="1:5" x14ac:dyDescent="0.2">
      <c r="A32" t="s">
        <v>6</v>
      </c>
      <c r="B32" s="27">
        <v>55000</v>
      </c>
      <c r="C32" s="27"/>
      <c r="D32" s="27"/>
      <c r="E32" t="s">
        <v>131</v>
      </c>
    </row>
    <row r="33" spans="1:5" x14ac:dyDescent="0.2">
      <c r="B33" s="27">
        <f>SUM(B31:B32)</f>
        <v>115882.36</v>
      </c>
      <c r="C33" s="27">
        <f>SUM(C31:C32)</f>
        <v>13776</v>
      </c>
      <c r="D33" s="27">
        <v>19604</v>
      </c>
      <c r="E33" s="27">
        <f>C33-D33</f>
        <v>-5828</v>
      </c>
    </row>
    <row r="35" spans="1:5" x14ac:dyDescent="0.2">
      <c r="A35" t="s">
        <v>7</v>
      </c>
      <c r="B35" s="27">
        <v>60882.36</v>
      </c>
      <c r="C35" s="27">
        <f>C31</f>
        <v>13776</v>
      </c>
      <c r="D35" s="27">
        <f>B37-4*2730+12*500-19488</f>
        <v>101474.36</v>
      </c>
      <c r="E35" s="27"/>
    </row>
    <row r="36" spans="1:5" x14ac:dyDescent="0.2">
      <c r="A36" t="s">
        <v>6</v>
      </c>
      <c r="B36" s="27">
        <v>65000</v>
      </c>
      <c r="C36" s="27"/>
      <c r="D36" s="27"/>
      <c r="E36" t="s">
        <v>131</v>
      </c>
    </row>
    <row r="37" spans="1:5" x14ac:dyDescent="0.2">
      <c r="B37" s="27">
        <f>SUM(B35:B36)</f>
        <v>125882.36</v>
      </c>
      <c r="C37" s="27">
        <f>SUM(C35:C36)</f>
        <v>13776</v>
      </c>
      <c r="D37" s="27">
        <v>23244</v>
      </c>
      <c r="E37" s="27">
        <f>C37-D37</f>
        <v>-9468</v>
      </c>
    </row>
  </sheetData>
  <mergeCells count="2">
    <mergeCell ref="F5:F6"/>
    <mergeCell ref="F11:F12"/>
  </mergeCells>
  <pageMargins left="0.7" right="0.7" top="0.78740157499999996" bottom="0.78740157499999996"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CA29-E7AD-4853-BCA8-40190A043CB3}">
  <dimension ref="A1:K36"/>
  <sheetViews>
    <sheetView workbookViewId="0">
      <selection activeCell="B24" sqref="B24:B27"/>
    </sheetView>
  </sheetViews>
  <sheetFormatPr baseColWidth="10" defaultColWidth="11.5" defaultRowHeight="15" x14ac:dyDescent="0.2"/>
  <cols>
    <col min="1" max="1" width="19" customWidth="1"/>
    <col min="2" max="2" width="13.5" style="27" bestFit="1" customWidth="1"/>
    <col min="6" max="6" width="12.83203125" customWidth="1"/>
  </cols>
  <sheetData>
    <row r="1" spans="1:11" x14ac:dyDescent="0.2">
      <c r="A1" t="s">
        <v>167</v>
      </c>
      <c r="F1" t="s">
        <v>168</v>
      </c>
    </row>
    <row r="2" spans="1:11" ht="16" x14ac:dyDescent="0.2">
      <c r="A2" s="38" t="s">
        <v>169</v>
      </c>
      <c r="F2" s="38" t="s">
        <v>170</v>
      </c>
    </row>
    <row r="3" spans="1:11" x14ac:dyDescent="0.2">
      <c r="A3" t="s">
        <v>171</v>
      </c>
      <c r="B3" s="27">
        <f>200*7/400*2.45</f>
        <v>8.5750000000000011</v>
      </c>
      <c r="F3" t="s">
        <v>172</v>
      </c>
      <c r="G3" s="27">
        <f>3.5*1.4</f>
        <v>4.8999999999999995</v>
      </c>
    </row>
    <row r="4" spans="1:11" x14ac:dyDescent="0.2">
      <c r="A4" t="s">
        <v>173</v>
      </c>
      <c r="B4" s="27">
        <f>3.5*1.89</f>
        <v>6.6149999999999993</v>
      </c>
      <c r="F4" t="s">
        <v>174</v>
      </c>
      <c r="G4" s="27">
        <f>1.4*2.99</f>
        <v>4.1859999999999999</v>
      </c>
    </row>
    <row r="5" spans="1:11" x14ac:dyDescent="0.2">
      <c r="A5" t="s">
        <v>175</v>
      </c>
      <c r="B5" s="27">
        <f>3.5*1.25</f>
        <v>4.375</v>
      </c>
      <c r="F5" t="s">
        <v>176</v>
      </c>
      <c r="G5" s="27">
        <f>7*0.4</f>
        <v>2.8000000000000003</v>
      </c>
    </row>
    <row r="6" spans="1:11" x14ac:dyDescent="0.2">
      <c r="A6" t="s">
        <v>177</v>
      </c>
      <c r="B6" s="27">
        <f>1.5*3.5</f>
        <v>5.25</v>
      </c>
      <c r="F6" t="s">
        <v>178</v>
      </c>
      <c r="G6" s="27">
        <f>125*7/1000*1.65</f>
        <v>1.4437499999999999</v>
      </c>
      <c r="K6">
        <f>57+79+15+80+25+30</f>
        <v>286</v>
      </c>
    </row>
    <row r="7" spans="1:11" x14ac:dyDescent="0.2">
      <c r="A7" t="s">
        <v>179</v>
      </c>
      <c r="B7" s="27">
        <f>2.5*1.5</f>
        <v>3.75</v>
      </c>
      <c r="C7" t="s">
        <v>180</v>
      </c>
      <c r="F7" t="s">
        <v>181</v>
      </c>
      <c r="G7" s="27">
        <v>2.5</v>
      </c>
    </row>
    <row r="8" spans="1:11" x14ac:dyDescent="0.2">
      <c r="A8" s="5" t="s">
        <v>106</v>
      </c>
      <c r="B8" s="28">
        <f>SUM(B3:B7)</f>
        <v>28.565000000000001</v>
      </c>
      <c r="C8" s="27">
        <f>B8/14</f>
        <v>2.0403571428571428</v>
      </c>
      <c r="F8" t="s">
        <v>182</v>
      </c>
      <c r="G8" s="27">
        <f>3.5*1.25</f>
        <v>4.375</v>
      </c>
    </row>
    <row r="9" spans="1:11" x14ac:dyDescent="0.2">
      <c r="F9" t="s">
        <v>183</v>
      </c>
      <c r="G9" s="27">
        <f>54/7/4</f>
        <v>1.9285714285714286</v>
      </c>
    </row>
    <row r="10" spans="1:11" x14ac:dyDescent="0.2">
      <c r="F10" t="s">
        <v>184</v>
      </c>
      <c r="G10" s="27">
        <f>32/4</f>
        <v>8</v>
      </c>
    </row>
    <row r="11" spans="1:11" ht="16" x14ac:dyDescent="0.2">
      <c r="A11" s="38" t="s">
        <v>185</v>
      </c>
      <c r="F11" s="5" t="s">
        <v>106</v>
      </c>
      <c r="G11" s="28">
        <f>SUM(G3:G10)</f>
        <v>30.133321428571424</v>
      </c>
      <c r="H11" s="27">
        <f>G11/14</f>
        <v>2.1523801020408162</v>
      </c>
    </row>
    <row r="12" spans="1:11" x14ac:dyDescent="0.2">
      <c r="A12" t="s">
        <v>186</v>
      </c>
      <c r="B12" s="27">
        <v>11</v>
      </c>
    </row>
    <row r="13" spans="1:11" ht="16" x14ac:dyDescent="0.2">
      <c r="A13" t="s">
        <v>187</v>
      </c>
      <c r="B13" s="27">
        <f>22/4</f>
        <v>5.5</v>
      </c>
      <c r="F13" s="38" t="s">
        <v>185</v>
      </c>
      <c r="G13" s="27"/>
    </row>
    <row r="14" spans="1:11" x14ac:dyDescent="0.2">
      <c r="A14" t="s">
        <v>188</v>
      </c>
      <c r="B14" s="27">
        <v>7</v>
      </c>
      <c r="F14" t="s">
        <v>187</v>
      </c>
      <c r="G14" s="27">
        <f>0.6*14</f>
        <v>8.4</v>
      </c>
    </row>
    <row r="15" spans="1:11" x14ac:dyDescent="0.2">
      <c r="A15" t="s">
        <v>189</v>
      </c>
      <c r="B15" s="27">
        <v>5</v>
      </c>
      <c r="F15" t="s">
        <v>190</v>
      </c>
      <c r="G15" s="27">
        <v>2.1</v>
      </c>
    </row>
    <row r="16" spans="1:11" x14ac:dyDescent="0.2">
      <c r="A16" t="s">
        <v>191</v>
      </c>
      <c r="B16" s="27">
        <v>8</v>
      </c>
      <c r="F16" t="s">
        <v>192</v>
      </c>
      <c r="G16" s="27">
        <f>0.5*16</f>
        <v>8</v>
      </c>
    </row>
    <row r="17" spans="1:9" x14ac:dyDescent="0.2">
      <c r="F17" t="s">
        <v>188</v>
      </c>
      <c r="G17" s="27">
        <f>3.5</f>
        <v>3.5</v>
      </c>
    </row>
    <row r="18" spans="1:9" x14ac:dyDescent="0.2">
      <c r="F18" s="5" t="s">
        <v>106</v>
      </c>
      <c r="G18" s="28">
        <f>SUM(G14:G17)</f>
        <v>22</v>
      </c>
    </row>
    <row r="19" spans="1:9" x14ac:dyDescent="0.2">
      <c r="A19" s="5" t="s">
        <v>106</v>
      </c>
      <c r="B19" s="28">
        <f>SUM(B12:B16)</f>
        <v>36.5</v>
      </c>
    </row>
    <row r="20" spans="1:9" ht="16" x14ac:dyDescent="0.2">
      <c r="F20" s="38" t="s">
        <v>193</v>
      </c>
    </row>
    <row r="21" spans="1:9" ht="16" x14ac:dyDescent="0.2">
      <c r="A21" s="38" t="s">
        <v>194</v>
      </c>
      <c r="F21" t="s">
        <v>195</v>
      </c>
      <c r="G21" s="27">
        <v>8</v>
      </c>
    </row>
    <row r="22" spans="1:9" x14ac:dyDescent="0.2">
      <c r="A22" t="s">
        <v>196</v>
      </c>
      <c r="B22" s="27">
        <f>3.5*1.99</f>
        <v>6.9649999999999999</v>
      </c>
      <c r="F22" t="s">
        <v>197</v>
      </c>
      <c r="G22" s="27">
        <v>3</v>
      </c>
    </row>
    <row r="23" spans="1:9" x14ac:dyDescent="0.2">
      <c r="F23" t="s">
        <v>198</v>
      </c>
      <c r="G23" s="27">
        <v>3.5</v>
      </c>
    </row>
    <row r="24" spans="1:9" x14ac:dyDescent="0.2">
      <c r="A24" s="5" t="s">
        <v>106</v>
      </c>
      <c r="B24" s="28">
        <f>SUM(B22:B23)</f>
        <v>6.9649999999999999</v>
      </c>
      <c r="F24" s="5" t="s">
        <v>106</v>
      </c>
      <c r="G24" s="28">
        <f>SUM(G21:G23)</f>
        <v>14.5</v>
      </c>
    </row>
    <row r="26" spans="1:9" x14ac:dyDescent="0.2">
      <c r="A26" s="5" t="s">
        <v>87</v>
      </c>
      <c r="B26" s="28">
        <f>B8+B19+B24</f>
        <v>72.03</v>
      </c>
    </row>
    <row r="27" spans="1:9" x14ac:dyDescent="0.2">
      <c r="F27" s="5" t="s">
        <v>87</v>
      </c>
      <c r="G27" s="28">
        <f>G11+G18+G24</f>
        <v>66.633321428571421</v>
      </c>
      <c r="I27" s="27">
        <f>G27*4</f>
        <v>266.53328571428568</v>
      </c>
    </row>
    <row r="28" spans="1:9" x14ac:dyDescent="0.2">
      <c r="I28" s="27">
        <f>B26*4</f>
        <v>288.12</v>
      </c>
    </row>
    <row r="29" spans="1:9" x14ac:dyDescent="0.2">
      <c r="I29" s="27">
        <f>I27+I28</f>
        <v>554.65328571428563</v>
      </c>
    </row>
    <row r="31" spans="1:9" x14ac:dyDescent="0.2">
      <c r="A31" s="5" t="s">
        <v>106</v>
      </c>
      <c r="B31" s="28">
        <f>B26+G27</f>
        <v>138.66332142857141</v>
      </c>
    </row>
    <row r="32" spans="1:9" x14ac:dyDescent="0.2">
      <c r="A32" t="s">
        <v>199</v>
      </c>
      <c r="B32" s="27">
        <v>100</v>
      </c>
    </row>
    <row r="33" spans="1:2" x14ac:dyDescent="0.2">
      <c r="A33" t="s">
        <v>200</v>
      </c>
      <c r="B33" s="27">
        <f>B31+B32</f>
        <v>238.66332142857141</v>
      </c>
    </row>
    <row r="34" spans="1:2" x14ac:dyDescent="0.2">
      <c r="A34" t="s">
        <v>201</v>
      </c>
      <c r="B34" s="27">
        <v>30</v>
      </c>
    </row>
    <row r="35" spans="1:2" x14ac:dyDescent="0.2">
      <c r="B35" s="27">
        <f>B33+B34</f>
        <v>268.66332142857141</v>
      </c>
    </row>
    <row r="36" spans="1:2" ht="19" x14ac:dyDescent="0.25">
      <c r="A36" s="20" t="s">
        <v>202</v>
      </c>
      <c r="B36" s="40">
        <f>B35*52/12</f>
        <v>1164.207726190476</v>
      </c>
    </row>
  </sheetData>
  <pageMargins left="0.7" right="0.7" top="0.78740157499999996" bottom="0.78740157499999996"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8AA0C-D6BE-41DD-89A2-5FFD6D9F5F3A}">
  <dimension ref="A1:E18"/>
  <sheetViews>
    <sheetView workbookViewId="0">
      <selection activeCell="A14" sqref="A14"/>
    </sheetView>
  </sheetViews>
  <sheetFormatPr baseColWidth="10" defaultColWidth="9.1640625" defaultRowHeight="15" x14ac:dyDescent="0.2"/>
  <cols>
    <col min="3" max="3" width="10" bestFit="1" customWidth="1"/>
  </cols>
  <sheetData>
    <row r="1" spans="1:5" x14ac:dyDescent="0.2">
      <c r="A1" t="s">
        <v>203</v>
      </c>
    </row>
    <row r="3" spans="1:5" ht="19" x14ac:dyDescent="0.25">
      <c r="A3" s="20" t="s">
        <v>204</v>
      </c>
      <c r="C3" s="2"/>
    </row>
    <row r="4" spans="1:5" x14ac:dyDescent="0.2">
      <c r="C4" s="2"/>
    </row>
    <row r="5" spans="1:5" ht="16" x14ac:dyDescent="0.2">
      <c r="A5" s="21" t="s">
        <v>205</v>
      </c>
      <c r="B5" s="21" t="s">
        <v>206</v>
      </c>
      <c r="C5" s="22" t="s">
        <v>207</v>
      </c>
      <c r="D5" s="21" t="s">
        <v>208</v>
      </c>
      <c r="E5" s="21" t="s">
        <v>209</v>
      </c>
    </row>
    <row r="6" spans="1:5" x14ac:dyDescent="0.2">
      <c r="A6" t="s">
        <v>210</v>
      </c>
      <c r="B6" s="23">
        <v>42461</v>
      </c>
      <c r="C6" s="2">
        <v>3900</v>
      </c>
      <c r="D6" t="s">
        <v>7</v>
      </c>
      <c r="E6" t="s">
        <v>211</v>
      </c>
    </row>
    <row r="7" spans="1:5" x14ac:dyDescent="0.2">
      <c r="A7" t="s">
        <v>212</v>
      </c>
      <c r="B7" s="23">
        <v>42583</v>
      </c>
      <c r="C7" s="2">
        <v>2100</v>
      </c>
      <c r="D7" t="s">
        <v>213</v>
      </c>
      <c r="E7" t="s">
        <v>214</v>
      </c>
    </row>
    <row r="8" spans="1:5" x14ac:dyDescent="0.2">
      <c r="A8" t="s">
        <v>215</v>
      </c>
      <c r="B8" s="23">
        <v>42644</v>
      </c>
      <c r="C8" s="2">
        <v>100</v>
      </c>
      <c r="D8" t="s">
        <v>6</v>
      </c>
      <c r="E8" t="s">
        <v>216</v>
      </c>
    </row>
    <row r="9" spans="1:5" x14ac:dyDescent="0.2">
      <c r="A9" t="s">
        <v>217</v>
      </c>
      <c r="B9" s="23">
        <v>42675</v>
      </c>
      <c r="C9" s="2">
        <v>1133</v>
      </c>
      <c r="D9" t="s">
        <v>6</v>
      </c>
      <c r="E9" t="s">
        <v>218</v>
      </c>
    </row>
    <row r="10" spans="1:5" x14ac:dyDescent="0.2">
      <c r="A10" t="s">
        <v>219</v>
      </c>
      <c r="B10" s="23">
        <v>42887</v>
      </c>
      <c r="C10" s="2">
        <v>500</v>
      </c>
      <c r="D10" t="s">
        <v>220</v>
      </c>
      <c r="E10" t="s">
        <v>214</v>
      </c>
    </row>
    <row r="11" spans="1:5" x14ac:dyDescent="0.2">
      <c r="C11" s="2">
        <f>SUM(C6:C10)</f>
        <v>7733</v>
      </c>
    </row>
    <row r="12" spans="1:5" x14ac:dyDescent="0.2">
      <c r="C12" s="2"/>
    </row>
    <row r="13" spans="1:5" x14ac:dyDescent="0.2">
      <c r="A13" t="s">
        <v>221</v>
      </c>
      <c r="B13" t="s">
        <v>222</v>
      </c>
      <c r="C13" s="2"/>
    </row>
    <row r="14" spans="1:5" x14ac:dyDescent="0.2">
      <c r="C14" s="2"/>
    </row>
    <row r="15" spans="1:5" x14ac:dyDescent="0.2">
      <c r="A15" t="s">
        <v>223</v>
      </c>
      <c r="C15" s="2"/>
    </row>
    <row r="16" spans="1:5" x14ac:dyDescent="0.2">
      <c r="A16" t="s">
        <v>224</v>
      </c>
      <c r="C16" s="2"/>
    </row>
    <row r="17" spans="1:3" x14ac:dyDescent="0.2">
      <c r="A17" t="s">
        <v>225</v>
      </c>
      <c r="C17" s="2"/>
    </row>
    <row r="18" spans="1:3" x14ac:dyDescent="0.2">
      <c r="C18"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A5C8-A884-4B1E-807C-9EEB5E5F5737}">
  <dimension ref="A1:R35"/>
  <sheetViews>
    <sheetView topLeftCell="B1" workbookViewId="0">
      <selection activeCell="E2" sqref="E2:G14"/>
    </sheetView>
  </sheetViews>
  <sheetFormatPr baseColWidth="10" defaultColWidth="11.5" defaultRowHeight="15" x14ac:dyDescent="0.2"/>
  <cols>
    <col min="1" max="1" width="14.5" bestFit="1" customWidth="1"/>
    <col min="2" max="2" width="12.6640625" customWidth="1"/>
    <col min="3" max="3" width="9.1640625" bestFit="1" customWidth="1"/>
    <col min="4" max="4" width="12.5" bestFit="1" customWidth="1"/>
    <col min="5" max="5" width="16.5" customWidth="1"/>
    <col min="6" max="6" width="14.5" bestFit="1" customWidth="1"/>
    <col min="7" max="7" width="32" customWidth="1"/>
    <col min="8" max="8" width="12.1640625" style="27" customWidth="1"/>
    <col min="9" max="9" width="10.83203125" bestFit="1" customWidth="1"/>
    <col min="11" max="11" width="17.5" customWidth="1"/>
    <col min="12" max="12" width="13.5" customWidth="1"/>
    <col min="14" max="14" width="15.5" style="27" customWidth="1"/>
    <col min="15" max="15" width="11.5" customWidth="1"/>
  </cols>
  <sheetData>
    <row r="1" spans="1:18" x14ac:dyDescent="0.2">
      <c r="B1" s="3" t="s">
        <v>72</v>
      </c>
      <c r="C1" s="3" t="s">
        <v>72</v>
      </c>
      <c r="D1" s="3"/>
      <c r="E1" s="3"/>
      <c r="F1" s="3" t="s">
        <v>74</v>
      </c>
      <c r="H1" s="27" t="s">
        <v>226</v>
      </c>
      <c r="I1" t="s">
        <v>70</v>
      </c>
      <c r="K1" s="27">
        <f>(J2+J3+J4+J5)/12</f>
        <v>151.66666666666666</v>
      </c>
      <c r="L1" t="s">
        <v>227</v>
      </c>
      <c r="P1" t="s">
        <v>228</v>
      </c>
    </row>
    <row r="2" spans="1:18" x14ac:dyDescent="0.2">
      <c r="A2" t="s">
        <v>229</v>
      </c>
      <c r="B2" s="2" t="s">
        <v>230</v>
      </c>
      <c r="C2" s="2">
        <v>3000</v>
      </c>
      <c r="D2" s="2"/>
      <c r="E2" s="2" t="s">
        <v>93</v>
      </c>
      <c r="F2" s="2">
        <v>80</v>
      </c>
      <c r="H2" s="27" t="s">
        <v>59</v>
      </c>
      <c r="I2" t="s">
        <v>221</v>
      </c>
      <c r="J2" s="27">
        <f>55*12</f>
        <v>660</v>
      </c>
      <c r="K2" s="27"/>
      <c r="L2" t="s">
        <v>231</v>
      </c>
      <c r="M2" s="27">
        <v>200</v>
      </c>
      <c r="N2" s="27">
        <v>150</v>
      </c>
      <c r="O2">
        <f>20+15+16+12+5+10+8+30+10</f>
        <v>126</v>
      </c>
      <c r="R2" s="27">
        <v>11.37</v>
      </c>
    </row>
    <row r="3" spans="1:18" x14ac:dyDescent="0.2">
      <c r="B3" s="2" t="s">
        <v>232</v>
      </c>
      <c r="C3" s="2">
        <v>750</v>
      </c>
      <c r="D3" s="2"/>
      <c r="E3" s="2" t="s">
        <v>94</v>
      </c>
      <c r="F3" s="2">
        <v>50</v>
      </c>
      <c r="H3" s="27">
        <v>28</v>
      </c>
      <c r="I3" t="s">
        <v>100</v>
      </c>
      <c r="J3" s="27">
        <f>30*12</f>
        <v>360</v>
      </c>
      <c r="K3" s="27"/>
      <c r="L3" t="s">
        <v>233</v>
      </c>
      <c r="M3" s="27">
        <v>40</v>
      </c>
      <c r="N3" s="27">
        <v>39.950000000000003</v>
      </c>
      <c r="R3" s="27">
        <v>2.5499999999999998</v>
      </c>
    </row>
    <row r="4" spans="1:18" x14ac:dyDescent="0.2">
      <c r="B4" s="2" t="s">
        <v>234</v>
      </c>
      <c r="C4" s="2">
        <v>600</v>
      </c>
      <c r="D4" s="2"/>
      <c r="E4" s="2" t="s">
        <v>95</v>
      </c>
      <c r="F4" s="2">
        <v>30</v>
      </c>
      <c r="H4" s="27">
        <v>37.950000000000003</v>
      </c>
      <c r="I4" t="s">
        <v>6</v>
      </c>
      <c r="J4" s="27">
        <v>500</v>
      </c>
      <c r="K4" s="27"/>
      <c r="L4" t="s">
        <v>74</v>
      </c>
      <c r="M4" s="27">
        <f>H18</f>
        <v>1133.7</v>
      </c>
      <c r="R4" s="27">
        <f>1.69*2</f>
        <v>3.38</v>
      </c>
    </row>
    <row r="5" spans="1:18" ht="16" thickBot="1" x14ac:dyDescent="0.25">
      <c r="D5" s="2"/>
      <c r="E5" s="2" t="s">
        <v>96</v>
      </c>
      <c r="F5" s="2">
        <v>30</v>
      </c>
      <c r="H5" s="27">
        <v>22</v>
      </c>
      <c r="I5" t="s">
        <v>7</v>
      </c>
      <c r="J5" s="27">
        <v>300</v>
      </c>
      <c r="K5" s="27"/>
      <c r="L5" t="s">
        <v>235</v>
      </c>
      <c r="M5" s="27">
        <v>75</v>
      </c>
      <c r="R5" s="27">
        <v>1.1599999999999999</v>
      </c>
    </row>
    <row r="6" spans="1:18" x14ac:dyDescent="0.2">
      <c r="B6" s="2"/>
      <c r="C6" s="2"/>
      <c r="D6" s="2"/>
      <c r="E6" s="2" t="s">
        <v>97</v>
      </c>
      <c r="F6" s="2">
        <v>350</v>
      </c>
      <c r="G6" t="s">
        <v>98</v>
      </c>
      <c r="H6" s="27">
        <v>350</v>
      </c>
      <c r="I6" s="27">
        <f>42.9+149.99</f>
        <v>192.89000000000001</v>
      </c>
      <c r="J6" s="30">
        <f>H6-I6</f>
        <v>157.10999999999999</v>
      </c>
      <c r="K6" s="27" t="s">
        <v>236</v>
      </c>
      <c r="L6" t="s">
        <v>237</v>
      </c>
      <c r="M6" s="27">
        <v>250</v>
      </c>
      <c r="R6" s="27">
        <v>1.78</v>
      </c>
    </row>
    <row r="7" spans="1:18" ht="16" thickBot="1" x14ac:dyDescent="0.25">
      <c r="B7" s="2"/>
      <c r="C7" s="2"/>
      <c r="D7" s="2"/>
      <c r="E7" s="2" t="s">
        <v>100</v>
      </c>
      <c r="F7" s="2">
        <v>250</v>
      </c>
      <c r="G7" t="s">
        <v>101</v>
      </c>
      <c r="H7" s="27">
        <v>250</v>
      </c>
      <c r="I7" s="27">
        <f>39.99+25.96+39.99</f>
        <v>105.94</v>
      </c>
      <c r="J7" s="31">
        <f>200-I7</f>
        <v>94.06</v>
      </c>
      <c r="K7" s="27" t="s">
        <v>238</v>
      </c>
      <c r="L7" t="s">
        <v>239</v>
      </c>
      <c r="M7" s="27">
        <v>50</v>
      </c>
      <c r="R7" s="27"/>
    </row>
    <row r="8" spans="1:18" x14ac:dyDescent="0.2">
      <c r="B8" s="2"/>
      <c r="C8" s="2"/>
      <c r="D8" s="2"/>
      <c r="E8" s="2" t="s">
        <v>102</v>
      </c>
      <c r="F8" s="2">
        <v>40</v>
      </c>
      <c r="H8" s="27">
        <v>15</v>
      </c>
      <c r="J8" s="27"/>
      <c r="K8" s="27"/>
      <c r="R8" s="27"/>
    </row>
    <row r="9" spans="1:18" x14ac:dyDescent="0.2">
      <c r="B9" s="2"/>
      <c r="C9" s="2"/>
      <c r="D9" s="2"/>
      <c r="E9" s="2" t="s">
        <v>103</v>
      </c>
      <c r="F9" s="2">
        <v>150</v>
      </c>
      <c r="H9" s="27">
        <f>150+134</f>
        <v>284</v>
      </c>
      <c r="J9" s="27"/>
      <c r="K9" s="27"/>
      <c r="L9" t="s">
        <v>240</v>
      </c>
      <c r="M9" s="27">
        <v>100</v>
      </c>
      <c r="N9" s="27">
        <v>100</v>
      </c>
      <c r="Q9" t="s">
        <v>113</v>
      </c>
      <c r="R9" s="27">
        <f>SUM(R2:R8)</f>
        <v>20.239999999999998</v>
      </c>
    </row>
    <row r="10" spans="1:18" x14ac:dyDescent="0.2">
      <c r="B10" s="2"/>
      <c r="C10" s="2"/>
      <c r="D10" s="2"/>
      <c r="E10" s="2" t="s">
        <v>104</v>
      </c>
      <c r="F10" s="2">
        <v>100</v>
      </c>
      <c r="G10" t="s">
        <v>241</v>
      </c>
      <c r="H10" s="27">
        <v>100</v>
      </c>
      <c r="J10" s="27"/>
      <c r="K10" s="27"/>
      <c r="L10" t="s">
        <v>242</v>
      </c>
      <c r="M10">
        <f>39.9+14.99</f>
        <v>54.89</v>
      </c>
      <c r="N10" s="27">
        <f>M10</f>
        <v>54.89</v>
      </c>
    </row>
    <row r="11" spans="1:18" x14ac:dyDescent="0.2">
      <c r="B11" s="2"/>
      <c r="C11" s="2"/>
      <c r="D11" s="2"/>
      <c r="E11" s="2" t="s">
        <v>24</v>
      </c>
      <c r="F11" s="2">
        <v>50</v>
      </c>
      <c r="H11" s="27">
        <v>50</v>
      </c>
      <c r="J11" s="27"/>
      <c r="K11" s="27"/>
      <c r="L11" t="s">
        <v>243</v>
      </c>
      <c r="M11">
        <f>25.99</f>
        <v>25.99</v>
      </c>
      <c r="N11" s="27">
        <f>M11</f>
        <v>25.99</v>
      </c>
    </row>
    <row r="12" spans="1:18" x14ac:dyDescent="0.2">
      <c r="B12" s="2"/>
      <c r="C12" s="2"/>
      <c r="D12" s="2"/>
      <c r="E12" s="2" t="s">
        <v>244</v>
      </c>
      <c r="F12" s="2">
        <v>100</v>
      </c>
      <c r="H12" s="27">
        <f>30.75+16</f>
        <v>46.75</v>
      </c>
      <c r="J12" s="27"/>
      <c r="K12" s="27"/>
      <c r="L12" t="str">
        <f>P12</f>
        <v>REWE-Bestellung:</v>
      </c>
      <c r="M12">
        <v>159.27000000000001</v>
      </c>
      <c r="P12" s="29" t="s">
        <v>245</v>
      </c>
      <c r="Q12" s="27">
        <v>176.17</v>
      </c>
      <c r="R12" t="s">
        <v>246</v>
      </c>
    </row>
    <row r="13" spans="1:18" s="3" customFormat="1" x14ac:dyDescent="0.2">
      <c r="A13" s="5"/>
      <c r="C13" s="4">
        <f>SUM(C2:C8)</f>
        <v>4350</v>
      </c>
      <c r="D13" s="4"/>
      <c r="E13" s="4"/>
      <c r="F13" s="4">
        <f>SUM(F2:F12)</f>
        <v>1230</v>
      </c>
      <c r="G13" s="5" t="s">
        <v>247</v>
      </c>
      <c r="H13" s="28">
        <f>SUM(H3:H12)</f>
        <v>1183.7</v>
      </c>
      <c r="J13" s="28">
        <f>SUM(J2:J5)</f>
        <v>1820</v>
      </c>
      <c r="K13" s="28"/>
      <c r="L13" t="str">
        <f>P13</f>
        <v>DM-Bestellung:</v>
      </c>
      <c r="M13">
        <f>Q13</f>
        <v>94.54</v>
      </c>
      <c r="N13" s="27">
        <f>M13</f>
        <v>94.54</v>
      </c>
      <c r="P13" s="29" t="s">
        <v>248</v>
      </c>
      <c r="Q13" s="27">
        <v>94.54</v>
      </c>
      <c r="R13" t="s">
        <v>246</v>
      </c>
    </row>
    <row r="14" spans="1:18" s="3" customFormat="1" x14ac:dyDescent="0.2">
      <c r="A14" s="34" t="s">
        <v>249</v>
      </c>
      <c r="C14" s="4">
        <f>C13/12</f>
        <v>362.5</v>
      </c>
      <c r="E14" s="4"/>
      <c r="F14" s="4">
        <f>F13/12</f>
        <v>102.5</v>
      </c>
      <c r="H14" s="4">
        <f>H13/12</f>
        <v>98.641666666666666</v>
      </c>
      <c r="J14" s="28">
        <f>J13/12</f>
        <v>151.66666666666666</v>
      </c>
      <c r="K14" s="28"/>
      <c r="N14" s="27"/>
      <c r="Q14" s="28">
        <f>SUM(Q12:Q13)</f>
        <v>270.70999999999998</v>
      </c>
    </row>
    <row r="15" spans="1:18" x14ac:dyDescent="0.2">
      <c r="A15" s="29" t="s">
        <v>13</v>
      </c>
      <c r="C15" s="4">
        <f>C14+F14+J14</f>
        <v>616.66666666666663</v>
      </c>
    </row>
    <row r="17" spans="1:16" x14ac:dyDescent="0.2">
      <c r="L17" s="3"/>
      <c r="M17" s="28">
        <f>SUM(M2:M12)</f>
        <v>2088.8500000000004</v>
      </c>
      <c r="N17" s="27">
        <f>(SUM(N2:N11))</f>
        <v>370.83</v>
      </c>
    </row>
    <row r="18" spans="1:16" x14ac:dyDescent="0.2">
      <c r="E18" t="s">
        <v>250</v>
      </c>
      <c r="F18" s="2">
        <f>F4+F6+F7+F8+F9+F10+F11+F12</f>
        <v>1070</v>
      </c>
      <c r="H18" s="2">
        <f>H4+H6+H7+H8+H9+H10+H11+H12</f>
        <v>1133.7</v>
      </c>
      <c r="L18" s="3"/>
      <c r="M18" s="3"/>
    </row>
    <row r="19" spans="1:16" x14ac:dyDescent="0.2">
      <c r="L19" t="s">
        <v>251</v>
      </c>
      <c r="M19" s="28">
        <f>2861.11+110</f>
        <v>2971.11</v>
      </c>
      <c r="N19" s="27" t="s">
        <v>252</v>
      </c>
      <c r="O19" s="35">
        <v>44921</v>
      </c>
      <c r="P19" s="35">
        <v>37618</v>
      </c>
    </row>
    <row r="20" spans="1:16" x14ac:dyDescent="0.2">
      <c r="A20" s="3"/>
      <c r="L20" s="3" t="s">
        <v>253</v>
      </c>
      <c r="M20" s="28">
        <f>M19-M17</f>
        <v>882.25999999999976</v>
      </c>
      <c r="N20" s="27">
        <v>914</v>
      </c>
      <c r="O20" s="27">
        <f>N20-J6-J7+F30</f>
        <v>1438.62</v>
      </c>
      <c r="P20" s="27">
        <v>900</v>
      </c>
    </row>
    <row r="21" spans="1:16" x14ac:dyDescent="0.2">
      <c r="A21" s="3"/>
      <c r="L21" t="s">
        <v>49</v>
      </c>
      <c r="M21" s="27">
        <v>400</v>
      </c>
      <c r="N21" s="27">
        <v>400</v>
      </c>
      <c r="O21" s="27">
        <f>O20/2</f>
        <v>719.31</v>
      </c>
      <c r="P21" s="27"/>
    </row>
    <row r="22" spans="1:16" x14ac:dyDescent="0.2">
      <c r="A22" s="3"/>
      <c r="L22" s="3" t="s">
        <v>62</v>
      </c>
      <c r="M22" s="27">
        <v>400</v>
      </c>
      <c r="N22" s="27">
        <v>400</v>
      </c>
      <c r="O22" s="27">
        <f>O20/2</f>
        <v>719.31</v>
      </c>
      <c r="P22" s="27"/>
    </row>
    <row r="23" spans="1:16" x14ac:dyDescent="0.2">
      <c r="L23" t="s">
        <v>254</v>
      </c>
      <c r="M23" s="27">
        <f>M20-(M21+M22)</f>
        <v>82.259999999999764</v>
      </c>
      <c r="N23" s="27">
        <f>N20-(N21+N22)</f>
        <v>114</v>
      </c>
      <c r="P23" s="27"/>
    </row>
    <row r="24" spans="1:16" x14ac:dyDescent="0.2">
      <c r="N24" s="27">
        <f>M21+M22+M23</f>
        <v>882.25999999999976</v>
      </c>
    </row>
    <row r="27" spans="1:16" x14ac:dyDescent="0.2">
      <c r="A27" t="s">
        <v>255</v>
      </c>
      <c r="E27" t="s">
        <v>256</v>
      </c>
      <c r="G27" t="s">
        <v>257</v>
      </c>
      <c r="H27" s="27" t="s">
        <v>258</v>
      </c>
      <c r="I27" t="s">
        <v>259</v>
      </c>
      <c r="L27" s="29" t="s">
        <v>260</v>
      </c>
      <c r="M27" s="26">
        <v>1684.09</v>
      </c>
    </row>
    <row r="28" spans="1:16" x14ac:dyDescent="0.2">
      <c r="B28" t="s">
        <v>7</v>
      </c>
      <c r="C28" t="s">
        <v>100</v>
      </c>
      <c r="E28" t="s">
        <v>261</v>
      </c>
      <c r="F28" s="27">
        <v>900</v>
      </c>
      <c r="G28" t="s">
        <v>262</v>
      </c>
      <c r="H28" s="27">
        <f>100</f>
        <v>100</v>
      </c>
      <c r="I28">
        <v>120</v>
      </c>
      <c r="L28" s="29" t="s">
        <v>263</v>
      </c>
    </row>
    <row r="29" spans="1:16" x14ac:dyDescent="0.2">
      <c r="A29" t="s">
        <v>264</v>
      </c>
      <c r="B29" s="27">
        <f>350+450+50+50+50+70</f>
        <v>1020</v>
      </c>
      <c r="C29" s="27">
        <f>250+450+50+50+50+70</f>
        <v>920</v>
      </c>
      <c r="E29" t="s">
        <v>265</v>
      </c>
      <c r="F29" s="33">
        <f>-M33</f>
        <v>-540</v>
      </c>
      <c r="H29" s="27">
        <v>100</v>
      </c>
      <c r="I29">
        <v>120</v>
      </c>
      <c r="L29" s="29" t="s">
        <v>266</v>
      </c>
      <c r="M29" s="27">
        <f>M2-80</f>
        <v>120</v>
      </c>
    </row>
    <row r="30" spans="1:16" x14ac:dyDescent="0.2">
      <c r="A30" s="32">
        <v>0.5</v>
      </c>
      <c r="B30" s="27">
        <f>B29/2</f>
        <v>510</v>
      </c>
      <c r="C30" s="27">
        <f>C29/2</f>
        <v>460</v>
      </c>
      <c r="E30" t="s">
        <v>267</v>
      </c>
      <c r="F30" s="27">
        <v>775.79</v>
      </c>
      <c r="G30" t="s">
        <v>268</v>
      </c>
      <c r="H30" s="27">
        <f>240*3</f>
        <v>720</v>
      </c>
      <c r="L30" s="29" t="s">
        <v>269</v>
      </c>
      <c r="M30" s="27">
        <f>J6+J7</f>
        <v>251.17</v>
      </c>
    </row>
    <row r="31" spans="1:16" x14ac:dyDescent="0.2">
      <c r="A31" t="s">
        <v>270</v>
      </c>
      <c r="B31" s="27">
        <f>450+J6+70+50</f>
        <v>727.11</v>
      </c>
      <c r="C31" s="27">
        <f>150+J7+50+70</f>
        <v>364.06</v>
      </c>
      <c r="E31" t="s">
        <v>106</v>
      </c>
      <c r="F31" s="27">
        <f>SUM(F28:F30)</f>
        <v>1135.79</v>
      </c>
      <c r="G31" t="s">
        <v>271</v>
      </c>
      <c r="H31" s="27">
        <v>0</v>
      </c>
      <c r="L31" s="29" t="s">
        <v>272</v>
      </c>
      <c r="M31" s="27">
        <f>M7</f>
        <v>50</v>
      </c>
    </row>
    <row r="32" spans="1:16" x14ac:dyDescent="0.2">
      <c r="A32" t="s">
        <v>273</v>
      </c>
      <c r="B32" s="27">
        <f>450+J6</f>
        <v>607.11</v>
      </c>
      <c r="C32" s="27">
        <f>150+70+J7</f>
        <v>314.06</v>
      </c>
      <c r="G32" t="s">
        <v>274</v>
      </c>
      <c r="H32" s="27">
        <v>270</v>
      </c>
      <c r="L32" s="29" t="s">
        <v>275</v>
      </c>
      <c r="M32" s="27">
        <f>5*3*20</f>
        <v>300</v>
      </c>
      <c r="N32" t="s">
        <v>49</v>
      </c>
      <c r="O32" s="27">
        <f>M35/6*2.5</f>
        <v>401.21666666666664</v>
      </c>
    </row>
    <row r="33" spans="1:15" x14ac:dyDescent="0.2">
      <c r="A33" t="s">
        <v>276</v>
      </c>
      <c r="B33" s="27">
        <f>B32-B30</f>
        <v>97.110000000000014</v>
      </c>
      <c r="G33" t="s">
        <v>106</v>
      </c>
      <c r="H33" s="27">
        <f>SUM(H28:H32)</f>
        <v>1190</v>
      </c>
      <c r="L33" s="29" t="s">
        <v>277</v>
      </c>
      <c r="M33" s="27">
        <v>540</v>
      </c>
      <c r="N33" s="3" t="s">
        <v>62</v>
      </c>
      <c r="O33" s="27">
        <f>M35/6*2.5</f>
        <v>401.21666666666664</v>
      </c>
    </row>
    <row r="34" spans="1:15" x14ac:dyDescent="0.2">
      <c r="A34" t="s">
        <v>278</v>
      </c>
      <c r="B34" s="27">
        <f>J6-B33</f>
        <v>59.999999999999972</v>
      </c>
      <c r="H34" s="27">
        <f>H33/450</f>
        <v>2.6444444444444444</v>
      </c>
      <c r="L34" s="29" t="s">
        <v>279</v>
      </c>
      <c r="M34" s="27">
        <f>M27-M29-M30-M31-M32-M33</f>
        <v>422.91999999999985</v>
      </c>
      <c r="N34" t="s">
        <v>254</v>
      </c>
      <c r="O34" s="27">
        <f>M35-O32-O33</f>
        <v>160.48666666666651</v>
      </c>
    </row>
    <row r="35" spans="1:15" x14ac:dyDescent="0.2">
      <c r="L35" s="29" t="s">
        <v>280</v>
      </c>
      <c r="M35" s="27">
        <f>M27-M29-M30-M31-M32</f>
        <v>962.91999999999985</v>
      </c>
    </row>
  </sheetData>
  <pageMargins left="0.7" right="0.7" top="0.78740157499999996" bottom="0.78740157499999996" header="0.3" footer="0.3"/>
  <pageSetup paperSize="9"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0BA7-3EBE-4C4F-8BBD-1BE7E7F2CC57}">
  <dimension ref="A1:F15"/>
  <sheetViews>
    <sheetView workbookViewId="0">
      <selection activeCell="A15" sqref="A15"/>
    </sheetView>
  </sheetViews>
  <sheetFormatPr baseColWidth="10" defaultColWidth="9.1640625" defaultRowHeight="15" x14ac:dyDescent="0.2"/>
  <cols>
    <col min="1" max="1" width="27" customWidth="1"/>
    <col min="2" max="2" width="8" customWidth="1"/>
    <col min="3" max="4" width="13.6640625" customWidth="1"/>
    <col min="5" max="5" width="12.5" customWidth="1"/>
    <col min="6" max="6" width="10.6640625" customWidth="1"/>
  </cols>
  <sheetData>
    <row r="1" spans="1:6" x14ac:dyDescent="0.2">
      <c r="A1" t="s">
        <v>300</v>
      </c>
    </row>
    <row r="2" spans="1:6" x14ac:dyDescent="0.2">
      <c r="C2" t="s">
        <v>301</v>
      </c>
      <c r="E2" t="s">
        <v>302</v>
      </c>
    </row>
    <row r="3" spans="1:6" x14ac:dyDescent="0.2">
      <c r="A3" s="3" t="s">
        <v>303</v>
      </c>
      <c r="B3" s="3"/>
      <c r="C3" s="4">
        <v>6122.13</v>
      </c>
      <c r="D3" s="4"/>
      <c r="E3" s="4">
        <v>4934.3100000000004</v>
      </c>
    </row>
    <row r="4" spans="1:6" x14ac:dyDescent="0.2">
      <c r="A4" s="3"/>
      <c r="B4" s="3" t="s">
        <v>304</v>
      </c>
      <c r="C4" s="4">
        <v>10000</v>
      </c>
      <c r="D4" s="4"/>
      <c r="E4" s="4">
        <v>10000</v>
      </c>
      <c r="F4" t="s">
        <v>305</v>
      </c>
    </row>
    <row r="5" spans="1:6" x14ac:dyDescent="0.2">
      <c r="B5" t="s">
        <v>306</v>
      </c>
      <c r="C5" s="2"/>
      <c r="D5" s="2"/>
      <c r="E5" s="2"/>
    </row>
    <row r="6" spans="1:6" x14ac:dyDescent="0.2">
      <c r="C6" s="2">
        <f>10500-C3</f>
        <v>4377.87</v>
      </c>
      <c r="D6" s="2"/>
      <c r="E6" s="2">
        <v>5800.2</v>
      </c>
    </row>
    <row r="7" spans="1:6" x14ac:dyDescent="0.2">
      <c r="A7" t="s">
        <v>307</v>
      </c>
      <c r="B7">
        <v>3</v>
      </c>
      <c r="C7" s="2">
        <v>700</v>
      </c>
      <c r="D7" s="2">
        <f>B7*C7</f>
        <v>2100</v>
      </c>
      <c r="E7" s="2">
        <v>700</v>
      </c>
      <c r="F7" s="2">
        <f>E7*B7</f>
        <v>2100</v>
      </c>
    </row>
    <row r="8" spans="1:6" x14ac:dyDescent="0.2">
      <c r="C8" s="2"/>
      <c r="D8" s="2"/>
      <c r="E8" s="2">
        <v>4836</v>
      </c>
    </row>
    <row r="9" spans="1:6" x14ac:dyDescent="0.2">
      <c r="A9" t="s">
        <v>308</v>
      </c>
      <c r="B9">
        <v>15</v>
      </c>
      <c r="C9" s="2">
        <v>218</v>
      </c>
      <c r="D9" s="2">
        <f>B9*C9</f>
        <v>3270</v>
      </c>
      <c r="E9" s="2">
        <v>209</v>
      </c>
      <c r="F9" s="2">
        <f>E9*B9</f>
        <v>3135</v>
      </c>
    </row>
    <row r="10" spans="1:6" x14ac:dyDescent="0.2">
      <c r="D10" s="2">
        <f>C3+D9</f>
        <v>9392.130000000001</v>
      </c>
      <c r="F10" s="2">
        <f>E3+F9</f>
        <v>8069.31</v>
      </c>
    </row>
    <row r="11" spans="1:6" x14ac:dyDescent="0.2">
      <c r="D11" s="2">
        <f>C4-D10</f>
        <v>607.86999999999898</v>
      </c>
      <c r="F11" s="2">
        <f>E4-F10</f>
        <v>1930.6899999999996</v>
      </c>
    </row>
    <row r="13" spans="1:6" x14ac:dyDescent="0.2">
      <c r="A13" t="s">
        <v>309</v>
      </c>
    </row>
    <row r="14" spans="1:6" x14ac:dyDescent="0.2">
      <c r="A14" t="s">
        <v>285</v>
      </c>
      <c r="C14" s="2">
        <v>10000</v>
      </c>
      <c r="D14" s="2">
        <v>5000</v>
      </c>
      <c r="E14" s="2">
        <v>2000</v>
      </c>
    </row>
    <row r="15" spans="1:6" x14ac:dyDescent="0.2">
      <c r="A15" t="s">
        <v>310</v>
      </c>
      <c r="B15">
        <v>0.2</v>
      </c>
      <c r="C15" s="2">
        <f>C14*B15</f>
        <v>2000</v>
      </c>
      <c r="D15" s="2">
        <f>D14*B15</f>
        <v>1000</v>
      </c>
      <c r="E15" s="2">
        <f>E14*B15</f>
        <v>400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85E0-2D83-46AA-B783-F5A0E0E13FFC}">
  <dimension ref="A1:B11"/>
  <sheetViews>
    <sheetView workbookViewId="0">
      <selection sqref="A1:B11"/>
    </sheetView>
  </sheetViews>
  <sheetFormatPr baseColWidth="10" defaultColWidth="9" defaultRowHeight="15" x14ac:dyDescent="0.2"/>
  <cols>
    <col min="1" max="1" width="24.1640625" customWidth="1"/>
    <col min="2" max="2" width="9.1640625" style="2"/>
  </cols>
  <sheetData>
    <row r="1" spans="1:2" x14ac:dyDescent="0.2">
      <c r="A1" t="s">
        <v>311</v>
      </c>
    </row>
    <row r="3" spans="1:2" x14ac:dyDescent="0.2">
      <c r="A3" t="s">
        <v>312</v>
      </c>
      <c r="B3" s="2">
        <v>27</v>
      </c>
    </row>
    <row r="4" spans="1:2" x14ac:dyDescent="0.2">
      <c r="A4" t="s">
        <v>313</v>
      </c>
      <c r="B4" s="2">
        <v>200</v>
      </c>
    </row>
    <row r="5" spans="1:2" x14ac:dyDescent="0.2">
      <c r="A5" t="s">
        <v>314</v>
      </c>
      <c r="B5" s="2">
        <f>(52-14)*2*3.5/12</f>
        <v>22.166666666666668</v>
      </c>
    </row>
    <row r="6" spans="1:2" x14ac:dyDescent="0.2">
      <c r="A6" t="s">
        <v>315</v>
      </c>
      <c r="B6" s="2">
        <f>(52-14)*2*3.5/12</f>
        <v>22.166666666666668</v>
      </c>
    </row>
    <row r="7" spans="1:2" x14ac:dyDescent="0.2">
      <c r="A7" t="s">
        <v>316</v>
      </c>
      <c r="B7" s="2">
        <v>11</v>
      </c>
    </row>
    <row r="8" spans="1:2" x14ac:dyDescent="0.2">
      <c r="A8" t="s">
        <v>317</v>
      </c>
      <c r="B8" s="2">
        <f>(52-14)*10/12</f>
        <v>31.666666666666668</v>
      </c>
    </row>
    <row r="9" spans="1:2" x14ac:dyDescent="0.2">
      <c r="A9" t="s">
        <v>113</v>
      </c>
      <c r="B9" s="2">
        <f>SUM(B3:B7)</f>
        <v>282.33333333333331</v>
      </c>
    </row>
    <row r="10" spans="1:2" x14ac:dyDescent="0.2">
      <c r="A10" t="s">
        <v>318</v>
      </c>
      <c r="B10" s="2">
        <f>1050-B9</f>
        <v>767.66666666666674</v>
      </c>
    </row>
    <row r="11" spans="1:2" x14ac:dyDescent="0.2">
      <c r="A11" t="s">
        <v>319</v>
      </c>
      <c r="B11" s="2">
        <f>B10/4</f>
        <v>191.91666666666669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EFE7-DE41-4EAA-9C81-27491AD76A48}">
  <dimension ref="A1:G11"/>
  <sheetViews>
    <sheetView workbookViewId="0">
      <selection activeCell="F9" sqref="F9"/>
    </sheetView>
  </sheetViews>
  <sheetFormatPr baseColWidth="10" defaultColWidth="11.5" defaultRowHeight="15" x14ac:dyDescent="0.2"/>
  <cols>
    <col min="1" max="1" width="18" customWidth="1"/>
    <col min="2" max="2" width="10.83203125" style="27"/>
  </cols>
  <sheetData>
    <row r="1" spans="1:7" x14ac:dyDescent="0.2">
      <c r="A1" t="s">
        <v>320</v>
      </c>
      <c r="B1" s="27">
        <f>8618.71-Einnahmen!B4</f>
        <v>3753.8899999999994</v>
      </c>
      <c r="D1" t="s">
        <v>321</v>
      </c>
      <c r="E1">
        <v>900</v>
      </c>
    </row>
    <row r="2" spans="1:7" x14ac:dyDescent="0.2">
      <c r="A2" t="s">
        <v>322</v>
      </c>
      <c r="B2" s="27">
        <v>2568.7399999999998</v>
      </c>
      <c r="D2" t="s">
        <v>323</v>
      </c>
      <c r="E2">
        <v>100</v>
      </c>
    </row>
    <row r="3" spans="1:7" x14ac:dyDescent="0.2">
      <c r="A3" t="s">
        <v>324</v>
      </c>
      <c r="B3" s="27">
        <f>JahresausgabenBudgets!J2+JahresausgabenBudgets!J4+JahresausgabenBudgets!J5</f>
        <v>1460</v>
      </c>
      <c r="D3" t="s">
        <v>62</v>
      </c>
      <c r="E3">
        <v>450</v>
      </c>
    </row>
    <row r="4" spans="1:7" x14ac:dyDescent="0.2">
      <c r="A4" t="s">
        <v>49</v>
      </c>
      <c r="B4" s="27">
        <v>471.63</v>
      </c>
      <c r="D4" t="s">
        <v>49</v>
      </c>
      <c r="E4">
        <v>450</v>
      </c>
    </row>
    <row r="6" spans="1:7" x14ac:dyDescent="0.2">
      <c r="A6" t="s">
        <v>113</v>
      </c>
      <c r="B6" s="27">
        <f>B1-B2-B3-B4</f>
        <v>-746.48000000000036</v>
      </c>
    </row>
    <row r="8" spans="1:7" x14ac:dyDescent="0.2">
      <c r="D8" t="s">
        <v>325</v>
      </c>
      <c r="F8" t="s">
        <v>326</v>
      </c>
      <c r="G8" t="s">
        <v>327</v>
      </c>
    </row>
    <row r="9" spans="1:7" x14ac:dyDescent="0.2">
      <c r="A9" t="s">
        <v>328</v>
      </c>
      <c r="B9" s="27">
        <f>B1+E1+E2-B6</f>
        <v>5500.37</v>
      </c>
      <c r="F9" t="s">
        <v>329</v>
      </c>
      <c r="G9" t="s">
        <v>330</v>
      </c>
    </row>
    <row r="10" spans="1:7" x14ac:dyDescent="0.2">
      <c r="A10" t="s">
        <v>331</v>
      </c>
      <c r="B10" s="37">
        <v>6720.27</v>
      </c>
      <c r="C10" s="17"/>
    </row>
    <row r="11" spans="1:7" x14ac:dyDescent="0.2">
      <c r="A11" t="s">
        <v>253</v>
      </c>
      <c r="B11" s="27">
        <f>B10-B9</f>
        <v>1219.9000000000005</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98B28-A59D-4AF9-9B61-AC88BA36F3DA}">
  <dimension ref="A1"/>
  <sheetViews>
    <sheetView workbookViewId="0"/>
  </sheetViews>
  <sheetFormatPr baseColWidth="10" defaultRowHeight="1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4D7D-D469-4123-A86B-1107156502C8}">
  <dimension ref="A1:I16"/>
  <sheetViews>
    <sheetView zoomScale="130" zoomScaleNormal="130" workbookViewId="0">
      <selection activeCell="C28" sqref="C28"/>
    </sheetView>
  </sheetViews>
  <sheetFormatPr baseColWidth="10" defaultColWidth="11.5" defaultRowHeight="15" x14ac:dyDescent="0.2"/>
  <cols>
    <col min="1" max="1" width="14.5" customWidth="1"/>
    <col min="2" max="2" width="19" customWidth="1"/>
    <col min="5" max="5" width="13.6640625" customWidth="1"/>
    <col min="7" max="7" width="16" customWidth="1"/>
    <col min="8" max="8" width="22.83203125" customWidth="1"/>
    <col min="9" max="9" width="21" customWidth="1"/>
  </cols>
  <sheetData>
    <row r="1" spans="1:9" x14ac:dyDescent="0.2">
      <c r="A1" t="s">
        <v>286</v>
      </c>
    </row>
    <row r="2" spans="1:9" x14ac:dyDescent="0.2">
      <c r="A2" s="39"/>
      <c r="B2" s="39" t="s">
        <v>205</v>
      </c>
      <c r="C2" s="39" t="s">
        <v>281</v>
      </c>
      <c r="D2" s="39" t="s">
        <v>282</v>
      </c>
      <c r="E2" s="39" t="s">
        <v>231</v>
      </c>
      <c r="F2" s="39" t="s">
        <v>283</v>
      </c>
      <c r="G2" s="39" t="s">
        <v>113</v>
      </c>
      <c r="H2" s="42" t="s">
        <v>287</v>
      </c>
      <c r="I2" s="42" t="s">
        <v>91</v>
      </c>
    </row>
    <row r="3" spans="1:9" x14ac:dyDescent="0.2">
      <c r="A3" s="39" t="s">
        <v>288</v>
      </c>
      <c r="B3" s="39" t="s">
        <v>293</v>
      </c>
      <c r="C3" s="41"/>
      <c r="D3" s="41"/>
      <c r="E3" s="41"/>
      <c r="F3" s="41"/>
      <c r="G3" s="43"/>
    </row>
    <row r="4" spans="1:9" x14ac:dyDescent="0.2">
      <c r="A4" s="39" t="s">
        <v>262</v>
      </c>
      <c r="B4" s="39"/>
      <c r="C4" s="41"/>
      <c r="D4" s="41"/>
      <c r="E4" s="41"/>
      <c r="F4" s="41"/>
      <c r="G4" s="43"/>
    </row>
    <row r="5" spans="1:9" x14ac:dyDescent="0.2">
      <c r="A5" s="39" t="s">
        <v>289</v>
      </c>
      <c r="C5" s="41"/>
      <c r="D5" s="41"/>
      <c r="E5" s="41"/>
      <c r="F5" s="41"/>
      <c r="G5" s="43"/>
    </row>
    <row r="6" spans="1:9" x14ac:dyDescent="0.2">
      <c r="A6" s="39" t="s">
        <v>268</v>
      </c>
      <c r="B6" s="39"/>
      <c r="C6" s="41"/>
      <c r="D6" s="41"/>
      <c r="E6" s="41"/>
      <c r="F6" s="41"/>
      <c r="G6" s="43"/>
    </row>
    <row r="7" spans="1:9" x14ac:dyDescent="0.2">
      <c r="A7" s="39" t="s">
        <v>290</v>
      </c>
      <c r="B7" s="39"/>
      <c r="C7" s="41"/>
      <c r="D7" s="41"/>
      <c r="E7" s="41"/>
      <c r="F7" s="41"/>
      <c r="G7" s="43"/>
    </row>
    <row r="8" spans="1:9" x14ac:dyDescent="0.2">
      <c r="A8" s="39" t="s">
        <v>291</v>
      </c>
      <c r="B8" s="39"/>
      <c r="C8" s="41"/>
      <c r="D8" s="41"/>
      <c r="E8" s="41"/>
      <c r="F8" s="41"/>
      <c r="G8" s="43"/>
    </row>
    <row r="9" spans="1:9" x14ac:dyDescent="0.2">
      <c r="A9" s="39" t="s">
        <v>292</v>
      </c>
      <c r="B9" s="39"/>
      <c r="C9" s="41"/>
      <c r="D9" s="41"/>
      <c r="E9" s="41"/>
      <c r="F9" s="41"/>
      <c r="G9" s="43"/>
    </row>
    <row r="10" spans="1:9" x14ac:dyDescent="0.2">
      <c r="A10" s="39" t="s">
        <v>403</v>
      </c>
      <c r="B10" s="39"/>
      <c r="C10" s="41"/>
      <c r="D10" s="41"/>
      <c r="E10" s="41"/>
      <c r="F10" s="41"/>
      <c r="G10" s="43"/>
      <c r="I10" s="47"/>
    </row>
    <row r="11" spans="1:9" ht="19" x14ac:dyDescent="0.25">
      <c r="F11" s="45" t="s">
        <v>87</v>
      </c>
      <c r="G11" s="46">
        <f>SUM(G3:G10)</f>
        <v>0</v>
      </c>
    </row>
    <row r="12" spans="1:9" x14ac:dyDescent="0.2">
      <c r="F12" s="29" t="s">
        <v>294</v>
      </c>
      <c r="G12" s="27"/>
    </row>
    <row r="13" spans="1:9" x14ac:dyDescent="0.2">
      <c r="F13" s="29" t="s">
        <v>295</v>
      </c>
      <c r="G13" s="27"/>
    </row>
    <row r="16" spans="1:9" x14ac:dyDescent="0.2">
      <c r="C16" s="44" t="s">
        <v>284</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6629-952E-48F0-8BE1-40AC76717D70}">
  <dimension ref="A1:C10"/>
  <sheetViews>
    <sheetView workbookViewId="0">
      <selection activeCell="B10" sqref="B10"/>
    </sheetView>
  </sheetViews>
  <sheetFormatPr baseColWidth="10" defaultColWidth="11.5" defaultRowHeight="15" x14ac:dyDescent="0.2"/>
  <cols>
    <col min="1" max="1" width="15.5" bestFit="1" customWidth="1"/>
    <col min="2" max="2" width="19" style="1" customWidth="1"/>
  </cols>
  <sheetData>
    <row r="1" spans="1:3" x14ac:dyDescent="0.2">
      <c r="B1" s="1" t="s">
        <v>296</v>
      </c>
      <c r="C1" t="s">
        <v>297</v>
      </c>
    </row>
    <row r="2" spans="1:3" x14ac:dyDescent="0.2">
      <c r="A2" t="s">
        <v>298</v>
      </c>
      <c r="B2" s="1">
        <f>Ausgaben!F47*3</f>
        <v>20122.59</v>
      </c>
      <c r="C2" s="27">
        <f>Ausgaben!F47*6</f>
        <v>40245.18</v>
      </c>
    </row>
    <row r="3" spans="1:3" x14ac:dyDescent="0.2">
      <c r="A3" t="s">
        <v>89</v>
      </c>
      <c r="B3" s="1">
        <f>B2-B10</f>
        <v>11941.44</v>
      </c>
      <c r="C3" s="27">
        <f>C2-B10</f>
        <v>32064.03</v>
      </c>
    </row>
    <row r="4" spans="1:3" x14ac:dyDescent="0.2">
      <c r="A4" t="s">
        <v>340</v>
      </c>
      <c r="B4" s="1">
        <f>B3/12</f>
        <v>995.12</v>
      </c>
      <c r="C4" s="27">
        <f>C3/12</f>
        <v>2672.0025000000001</v>
      </c>
    </row>
    <row r="5" spans="1:3" x14ac:dyDescent="0.2">
      <c r="A5" t="s">
        <v>341</v>
      </c>
      <c r="B5" s="1">
        <f>B3/24</f>
        <v>497.56</v>
      </c>
      <c r="C5" s="27">
        <f>C3/24</f>
        <v>1336.00125</v>
      </c>
    </row>
    <row r="6" spans="1:3" x14ac:dyDescent="0.2">
      <c r="A6" t="s">
        <v>339</v>
      </c>
      <c r="B6" s="1">
        <f>B3/36</f>
        <v>331.70666666666671</v>
      </c>
      <c r="C6" s="27">
        <f>C3/36</f>
        <v>890.66750000000002</v>
      </c>
    </row>
    <row r="7" spans="1:3" x14ac:dyDescent="0.2">
      <c r="A7" t="s">
        <v>342</v>
      </c>
      <c r="B7" s="1">
        <f>B3/48</f>
        <v>248.78</v>
      </c>
      <c r="C7" s="27">
        <f>C3/48</f>
        <v>668.00062500000001</v>
      </c>
    </row>
    <row r="10" spans="1:3" x14ac:dyDescent="0.2">
      <c r="A10" t="s">
        <v>299</v>
      </c>
      <c r="B10" s="26">
        <v>8181.15</v>
      </c>
      <c r="C10" s="17"/>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79E6-3BBC-4561-976E-F4C0B585B6DF}">
  <dimension ref="A1:Q66"/>
  <sheetViews>
    <sheetView zoomScale="140" zoomScaleNormal="140" workbookViewId="0">
      <selection activeCell="B61" sqref="B61"/>
    </sheetView>
  </sheetViews>
  <sheetFormatPr baseColWidth="10" defaultColWidth="11.5" defaultRowHeight="15" x14ac:dyDescent="0.2"/>
  <cols>
    <col min="1" max="1" width="49.33203125" bestFit="1" customWidth="1"/>
    <col min="2" max="2" width="11.5" style="2"/>
    <col min="3" max="3" width="20.1640625" style="2" customWidth="1"/>
    <col min="4" max="4" width="23.5" style="2" customWidth="1"/>
    <col min="5" max="5" width="19.5" style="5" bestFit="1" customWidth="1"/>
    <col min="6" max="6" width="11.5" style="3"/>
    <col min="7" max="7" width="21.6640625" customWidth="1"/>
    <col min="8" max="9" width="11.5" customWidth="1"/>
    <col min="10" max="10" width="13.33203125" customWidth="1"/>
    <col min="11" max="11" width="11.5" customWidth="1"/>
    <col min="12" max="12" width="19.1640625" customWidth="1"/>
    <col min="13" max="13" width="17" customWidth="1"/>
    <col min="14" max="14" width="8.83203125" customWidth="1"/>
    <col min="15" max="15" width="19.6640625" bestFit="1" customWidth="1"/>
  </cols>
  <sheetData>
    <row r="1" spans="1:17" x14ac:dyDescent="0.2">
      <c r="A1" s="6" t="s">
        <v>18</v>
      </c>
      <c r="B1" s="7">
        <v>1173</v>
      </c>
      <c r="C1" s="7" t="s">
        <v>19</v>
      </c>
      <c r="D1" s="7" t="s">
        <v>20</v>
      </c>
      <c r="E1" s="8" t="s">
        <v>21</v>
      </c>
      <c r="F1" s="9">
        <f>B1+B2+B3</f>
        <v>1484</v>
      </c>
      <c r="G1" s="110">
        <f>F1/2</f>
        <v>742</v>
      </c>
      <c r="H1" t="s">
        <v>22</v>
      </c>
      <c r="M1" s="120" t="s">
        <v>361</v>
      </c>
    </row>
    <row r="2" spans="1:17" x14ac:dyDescent="0.2">
      <c r="A2" s="6" t="s">
        <v>23</v>
      </c>
      <c r="B2" s="7">
        <v>122</v>
      </c>
      <c r="C2" s="7" t="s">
        <v>19</v>
      </c>
      <c r="D2" s="7" t="s">
        <v>20</v>
      </c>
      <c r="E2" s="8"/>
      <c r="F2" s="6"/>
      <c r="G2" s="25"/>
      <c r="O2" t="s">
        <v>370</v>
      </c>
      <c r="P2" t="s">
        <v>378</v>
      </c>
      <c r="Q2">
        <f>63000+44841.32-(1204+172*19)</f>
        <v>103369.32</v>
      </c>
    </row>
    <row r="3" spans="1:17" x14ac:dyDescent="0.2">
      <c r="A3" s="6" t="s">
        <v>24</v>
      </c>
      <c r="B3" s="7">
        <v>189</v>
      </c>
      <c r="C3" s="7" t="s">
        <v>25</v>
      </c>
      <c r="D3" s="7" t="s">
        <v>20</v>
      </c>
      <c r="E3" s="8"/>
      <c r="F3" s="6"/>
      <c r="G3" s="25"/>
      <c r="M3" t="str">
        <f>E1</f>
        <v>Wohnen:</v>
      </c>
      <c r="N3" s="2">
        <f>(B1+B2+B3)/2</f>
        <v>742</v>
      </c>
      <c r="O3" t="s">
        <v>371</v>
      </c>
    </row>
    <row r="4" spans="1:17" x14ac:dyDescent="0.2">
      <c r="A4" s="3"/>
    </row>
    <row r="5" spans="1:17" x14ac:dyDescent="0.2">
      <c r="A5" s="50" t="s">
        <v>26</v>
      </c>
      <c r="B5" s="51">
        <v>1180</v>
      </c>
      <c r="C5" s="51" t="s">
        <v>19</v>
      </c>
      <c r="D5" s="51" t="s">
        <v>20</v>
      </c>
      <c r="E5" s="11" t="s">
        <v>27</v>
      </c>
      <c r="F5" s="12">
        <f>B5+B6</f>
        <v>1338</v>
      </c>
      <c r="G5" s="110">
        <f>F5*0.4</f>
        <v>535.20000000000005</v>
      </c>
      <c r="I5" t="s">
        <v>28</v>
      </c>
      <c r="J5" t="s">
        <v>29</v>
      </c>
      <c r="K5" t="s">
        <v>334</v>
      </c>
      <c r="M5" t="str">
        <f>E5</f>
        <v>Essen, Drogerie etc.:</v>
      </c>
      <c r="N5" s="2">
        <v>300</v>
      </c>
      <c r="O5" t="s">
        <v>371</v>
      </c>
    </row>
    <row r="6" spans="1:17" x14ac:dyDescent="0.2">
      <c r="A6" s="109" t="s">
        <v>30</v>
      </c>
      <c r="B6" s="10">
        <f>(I6)/12+K7</f>
        <v>158</v>
      </c>
      <c r="C6" s="10" t="s">
        <v>25</v>
      </c>
      <c r="D6" s="51" t="s">
        <v>20</v>
      </c>
      <c r="E6" s="11"/>
      <c r="F6" s="12"/>
      <c r="G6" s="25" t="s">
        <v>389</v>
      </c>
      <c r="H6" t="s">
        <v>31</v>
      </c>
      <c r="I6" s="27">
        <f>49*12*2</f>
        <v>1176</v>
      </c>
      <c r="J6" s="27">
        <f>I6/12</f>
        <v>98</v>
      </c>
      <c r="M6" t="str">
        <f>A6</f>
        <v>Mobilität</v>
      </c>
      <c r="N6" s="2">
        <v>100</v>
      </c>
      <c r="O6" t="s">
        <v>371</v>
      </c>
    </row>
    <row r="7" spans="1:17" x14ac:dyDescent="0.2">
      <c r="A7" s="3"/>
      <c r="H7" t="s">
        <v>32</v>
      </c>
      <c r="I7" s="27">
        <f>626+460</f>
        <v>1086</v>
      </c>
      <c r="J7" s="27">
        <f t="shared" ref="J7:J8" si="0">I7/12</f>
        <v>90.5</v>
      </c>
      <c r="K7" s="27">
        <v>60</v>
      </c>
    </row>
    <row r="8" spans="1:17" x14ac:dyDescent="0.2">
      <c r="A8" s="13" t="s">
        <v>33</v>
      </c>
      <c r="B8" s="14">
        <v>285.61</v>
      </c>
      <c r="C8" s="14" t="s">
        <v>19</v>
      </c>
      <c r="D8" s="14" t="s">
        <v>20</v>
      </c>
      <c r="E8" s="15" t="s">
        <v>34</v>
      </c>
      <c r="F8" s="16">
        <f>B8+B9+B11</f>
        <v>992.12000000000012</v>
      </c>
      <c r="G8" s="25"/>
      <c r="H8" t="s">
        <v>35</v>
      </c>
      <c r="I8" s="27">
        <v>1496</v>
      </c>
      <c r="J8" s="27">
        <f t="shared" si="0"/>
        <v>124.66666666666667</v>
      </c>
      <c r="K8" s="27">
        <v>80</v>
      </c>
      <c r="M8" t="str">
        <f>E8</f>
        <v>Versicherungen:</v>
      </c>
      <c r="N8" s="2">
        <f>'VersicherungenJahresbeiträge √'!C29</f>
        <v>141.23416666666668</v>
      </c>
      <c r="O8" t="s">
        <v>371</v>
      </c>
    </row>
    <row r="9" spans="1:17" x14ac:dyDescent="0.2">
      <c r="A9" s="13" t="s">
        <v>400</v>
      </c>
      <c r="B9" s="14">
        <v>516.22</v>
      </c>
      <c r="C9" s="14"/>
      <c r="D9" s="14"/>
      <c r="E9" s="15"/>
      <c r="F9" s="16"/>
      <c r="G9" s="25"/>
      <c r="I9" s="27"/>
      <c r="J9" s="27"/>
      <c r="K9" s="27"/>
      <c r="N9" s="2"/>
    </row>
    <row r="10" spans="1:17" x14ac:dyDescent="0.2">
      <c r="A10" s="13" t="s">
        <v>36</v>
      </c>
      <c r="B10" s="14">
        <f>'VersicherungenJahresbeiträge √'!B10+'VersicherungenJahresbeiträge √'!B29</f>
        <v>387.64750000000004</v>
      </c>
      <c r="C10" s="14" t="s">
        <v>25</v>
      </c>
      <c r="D10" s="14" t="s">
        <v>20</v>
      </c>
      <c r="E10" s="15"/>
      <c r="F10" s="13"/>
      <c r="G10" s="110">
        <f>B10/3</f>
        <v>129.21583333333334</v>
      </c>
      <c r="M10" t="s">
        <v>377</v>
      </c>
      <c r="N10" s="2">
        <f>2750*14.6%/2</f>
        <v>200.75</v>
      </c>
      <c r="O10" t="s">
        <v>371</v>
      </c>
    </row>
    <row r="11" spans="1:17" x14ac:dyDescent="0.2">
      <c r="A11" s="13" t="s">
        <v>37</v>
      </c>
      <c r="B11" s="14">
        <f>'VersicherungenJahresbeiträge √'!B10</f>
        <v>190.29000000000002</v>
      </c>
      <c r="C11" s="14"/>
      <c r="D11" s="14" t="s">
        <v>20</v>
      </c>
      <c r="E11" s="15"/>
      <c r="F11" s="13"/>
      <c r="G11" s="110">
        <f>B11/3</f>
        <v>63.430000000000007</v>
      </c>
    </row>
    <row r="12" spans="1:17" x14ac:dyDescent="0.2">
      <c r="A12" s="13" t="s">
        <v>38</v>
      </c>
      <c r="B12" s="14">
        <f>'VersicherungenJahresbeiträge √'!B29</f>
        <v>197.35749999999999</v>
      </c>
      <c r="C12" s="14"/>
      <c r="D12" s="14" t="s">
        <v>20</v>
      </c>
      <c r="E12" s="15"/>
      <c r="F12" s="13"/>
      <c r="G12" s="110">
        <f>B12/2</f>
        <v>98.678749999999994</v>
      </c>
    </row>
    <row r="13" spans="1:17" x14ac:dyDescent="0.2">
      <c r="A13" s="3"/>
      <c r="G13" s="2">
        <f>SUM(G10:G12)</f>
        <v>291.32458333333335</v>
      </c>
      <c r="P13" s="2"/>
    </row>
    <row r="14" spans="1:17" x14ac:dyDescent="0.2">
      <c r="A14" s="73" t="s">
        <v>39</v>
      </c>
      <c r="B14" s="74">
        <v>170</v>
      </c>
      <c r="C14" s="74"/>
      <c r="D14" s="74" t="s">
        <v>40</v>
      </c>
      <c r="E14" s="75" t="s">
        <v>41</v>
      </c>
      <c r="F14" s="76">
        <f>SUM(B14:B20)</f>
        <v>479</v>
      </c>
      <c r="G14" s="110">
        <f>B14+B15+B16+B17</f>
        <v>479</v>
      </c>
      <c r="J14" s="2"/>
      <c r="M14" t="s">
        <v>362</v>
      </c>
      <c r="N14" s="2">
        <v>200</v>
      </c>
      <c r="O14" t="s">
        <v>371</v>
      </c>
    </row>
    <row r="15" spans="1:17" x14ac:dyDescent="0.2">
      <c r="A15" s="76" t="s">
        <v>42</v>
      </c>
      <c r="B15" s="74">
        <v>177</v>
      </c>
      <c r="C15" s="74"/>
      <c r="D15" s="74" t="s">
        <v>40</v>
      </c>
      <c r="E15" s="75"/>
      <c r="F15" s="73"/>
      <c r="G15" s="25"/>
      <c r="J15" s="2"/>
    </row>
    <row r="16" spans="1:17" x14ac:dyDescent="0.2">
      <c r="A16" s="77" t="s">
        <v>43</v>
      </c>
      <c r="B16" s="74">
        <v>132</v>
      </c>
      <c r="C16" s="74"/>
      <c r="D16" s="74" t="s">
        <v>40</v>
      </c>
      <c r="E16" s="75"/>
      <c r="F16" s="73"/>
      <c r="G16" s="25"/>
    </row>
    <row r="17" spans="1:15" x14ac:dyDescent="0.2">
      <c r="A17" s="73" t="s">
        <v>44</v>
      </c>
      <c r="B17" s="74">
        <v>0</v>
      </c>
      <c r="C17" s="74" t="s">
        <v>45</v>
      </c>
      <c r="D17" s="74" t="s">
        <v>40</v>
      </c>
      <c r="E17" s="75"/>
      <c r="F17" s="73"/>
      <c r="G17" s="25"/>
      <c r="H17" s="24"/>
      <c r="J17" s="2"/>
    </row>
    <row r="18" spans="1:15" x14ac:dyDescent="0.2">
      <c r="A18" s="76" t="s">
        <v>46</v>
      </c>
      <c r="B18" s="74">
        <v>0</v>
      </c>
      <c r="C18" s="74" t="s">
        <v>47</v>
      </c>
      <c r="D18" s="74" t="s">
        <v>40</v>
      </c>
      <c r="E18" s="75"/>
      <c r="F18" s="73"/>
      <c r="G18" s="25"/>
    </row>
    <row r="19" spans="1:15" x14ac:dyDescent="0.2">
      <c r="A19" s="73" t="s">
        <v>48</v>
      </c>
      <c r="B19" s="74">
        <v>0</v>
      </c>
      <c r="C19" s="74" t="s">
        <v>45</v>
      </c>
      <c r="D19" s="74" t="s">
        <v>40</v>
      </c>
      <c r="E19" s="75"/>
      <c r="F19" s="73"/>
      <c r="G19" s="25"/>
    </row>
    <row r="20" spans="1:15" x14ac:dyDescent="0.2">
      <c r="A20" s="73" t="s">
        <v>49</v>
      </c>
      <c r="B20" s="74">
        <v>0</v>
      </c>
      <c r="C20" s="74" t="s">
        <v>405</v>
      </c>
      <c r="D20" s="74" t="s">
        <v>40</v>
      </c>
      <c r="E20" s="75"/>
      <c r="F20" s="73"/>
      <c r="G20" s="25"/>
    </row>
    <row r="21" spans="1:15" x14ac:dyDescent="0.2">
      <c r="A21" s="3"/>
      <c r="G21" s="25"/>
    </row>
    <row r="22" spans="1:15" x14ac:dyDescent="0.2">
      <c r="A22" s="61" t="s">
        <v>52</v>
      </c>
      <c r="B22" s="62">
        <v>80</v>
      </c>
      <c r="C22" s="62"/>
      <c r="D22" s="62" t="s">
        <v>50</v>
      </c>
      <c r="E22" s="63" t="s">
        <v>51</v>
      </c>
      <c r="F22" s="64">
        <f>SUM(B22:B25)</f>
        <v>135</v>
      </c>
      <c r="G22" s="25"/>
      <c r="H22" s="2"/>
      <c r="I22" s="18"/>
      <c r="J22" s="19"/>
      <c r="M22" t="s">
        <v>363</v>
      </c>
      <c r="N22" s="2">
        <v>150</v>
      </c>
      <c r="O22" t="s">
        <v>372</v>
      </c>
    </row>
    <row r="23" spans="1:15" x14ac:dyDescent="0.2">
      <c r="A23" s="61" t="s">
        <v>54</v>
      </c>
      <c r="B23" s="62">
        <v>30</v>
      </c>
      <c r="C23" s="62"/>
      <c r="D23" s="62" t="s">
        <v>50</v>
      </c>
      <c r="E23" s="63"/>
      <c r="F23" s="65"/>
      <c r="G23" s="25"/>
      <c r="H23" s="2"/>
      <c r="I23" s="97"/>
      <c r="J23" s="27"/>
    </row>
    <row r="24" spans="1:15" x14ac:dyDescent="0.2">
      <c r="A24" s="126" t="s">
        <v>55</v>
      </c>
      <c r="B24" s="123">
        <v>0</v>
      </c>
      <c r="C24" s="123"/>
      <c r="D24" s="123" t="s">
        <v>40</v>
      </c>
      <c r="E24" s="124"/>
      <c r="F24" s="125"/>
      <c r="G24" s="25"/>
      <c r="H24" s="2"/>
      <c r="I24" s="48"/>
      <c r="J24" s="27"/>
      <c r="K24" s="26"/>
    </row>
    <row r="25" spans="1:15" x14ac:dyDescent="0.2">
      <c r="A25" s="61" t="s">
        <v>57</v>
      </c>
      <c r="B25" s="66">
        <v>25</v>
      </c>
      <c r="C25" s="66"/>
      <c r="D25" s="62" t="s">
        <v>40</v>
      </c>
      <c r="E25" s="63"/>
      <c r="F25" s="65"/>
      <c r="H25" s="2"/>
      <c r="I25" s="48"/>
      <c r="J25" s="27"/>
    </row>
    <row r="26" spans="1:15" x14ac:dyDescent="0.2">
      <c r="G26" s="25"/>
      <c r="H26" s="2"/>
      <c r="I26" s="48"/>
      <c r="J26" s="27"/>
      <c r="L26" s="26"/>
      <c r="M26" s="26"/>
      <c r="N26" s="27"/>
    </row>
    <row r="27" spans="1:15" x14ac:dyDescent="0.2">
      <c r="A27" s="94" t="s">
        <v>63</v>
      </c>
      <c r="B27" s="67">
        <v>250</v>
      </c>
      <c r="C27" s="67"/>
      <c r="D27" s="67" t="s">
        <v>50</v>
      </c>
      <c r="E27" s="68" t="s">
        <v>64</v>
      </c>
      <c r="F27" s="69">
        <f>B27+B28</f>
        <v>268</v>
      </c>
      <c r="G27" s="25"/>
      <c r="H27" s="2"/>
      <c r="I27" s="48"/>
      <c r="J27" s="19"/>
      <c r="L27" s="26"/>
      <c r="M27" s="26"/>
    </row>
    <row r="28" spans="1:15" x14ac:dyDescent="0.2">
      <c r="A28" s="94" t="s">
        <v>66</v>
      </c>
      <c r="B28" s="52">
        <v>18</v>
      </c>
      <c r="C28" s="67"/>
      <c r="D28" s="67" t="s">
        <v>50</v>
      </c>
      <c r="E28" s="68"/>
      <c r="F28" s="69"/>
      <c r="G28" s="25"/>
      <c r="H28" s="2"/>
      <c r="I28" s="49"/>
      <c r="J28" s="19"/>
      <c r="L28" s="26"/>
      <c r="M28" s="26"/>
      <c r="N28" s="53"/>
      <c r="O28" s="26"/>
    </row>
    <row r="29" spans="1:15" x14ac:dyDescent="0.2">
      <c r="A29" s="3"/>
      <c r="G29" s="25"/>
      <c r="I29" s="48"/>
    </row>
    <row r="30" spans="1:15" x14ac:dyDescent="0.2">
      <c r="A30" s="70" t="s">
        <v>68</v>
      </c>
      <c r="B30" s="127">
        <v>432</v>
      </c>
      <c r="C30" s="127"/>
      <c r="D30" s="127" t="s">
        <v>50</v>
      </c>
      <c r="E30" s="71" t="s">
        <v>69</v>
      </c>
      <c r="F30" s="72">
        <f>B30</f>
        <v>432</v>
      </c>
      <c r="G30" s="25"/>
      <c r="I30" s="48"/>
      <c r="J30" s="19"/>
    </row>
    <row r="31" spans="1:15" x14ac:dyDescent="0.2">
      <c r="A31" s="3"/>
      <c r="G31" s="25"/>
      <c r="I31" s="48"/>
      <c r="J31" s="19"/>
    </row>
    <row r="32" spans="1:15" x14ac:dyDescent="0.2">
      <c r="A32" s="112" t="s">
        <v>70</v>
      </c>
      <c r="B32" s="128">
        <v>0</v>
      </c>
      <c r="C32" s="128" t="s">
        <v>401</v>
      </c>
      <c r="D32" s="128" t="s">
        <v>20</v>
      </c>
      <c r="E32" s="113" t="s">
        <v>71</v>
      </c>
      <c r="F32" s="114">
        <f>SUM(B32:B37)</f>
        <v>594</v>
      </c>
      <c r="G32" s="25"/>
      <c r="I32" s="48"/>
      <c r="J32" s="27"/>
    </row>
    <row r="33" spans="1:15" x14ac:dyDescent="0.2">
      <c r="A33" s="112" t="s">
        <v>72</v>
      </c>
      <c r="B33" s="129">
        <v>360</v>
      </c>
      <c r="C33" s="129" t="s">
        <v>406</v>
      </c>
      <c r="D33" s="129" t="s">
        <v>50</v>
      </c>
      <c r="E33" s="113"/>
      <c r="F33" s="112"/>
      <c r="G33" s="25"/>
      <c r="L33" s="26"/>
      <c r="M33" s="26" t="s">
        <v>364</v>
      </c>
      <c r="N33" s="2">
        <f>150</f>
        <v>150</v>
      </c>
      <c r="O33" t="s">
        <v>372</v>
      </c>
    </row>
    <row r="34" spans="1:15" x14ac:dyDescent="0.2">
      <c r="A34" s="112" t="s">
        <v>73</v>
      </c>
      <c r="B34" s="115">
        <v>40</v>
      </c>
      <c r="C34" s="116"/>
      <c r="D34" s="117" t="s">
        <v>50</v>
      </c>
      <c r="E34" s="113"/>
      <c r="F34" s="112"/>
      <c r="G34" s="25"/>
      <c r="H34" s="93"/>
      <c r="L34" s="26"/>
      <c r="M34" s="26"/>
    </row>
    <row r="35" spans="1:15" x14ac:dyDescent="0.2">
      <c r="A35" s="112" t="s">
        <v>74</v>
      </c>
      <c r="B35" s="129">
        <v>105</v>
      </c>
      <c r="C35" s="129" t="s">
        <v>406</v>
      </c>
      <c r="D35" s="129" t="s">
        <v>20</v>
      </c>
      <c r="E35" s="113"/>
      <c r="F35" s="112"/>
      <c r="G35" s="110">
        <f>F32/3</f>
        <v>198</v>
      </c>
      <c r="L35" s="26"/>
      <c r="M35" s="26" t="s">
        <v>324</v>
      </c>
      <c r="N35" s="2">
        <f>650/12</f>
        <v>54.166666666666664</v>
      </c>
      <c r="O35" s="53" t="s">
        <v>371</v>
      </c>
    </row>
    <row r="36" spans="1:15" x14ac:dyDescent="0.2">
      <c r="A36" s="112" t="s">
        <v>75</v>
      </c>
      <c r="B36" s="52">
        <f>36+13</f>
        <v>49</v>
      </c>
      <c r="C36" s="52" t="s">
        <v>404</v>
      </c>
      <c r="D36" s="52" t="s">
        <v>50</v>
      </c>
      <c r="E36" s="113"/>
      <c r="F36" s="112"/>
      <c r="K36" s="2"/>
      <c r="L36">
        <v>660</v>
      </c>
      <c r="M36" t="s">
        <v>369</v>
      </c>
      <c r="N36" s="2">
        <v>156</v>
      </c>
      <c r="O36" t="s">
        <v>372</v>
      </c>
    </row>
    <row r="37" spans="1:15" x14ac:dyDescent="0.2">
      <c r="A37" s="112" t="s">
        <v>76</v>
      </c>
      <c r="B37" s="128">
        <v>40</v>
      </c>
      <c r="C37" s="128" t="s">
        <v>77</v>
      </c>
      <c r="D37" s="128" t="s">
        <v>20</v>
      </c>
      <c r="E37" s="113"/>
      <c r="F37" s="112"/>
      <c r="G37" s="25"/>
      <c r="L37">
        <v>500</v>
      </c>
    </row>
    <row r="38" spans="1:15" x14ac:dyDescent="0.2">
      <c r="A38" s="3"/>
      <c r="L38">
        <v>300</v>
      </c>
    </row>
    <row r="39" spans="1:15" x14ac:dyDescent="0.2">
      <c r="A39" s="135" t="s">
        <v>78</v>
      </c>
      <c r="B39" s="136">
        <v>400</v>
      </c>
      <c r="C39" s="136"/>
      <c r="D39" s="136" t="s">
        <v>50</v>
      </c>
      <c r="E39" s="133" t="s">
        <v>79</v>
      </c>
      <c r="F39" s="134">
        <f>B39+B40</f>
        <v>800</v>
      </c>
      <c r="G39" s="25" t="s">
        <v>407</v>
      </c>
      <c r="L39">
        <f>SUM(L36:L38)</f>
        <v>1460</v>
      </c>
      <c r="M39" t="str">
        <f>A36</f>
        <v>Bücher/amazon</v>
      </c>
      <c r="N39" s="2">
        <v>20</v>
      </c>
      <c r="O39" t="s">
        <v>372</v>
      </c>
    </row>
    <row r="40" spans="1:15" x14ac:dyDescent="0.2">
      <c r="A40" s="137" t="s">
        <v>80</v>
      </c>
      <c r="B40" s="138">
        <v>400</v>
      </c>
      <c r="C40" s="139"/>
      <c r="D40" s="139" t="s">
        <v>50</v>
      </c>
      <c r="E40" s="140"/>
      <c r="F40" s="137"/>
      <c r="G40" s="25"/>
      <c r="H40" s="95"/>
      <c r="M40" t="s">
        <v>365</v>
      </c>
      <c r="N40" s="2">
        <v>150</v>
      </c>
      <c r="O40" t="s">
        <v>372</v>
      </c>
    </row>
    <row r="41" spans="1:15" x14ac:dyDescent="0.2">
      <c r="A41" s="3"/>
      <c r="G41" s="25"/>
    </row>
    <row r="42" spans="1:15" x14ac:dyDescent="0.2">
      <c r="A42" s="126" t="s">
        <v>81</v>
      </c>
      <c r="B42" s="130">
        <f>3.99+5.99+4.99+4.99</f>
        <v>19.96</v>
      </c>
      <c r="C42" s="131"/>
      <c r="D42" s="132" t="s">
        <v>20</v>
      </c>
      <c r="E42" s="133" t="s">
        <v>82</v>
      </c>
      <c r="F42" s="134">
        <f>SUM(B42:B45)</f>
        <v>185.41000000000003</v>
      </c>
      <c r="G42" s="25" t="s">
        <v>408</v>
      </c>
      <c r="H42" s="92"/>
      <c r="M42" t="s">
        <v>79</v>
      </c>
      <c r="N42" s="2">
        <f>400</f>
        <v>400</v>
      </c>
      <c r="O42" t="s">
        <v>373</v>
      </c>
    </row>
    <row r="43" spans="1:15" x14ac:dyDescent="0.2">
      <c r="A43" s="79" t="s">
        <v>83</v>
      </c>
      <c r="B43" s="85">
        <v>17.5</v>
      </c>
      <c r="C43" s="84"/>
      <c r="D43" s="86" t="s">
        <v>20</v>
      </c>
      <c r="E43" s="80"/>
      <c r="F43" s="79"/>
      <c r="G43" s="25"/>
    </row>
    <row r="44" spans="1:15" x14ac:dyDescent="0.2">
      <c r="A44" s="79" t="s">
        <v>84</v>
      </c>
      <c r="B44" s="85">
        <v>100</v>
      </c>
      <c r="C44" s="84"/>
      <c r="D44" s="86" t="s">
        <v>50</v>
      </c>
      <c r="E44" s="80"/>
      <c r="F44" s="79"/>
      <c r="G44" s="25"/>
    </row>
    <row r="45" spans="1:15" x14ac:dyDescent="0.2">
      <c r="A45" s="79" t="s">
        <v>85</v>
      </c>
      <c r="B45" s="85">
        <v>47.95</v>
      </c>
      <c r="C45" s="84" t="s">
        <v>86</v>
      </c>
      <c r="D45" s="86" t="s">
        <v>20</v>
      </c>
      <c r="E45" s="80"/>
      <c r="F45" s="79"/>
      <c r="G45" s="111">
        <f>F42/2</f>
        <v>92.705000000000013</v>
      </c>
      <c r="M45" t="s">
        <v>366</v>
      </c>
      <c r="N45" s="2">
        <v>60</v>
      </c>
      <c r="O45" t="s">
        <v>371</v>
      </c>
    </row>
    <row r="46" spans="1:15" x14ac:dyDescent="0.2">
      <c r="G46" s="25"/>
      <c r="M46" t="s">
        <v>367</v>
      </c>
      <c r="N46" s="2">
        <f>17.5</f>
        <v>17.5</v>
      </c>
      <c r="O46" t="s">
        <v>371</v>
      </c>
    </row>
    <row r="47" spans="1:15" x14ac:dyDescent="0.2">
      <c r="A47" s="5" t="s">
        <v>356</v>
      </c>
      <c r="B47" s="2">
        <f>B1+B2+B5/2+B6+B8+'VersicherungenJahresbeiträge √'!C29+150+B32+B33*2+B35*3+B36+B37*3+B39+B40+B42+B43+B44+B45+150</f>
        <v>4959.2541666666666</v>
      </c>
      <c r="C47" s="2">
        <f>B47/2</f>
        <v>2479.6270833333333</v>
      </c>
      <c r="E47" s="5" t="s">
        <v>87</v>
      </c>
      <c r="F47" s="4">
        <f>SUM(F1:F45)</f>
        <v>6707.53</v>
      </c>
      <c r="G47" s="4">
        <f>F47</f>
        <v>6707.53</v>
      </c>
      <c r="H47">
        <f>Einnahmen!J6</f>
        <v>6039.46</v>
      </c>
      <c r="M47" t="s">
        <v>368</v>
      </c>
      <c r="N47" s="2">
        <v>100</v>
      </c>
      <c r="O47" t="s">
        <v>374</v>
      </c>
    </row>
    <row r="48" spans="1:15" x14ac:dyDescent="0.2">
      <c r="A48" s="3"/>
      <c r="E48" s="5" t="s">
        <v>88</v>
      </c>
      <c r="F48" s="4">
        <f>Einnahmen!C6</f>
        <v>4623.41</v>
      </c>
      <c r="G48" s="4">
        <f>Einnahmen!E6</f>
        <v>6508.3600000000006</v>
      </c>
      <c r="H48" s="2">
        <f>F47</f>
        <v>6707.53</v>
      </c>
    </row>
    <row r="49" spans="1:16" x14ac:dyDescent="0.2">
      <c r="A49" s="3"/>
      <c r="E49" s="5" t="s">
        <v>89</v>
      </c>
      <c r="F49" s="4">
        <f>F48-F47</f>
        <v>-2084.12</v>
      </c>
      <c r="G49" s="4">
        <f>G48-G47</f>
        <v>-199.16999999999916</v>
      </c>
      <c r="H49" s="2">
        <f>H47-H48</f>
        <v>-668.06999999999971</v>
      </c>
      <c r="O49" t="s">
        <v>375</v>
      </c>
      <c r="P49" t="s">
        <v>376</v>
      </c>
    </row>
    <row r="50" spans="1:16" x14ac:dyDescent="0.2">
      <c r="A50" s="3"/>
      <c r="F50" s="4">
        <f>F47*12</f>
        <v>80490.36</v>
      </c>
      <c r="M50" t="s">
        <v>106</v>
      </c>
      <c r="N50" s="2">
        <f>SUM(N3:N47)</f>
        <v>2941.6508333333331</v>
      </c>
      <c r="O50" s="2">
        <f>N3+N5+N6+N10+N8+N14+N35+N42/2+N45+N46</f>
        <v>2015.6508333333334</v>
      </c>
      <c r="P50" s="2">
        <f>N22+N33+N36+N39+N40+N42/2+N47</f>
        <v>926</v>
      </c>
    </row>
    <row r="51" spans="1:16" x14ac:dyDescent="0.2">
      <c r="A51" s="25"/>
      <c r="B51"/>
      <c r="C51"/>
      <c r="D51"/>
      <c r="E51"/>
      <c r="F51"/>
      <c r="G51" s="25"/>
      <c r="O51" s="121">
        <f>O50/N50</f>
        <v>0.68521077025627053</v>
      </c>
      <c r="P51" s="121">
        <f>P50/N50</f>
        <v>0.31478922974372953</v>
      </c>
    </row>
    <row r="52" spans="1:16" x14ac:dyDescent="0.2">
      <c r="A52" s="25"/>
      <c r="B52"/>
      <c r="C52"/>
      <c r="D52"/>
      <c r="E52"/>
      <c r="F52"/>
    </row>
    <row r="53" spans="1:16" x14ac:dyDescent="0.2">
      <c r="E53" s="5" t="s">
        <v>402</v>
      </c>
      <c r="F53" s="4"/>
      <c r="M53" t="s">
        <v>379</v>
      </c>
    </row>
    <row r="54" spans="1:16" x14ac:dyDescent="0.2">
      <c r="E54" s="5" t="s">
        <v>393</v>
      </c>
      <c r="F54" s="122">
        <v>2700</v>
      </c>
    </row>
    <row r="55" spans="1:16" x14ac:dyDescent="0.2">
      <c r="E55" s="5" t="s">
        <v>163</v>
      </c>
      <c r="F55" s="4">
        <f>5121+113.36+3679+184.32+9195+728.54</f>
        <v>19021.22</v>
      </c>
    </row>
    <row r="56" spans="1:16" x14ac:dyDescent="0.2">
      <c r="E56" s="5" t="s">
        <v>113</v>
      </c>
      <c r="F56" s="4">
        <f>F55+F54</f>
        <v>21721.22</v>
      </c>
    </row>
    <row r="58" spans="1:16" x14ac:dyDescent="0.2">
      <c r="C58" s="5" t="s">
        <v>390</v>
      </c>
      <c r="D58" t="s">
        <v>391</v>
      </c>
      <c r="E58"/>
      <c r="F58" s="2">
        <v>5730</v>
      </c>
      <c r="G58" t="s">
        <v>409</v>
      </c>
    </row>
    <row r="59" spans="1:16" x14ac:dyDescent="0.2">
      <c r="C59" s="5"/>
      <c r="D59" t="s">
        <v>392</v>
      </c>
      <c r="E59"/>
      <c r="F59" s="2">
        <f>(1719.4+827.7)/2</f>
        <v>1273.5500000000002</v>
      </c>
      <c r="G59" t="s">
        <v>49</v>
      </c>
    </row>
    <row r="60" spans="1:16" x14ac:dyDescent="0.2">
      <c r="C60" s="5"/>
      <c r="D60" t="s">
        <v>394</v>
      </c>
      <c r="E60"/>
      <c r="F60" s="2">
        <f>(325+330+330+325+330)</f>
        <v>1640</v>
      </c>
      <c r="G60" t="s">
        <v>409</v>
      </c>
    </row>
    <row r="61" spans="1:16" x14ac:dyDescent="0.2">
      <c r="A61" s="2" t="s">
        <v>397</v>
      </c>
      <c r="B61" s="2">
        <f>(F49*-3+(560*3))/2</f>
        <v>3966.18</v>
      </c>
      <c r="C61" s="5"/>
      <c r="D61" t="s">
        <v>395</v>
      </c>
      <c r="E61"/>
      <c r="F61" s="2">
        <v>638</v>
      </c>
      <c r="G61" t="s">
        <v>409</v>
      </c>
    </row>
    <row r="62" spans="1:16" x14ac:dyDescent="0.2">
      <c r="C62" s="5"/>
      <c r="D62" t="s">
        <v>396</v>
      </c>
      <c r="E62" s="29"/>
      <c r="F62" s="2">
        <f>Geschenke!I14+500-1310</f>
        <v>180</v>
      </c>
      <c r="G62" t="s">
        <v>409</v>
      </c>
    </row>
    <row r="63" spans="1:16" x14ac:dyDescent="0.2">
      <c r="D63" t="s">
        <v>398</v>
      </c>
      <c r="F63" s="2">
        <f>3968</f>
        <v>3968</v>
      </c>
      <c r="G63" t="s">
        <v>410</v>
      </c>
    </row>
    <row r="64" spans="1:16" x14ac:dyDescent="0.2">
      <c r="D64"/>
      <c r="F64" s="4">
        <f>SUM(F58:F63)</f>
        <v>13429.55</v>
      </c>
    </row>
    <row r="65" spans="4:5" x14ac:dyDescent="0.2">
      <c r="D65" s="2" t="s">
        <v>411</v>
      </c>
      <c r="E65" s="83">
        <f>F55-F58-F60-F61-F62-F63</f>
        <v>6865.2200000000012</v>
      </c>
    </row>
    <row r="66" spans="4:5" x14ac:dyDescent="0.2">
      <c r="D66" s="2" t="s">
        <v>399</v>
      </c>
      <c r="E66" s="83">
        <f>E65+14000</f>
        <v>20865.22</v>
      </c>
    </row>
  </sheetData>
  <pageMargins left="0.7" right="0.7" top="0.78740157499999996" bottom="0.78740157499999996" header="0.3" footer="0.3"/>
  <extLst>
    <ext xmlns:x14="http://schemas.microsoft.com/office/spreadsheetml/2009/9/main" uri="{CCE6A557-97BC-4b89-ADB6-D9C93CAAB3DF}">
      <x14:dataValidations xmlns:xm="http://schemas.microsoft.com/office/excel/2006/main" disablePrompts="1" count="2">
        <x14:dataValidation type="list" allowBlank="1" xr:uid="{B5542999-3601-45A3-BD6F-B8E0B3A4CB81}">
          <x14:formula1>
            <xm:f>'50-30-20 √'!$A$4:$A$6</xm:f>
          </x14:formula1>
          <xm:sqref>D1:D3</xm:sqref>
        </x14:dataValidation>
        <x14:dataValidation type="list" allowBlank="1" showInputMessage="1" showErrorMessage="1" xr:uid="{7E876C5D-65ED-448E-B137-FCCFD3FE48A7}">
          <x14:formula1>
            <xm:f>'50-30-20 √'!$A$4:$A$6</xm:f>
          </x14:formula1>
          <xm:sqref>D5:D6 D8:D12 D14:D20 D27:D28 D30 D39:D40 D42:D45 D32:D37 D22:D25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D316-D758-4011-859C-30F912620423}">
  <dimension ref="A1:I24"/>
  <sheetViews>
    <sheetView zoomScale="141" zoomScaleNormal="140" workbookViewId="0">
      <selection activeCell="B22" sqref="B22"/>
    </sheetView>
  </sheetViews>
  <sheetFormatPr baseColWidth="10" defaultColWidth="11.5" defaultRowHeight="15" x14ac:dyDescent="0.2"/>
  <cols>
    <col min="1" max="1" width="20.5" customWidth="1"/>
    <col min="2" max="2" width="14.83203125" customWidth="1"/>
    <col min="3" max="3" width="31.83203125" customWidth="1"/>
    <col min="5" max="5" width="33.83203125" customWidth="1"/>
    <col min="6" max="8" width="0" hidden="1" customWidth="1"/>
  </cols>
  <sheetData>
    <row r="1" spans="1:9" x14ac:dyDescent="0.2">
      <c r="B1" t="s">
        <v>90</v>
      </c>
      <c r="C1" t="s">
        <v>91</v>
      </c>
      <c r="D1" s="82" t="s">
        <v>92</v>
      </c>
      <c r="E1" s="82" t="s">
        <v>91</v>
      </c>
      <c r="F1">
        <v>2023</v>
      </c>
      <c r="I1">
        <v>2024</v>
      </c>
    </row>
    <row r="2" spans="1:9" x14ac:dyDescent="0.2">
      <c r="A2" s="2" t="s">
        <v>93</v>
      </c>
      <c r="B2" s="2">
        <v>150</v>
      </c>
      <c r="D2" s="2">
        <f>15*10</f>
        <v>150</v>
      </c>
      <c r="E2" s="82"/>
      <c r="F2" t="s">
        <v>359</v>
      </c>
      <c r="G2" t="s">
        <v>360</v>
      </c>
    </row>
    <row r="3" spans="1:9" x14ac:dyDescent="0.2">
      <c r="A3" s="2" t="s">
        <v>94</v>
      </c>
      <c r="B3" s="2">
        <v>50</v>
      </c>
      <c r="D3" s="2">
        <v>50</v>
      </c>
      <c r="E3" s="82"/>
      <c r="I3" s="2">
        <f>B3</f>
        <v>50</v>
      </c>
    </row>
    <row r="4" spans="1:9" x14ac:dyDescent="0.2">
      <c r="A4" s="2" t="s">
        <v>95</v>
      </c>
      <c r="B4" s="2">
        <v>30</v>
      </c>
      <c r="D4" s="2">
        <v>30</v>
      </c>
      <c r="E4" s="82"/>
      <c r="I4" s="2">
        <f t="shared" ref="I4:I12" si="0">B4</f>
        <v>30</v>
      </c>
    </row>
    <row r="5" spans="1:9" x14ac:dyDescent="0.2">
      <c r="A5" s="2" t="s">
        <v>96</v>
      </c>
      <c r="B5" s="2">
        <v>30</v>
      </c>
      <c r="D5" s="2">
        <v>30</v>
      </c>
      <c r="E5" s="82"/>
      <c r="I5" s="2">
        <f t="shared" si="0"/>
        <v>30</v>
      </c>
    </row>
    <row r="6" spans="1:9" x14ac:dyDescent="0.2">
      <c r="A6" s="2" t="s">
        <v>97</v>
      </c>
      <c r="B6" s="2">
        <v>350</v>
      </c>
      <c r="C6" t="s">
        <v>98</v>
      </c>
      <c r="D6" s="2">
        <f>100+150</f>
        <v>250</v>
      </c>
      <c r="E6" s="82" t="s">
        <v>99</v>
      </c>
      <c r="F6" s="55">
        <f>81+22+50</f>
        <v>153</v>
      </c>
      <c r="G6" s="55">
        <f>25+12+50+7</f>
        <v>94</v>
      </c>
      <c r="H6" s="27">
        <f>F6+G6</f>
        <v>247</v>
      </c>
      <c r="I6" s="2">
        <f t="shared" si="0"/>
        <v>350</v>
      </c>
    </row>
    <row r="7" spans="1:9" x14ac:dyDescent="0.2">
      <c r="A7" s="2" t="s">
        <v>100</v>
      </c>
      <c r="B7" s="2">
        <v>250</v>
      </c>
      <c r="C7" t="s">
        <v>101</v>
      </c>
      <c r="D7" s="2">
        <f>50+150</f>
        <v>200</v>
      </c>
      <c r="E7" s="82"/>
      <c r="F7" s="55">
        <f>40+50+17</f>
        <v>107</v>
      </c>
      <c r="G7" s="55">
        <v>110</v>
      </c>
      <c r="H7" s="27">
        <f>F7+G7</f>
        <v>217</v>
      </c>
      <c r="I7" s="2">
        <f>B7-140-20</f>
        <v>90</v>
      </c>
    </row>
    <row r="8" spans="1:9" x14ac:dyDescent="0.2">
      <c r="A8" s="2" t="s">
        <v>102</v>
      </c>
      <c r="B8" s="2">
        <v>40</v>
      </c>
      <c r="D8" s="2">
        <v>30</v>
      </c>
      <c r="E8" s="82"/>
      <c r="I8" s="2">
        <f t="shared" si="0"/>
        <v>40</v>
      </c>
    </row>
    <row r="9" spans="1:9" x14ac:dyDescent="0.2">
      <c r="A9" s="2" t="s">
        <v>103</v>
      </c>
      <c r="B9" s="2">
        <v>150</v>
      </c>
      <c r="D9" s="2">
        <v>100</v>
      </c>
      <c r="E9" s="96" t="s">
        <v>59</v>
      </c>
      <c r="I9" s="2">
        <f t="shared" si="0"/>
        <v>150</v>
      </c>
    </row>
    <row r="10" spans="1:9" x14ac:dyDescent="0.2">
      <c r="A10" s="2" t="s">
        <v>104</v>
      </c>
      <c r="B10" s="2">
        <v>100</v>
      </c>
      <c r="D10" s="2">
        <v>100</v>
      </c>
      <c r="E10" s="96" t="s">
        <v>59</v>
      </c>
      <c r="I10" s="2">
        <f t="shared" si="0"/>
        <v>100</v>
      </c>
    </row>
    <row r="11" spans="1:9" x14ac:dyDescent="0.2">
      <c r="A11" s="2" t="s">
        <v>24</v>
      </c>
      <c r="B11" s="2">
        <v>50</v>
      </c>
      <c r="D11" s="2">
        <v>50</v>
      </c>
      <c r="E11" s="82"/>
      <c r="I11" s="2">
        <f t="shared" si="0"/>
        <v>50</v>
      </c>
    </row>
    <row r="12" spans="1:9" x14ac:dyDescent="0.2">
      <c r="A12" s="2" t="s">
        <v>105</v>
      </c>
      <c r="B12" s="2">
        <v>100</v>
      </c>
      <c r="D12" s="2">
        <v>50</v>
      </c>
      <c r="E12" s="82"/>
      <c r="I12" s="2">
        <f t="shared" si="0"/>
        <v>100</v>
      </c>
    </row>
    <row r="13" spans="1:9" x14ac:dyDescent="0.2">
      <c r="A13" s="83" t="s">
        <v>106</v>
      </c>
      <c r="B13" s="4">
        <f>SUM(B2:B12)</f>
        <v>1300</v>
      </c>
      <c r="C13" s="83" t="s">
        <v>106</v>
      </c>
      <c r="D13" s="4">
        <f>SUM(D2:D12)</f>
        <v>1040</v>
      </c>
      <c r="F13" s="4"/>
    </row>
    <row r="14" spans="1:9" x14ac:dyDescent="0.2">
      <c r="A14" s="83" t="s">
        <v>107</v>
      </c>
      <c r="B14" s="4">
        <f>B13/12</f>
        <v>108.33333333333333</v>
      </c>
      <c r="C14" s="83" t="s">
        <v>107</v>
      </c>
      <c r="D14" s="4">
        <f>D13/12</f>
        <v>86.666666666666671</v>
      </c>
      <c r="F14" s="4"/>
      <c r="I14" s="2">
        <f>SUM(I2:I12)</f>
        <v>990</v>
      </c>
    </row>
    <row r="15" spans="1:9" x14ac:dyDescent="0.2">
      <c r="C15" s="5" t="s">
        <v>108</v>
      </c>
      <c r="D15" s="2">
        <f>B14-D14</f>
        <v>21.666666666666657</v>
      </c>
      <c r="E15" s="3"/>
      <c r="F15" s="4"/>
    </row>
    <row r="20" spans="2:4" x14ac:dyDescent="0.2">
      <c r="D20" s="2">
        <f>SUM(D4:D12)</f>
        <v>840</v>
      </c>
    </row>
    <row r="21" spans="2:4" x14ac:dyDescent="0.2">
      <c r="B21" s="2">
        <f>B6-179</f>
        <v>171</v>
      </c>
    </row>
    <row r="24" spans="2:4" x14ac:dyDescent="0.2">
      <c r="B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0645-3177-48F8-9A93-C65055988475}">
  <dimension ref="A1:E10"/>
  <sheetViews>
    <sheetView workbookViewId="0">
      <selection activeCell="C6" sqref="C6"/>
    </sheetView>
  </sheetViews>
  <sheetFormatPr baseColWidth="10" defaultColWidth="11.5" defaultRowHeight="15" x14ac:dyDescent="0.2"/>
  <cols>
    <col min="2" max="2" width="12.5" bestFit="1" customWidth="1"/>
    <col min="3" max="3" width="8" bestFit="1" customWidth="1"/>
    <col min="4" max="4" width="15.5" bestFit="1" customWidth="1"/>
  </cols>
  <sheetData>
    <row r="1" spans="1:5" x14ac:dyDescent="0.2">
      <c r="A1" t="s">
        <v>109</v>
      </c>
    </row>
    <row r="4" spans="1:5" x14ac:dyDescent="0.2">
      <c r="A4" t="s">
        <v>7</v>
      </c>
      <c r="B4" t="s">
        <v>110</v>
      </c>
      <c r="C4" t="s">
        <v>111</v>
      </c>
      <c r="D4" t="s">
        <v>112</v>
      </c>
      <c r="E4" t="s">
        <v>113</v>
      </c>
    </row>
    <row r="5" spans="1:5" x14ac:dyDescent="0.2">
      <c r="B5" s="78">
        <f>110/12</f>
        <v>9.1666666666666661</v>
      </c>
      <c r="C5" s="27"/>
      <c r="D5" s="27">
        <f>100/12</f>
        <v>8.3333333333333339</v>
      </c>
      <c r="E5" s="27">
        <f>SUM(B5:D5)</f>
        <v>17.5</v>
      </c>
    </row>
    <row r="6" spans="1:5" x14ac:dyDescent="0.2">
      <c r="A6" t="s">
        <v>100</v>
      </c>
      <c r="B6" s="55" t="s">
        <v>114</v>
      </c>
      <c r="C6" t="s">
        <v>115</v>
      </c>
      <c r="D6" t="s">
        <v>112</v>
      </c>
    </row>
    <row r="7" spans="1:5" x14ac:dyDescent="0.2">
      <c r="B7" s="27"/>
      <c r="C7" s="78"/>
      <c r="D7" s="27">
        <f>D5</f>
        <v>8.3333333333333339</v>
      </c>
      <c r="E7" s="27"/>
    </row>
    <row r="9" spans="1:5" x14ac:dyDescent="0.2">
      <c r="D9" s="3" t="s">
        <v>87</v>
      </c>
      <c r="E9" s="28">
        <f>E5+E7</f>
        <v>17.5</v>
      </c>
    </row>
    <row r="10" spans="1:5" x14ac:dyDescent="0.2">
      <c r="E10" s="27"/>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8F11-735E-4B29-993A-A80A1382C018}">
  <dimension ref="A1:A11"/>
  <sheetViews>
    <sheetView zoomScale="120" zoomScaleNormal="120" workbookViewId="0">
      <selection activeCell="A5" sqref="A5:XFD5"/>
    </sheetView>
  </sheetViews>
  <sheetFormatPr baseColWidth="10" defaultColWidth="11.5" defaultRowHeight="15" x14ac:dyDescent="0.2"/>
  <cols>
    <col min="4" max="4" width="26.33203125" customWidth="1"/>
  </cols>
  <sheetData>
    <row r="1" spans="1:1" x14ac:dyDescent="0.2">
      <c r="A1" t="s">
        <v>116</v>
      </c>
    </row>
    <row r="3" spans="1:1" x14ac:dyDescent="0.2">
      <c r="A3" t="s">
        <v>335</v>
      </c>
    </row>
    <row r="5" spans="1:1" x14ac:dyDescent="0.2">
      <c r="A5" t="s">
        <v>336</v>
      </c>
    </row>
    <row r="6" spans="1:1" x14ac:dyDescent="0.2">
      <c r="A6" t="s">
        <v>337</v>
      </c>
    </row>
    <row r="7" spans="1:1" x14ac:dyDescent="0.2">
      <c r="A7" t="s">
        <v>338</v>
      </c>
    </row>
    <row r="9" spans="1:1" x14ac:dyDescent="0.2">
      <c r="A9" t="s">
        <v>117</v>
      </c>
    </row>
    <row r="11" spans="1:1" x14ac:dyDescent="0.2">
      <c r="A11" t="s">
        <v>118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460E-A073-4F81-8E91-642133F865F8}">
  <dimension ref="A1:D11"/>
  <sheetViews>
    <sheetView topLeftCell="A2" zoomScale="140" zoomScaleNormal="140" workbookViewId="0">
      <selection activeCell="C5" sqref="C5"/>
    </sheetView>
  </sheetViews>
  <sheetFormatPr baseColWidth="10" defaultColWidth="11.5" defaultRowHeight="15" x14ac:dyDescent="0.2"/>
  <cols>
    <col min="2" max="2" width="12.33203125" customWidth="1"/>
    <col min="4" max="4" width="21.33203125" customWidth="1"/>
  </cols>
  <sheetData>
    <row r="1" spans="1:4" ht="16" thickBot="1" x14ac:dyDescent="0.25">
      <c r="A1" t="s">
        <v>70</v>
      </c>
    </row>
    <row r="2" spans="1:4" ht="16" thickBot="1" x14ac:dyDescent="0.25">
      <c r="A2" s="100"/>
      <c r="B2" s="104" t="s">
        <v>119</v>
      </c>
      <c r="C2" s="88" t="s">
        <v>120</v>
      </c>
    </row>
    <row r="3" spans="1:4" x14ac:dyDescent="0.2">
      <c r="A3" s="101" t="s">
        <v>7</v>
      </c>
      <c r="B3" s="105">
        <v>489.44</v>
      </c>
      <c r="C3" s="89">
        <v>650</v>
      </c>
    </row>
    <row r="4" spans="1:4" x14ac:dyDescent="0.2">
      <c r="A4" s="102" t="s">
        <v>6</v>
      </c>
      <c r="B4" s="106">
        <f>64.94+22.98+18.49+213+87.97</f>
        <v>407.38</v>
      </c>
      <c r="C4" s="90">
        <v>650</v>
      </c>
      <c r="D4" t="s">
        <v>121</v>
      </c>
    </row>
    <row r="5" spans="1:4" x14ac:dyDescent="0.2">
      <c r="A5" s="102" t="s">
        <v>122</v>
      </c>
      <c r="B5" s="105">
        <v>660</v>
      </c>
      <c r="C5" s="90">
        <v>680</v>
      </c>
    </row>
    <row r="6" spans="1:4" ht="16" thickBot="1" x14ac:dyDescent="0.25">
      <c r="A6" s="103" t="s">
        <v>123</v>
      </c>
      <c r="B6" s="107">
        <f>105+25.96</f>
        <v>130.96</v>
      </c>
      <c r="C6" s="98">
        <v>300</v>
      </c>
    </row>
    <row r="7" spans="1:4" ht="16" thickBot="1" x14ac:dyDescent="0.25">
      <c r="A7" s="100" t="s">
        <v>124</v>
      </c>
      <c r="B7" s="108">
        <f>SUM(B3:B6)</f>
        <v>1687.78</v>
      </c>
      <c r="C7" s="99">
        <f>SUM(C3:C6)</f>
        <v>2280</v>
      </c>
    </row>
    <row r="8" spans="1:4" x14ac:dyDescent="0.2">
      <c r="A8" s="87" t="s">
        <v>107</v>
      </c>
      <c r="B8" s="27">
        <f>B7/12</f>
        <v>140.64833333333334</v>
      </c>
      <c r="C8" s="27">
        <f>C7/12</f>
        <v>190</v>
      </c>
    </row>
    <row r="10" spans="1:4" x14ac:dyDescent="0.2">
      <c r="A10" s="91" t="s">
        <v>125</v>
      </c>
    </row>
    <row r="11" spans="1:4" x14ac:dyDescent="0.2">
      <c r="A11" s="91" t="s">
        <v>126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03B1-FF2C-402F-A394-FBC1DE169B80}">
  <dimension ref="A1:G19"/>
  <sheetViews>
    <sheetView topLeftCell="B9" zoomScale="120" zoomScaleNormal="120" workbookViewId="0">
      <selection activeCell="K24" sqref="K24"/>
    </sheetView>
  </sheetViews>
  <sheetFormatPr baseColWidth="10" defaultColWidth="11.5" defaultRowHeight="15" x14ac:dyDescent="0.2"/>
  <cols>
    <col min="1" max="1" width="21.83203125" customWidth="1"/>
    <col min="2" max="2" width="12.5" customWidth="1"/>
    <col min="3" max="3" width="11.5" hidden="1" customWidth="1"/>
    <col min="4" max="4" width="12.5" customWidth="1"/>
    <col min="6" max="6" width="22.33203125" customWidth="1"/>
  </cols>
  <sheetData>
    <row r="1" spans="1:7" x14ac:dyDescent="0.2">
      <c r="A1" t="s">
        <v>127</v>
      </c>
    </row>
    <row r="3" spans="1:7" x14ac:dyDescent="0.2">
      <c r="B3" t="s">
        <v>128</v>
      </c>
      <c r="D3" t="s">
        <v>129</v>
      </c>
      <c r="E3" t="s">
        <v>108</v>
      </c>
      <c r="F3" t="s">
        <v>130</v>
      </c>
      <c r="G3" t="s">
        <v>131</v>
      </c>
    </row>
    <row r="4" spans="1:7" x14ac:dyDescent="0.2">
      <c r="A4" t="s">
        <v>20</v>
      </c>
      <c r="B4" s="41" t="e">
        <f>Ausgaben!B1+Ausgaben!B2+Ausgaben!B3+Ausgaben!B5+Ausgaben!B6+Ausgaben!B8+Ausgaben!B10+Ausgaben!#REF!+Ausgaben!B32+Ausgaben!B35+Ausgaben!#REF!+Ausgaben!B37+Ausgaben!B42+Ausgaben!B43+Ausgaben!B45</f>
        <v>#REF!</v>
      </c>
      <c r="C4" s="41" t="e">
        <f>B7</f>
        <v>#REF!</v>
      </c>
      <c r="D4" s="57" t="e">
        <f>B4/C4</f>
        <v>#REF!</v>
      </c>
      <c r="E4" s="59" t="e">
        <f>50%-D4</f>
        <v>#REF!</v>
      </c>
      <c r="F4" s="27" t="e">
        <f>B7*0.5</f>
        <v>#REF!</v>
      </c>
      <c r="G4" s="27" t="e">
        <f>F4-B4</f>
        <v>#REF!</v>
      </c>
    </row>
    <row r="5" spans="1:7" x14ac:dyDescent="0.2">
      <c r="A5" t="s">
        <v>50</v>
      </c>
      <c r="B5" s="41" t="e">
        <f>Ausgaben!#REF!+Ausgaben!B22+Ausgaben!B23+Ausgaben!B27+Ausgaben!B28+Ausgaben!B30+Ausgaben!#REF!+Ausgaben!B33+Ausgaben!B34+Ausgaben!B36+Ausgaben!B39+Ausgaben!B40+Ausgaben!B44</f>
        <v>#REF!</v>
      </c>
      <c r="C5" s="41" t="e">
        <f>C4</f>
        <v>#REF!</v>
      </c>
      <c r="D5" s="57" t="e">
        <f t="shared" ref="D5:D6" si="0">B5/C5</f>
        <v>#REF!</v>
      </c>
      <c r="E5" s="59" t="e">
        <f>30%-D5</f>
        <v>#REF!</v>
      </c>
      <c r="F5" s="27" t="e">
        <f>B7*0.3</f>
        <v>#REF!</v>
      </c>
      <c r="G5" s="27" t="e">
        <f t="shared" ref="G5:G6" si="1">F5-B5</f>
        <v>#REF!</v>
      </c>
    </row>
    <row r="6" spans="1:7" x14ac:dyDescent="0.2">
      <c r="A6" t="s">
        <v>40</v>
      </c>
      <c r="B6" s="41">
        <f>Ausgaben!B14+Ausgaben!B15+Ausgaben!B16+Ausgaben!B17+Ausgaben!B18+Ausgaben!B19+Ausgaben!B20+Ausgaben!B24+Ausgaben!B25</f>
        <v>504</v>
      </c>
      <c r="C6" s="41" t="e">
        <f>C5</f>
        <v>#REF!</v>
      </c>
      <c r="D6" s="57" t="e">
        <f t="shared" si="0"/>
        <v>#REF!</v>
      </c>
      <c r="E6" s="59" t="e">
        <f>20%-D6</f>
        <v>#REF!</v>
      </c>
      <c r="F6" s="27" t="e">
        <f>B7*0.2</f>
        <v>#REF!</v>
      </c>
      <c r="G6" s="27" t="e">
        <f t="shared" si="1"/>
        <v>#REF!</v>
      </c>
    </row>
    <row r="7" spans="1:7" x14ac:dyDescent="0.2">
      <c r="A7" t="s">
        <v>132</v>
      </c>
      <c r="B7" s="27" t="e">
        <f>SUM(B4:B6)</f>
        <v>#REF!</v>
      </c>
      <c r="C7" s="27"/>
      <c r="D7" s="58" t="e">
        <f>SUM(D4:D6)</f>
        <v>#REF!</v>
      </c>
    </row>
    <row r="8" spans="1:7" x14ac:dyDescent="0.2">
      <c r="A8" t="s">
        <v>133</v>
      </c>
      <c r="B8" s="27">
        <f>Einnahmen!D6</f>
        <v>6165.3600000000006</v>
      </c>
    </row>
    <row r="10" spans="1:7" x14ac:dyDescent="0.2">
      <c r="A10" t="s">
        <v>134</v>
      </c>
    </row>
    <row r="11" spans="1:7" x14ac:dyDescent="0.2">
      <c r="F11" t="s">
        <v>135</v>
      </c>
      <c r="G11" s="27" t="e">
        <f>B15-B7</f>
        <v>#REF!</v>
      </c>
    </row>
    <row r="12" spans="1:7" x14ac:dyDescent="0.2">
      <c r="A12" t="s">
        <v>20</v>
      </c>
      <c r="B12" s="41" t="e">
        <f>B4</f>
        <v>#REF!</v>
      </c>
      <c r="C12" s="41" t="e">
        <f>B15</f>
        <v>#REF!</v>
      </c>
      <c r="D12" s="57" t="e">
        <f>B12/C12</f>
        <v>#REF!</v>
      </c>
    </row>
    <row r="13" spans="1:7" x14ac:dyDescent="0.2">
      <c r="A13" t="s">
        <v>50</v>
      </c>
      <c r="B13" s="41" t="e">
        <f>B15*30%</f>
        <v>#REF!</v>
      </c>
      <c r="C13" s="41" t="e">
        <f>C12</f>
        <v>#REF!</v>
      </c>
      <c r="D13" s="57" t="e">
        <f t="shared" ref="D13:D14" si="2">B13/C13</f>
        <v>#REF!</v>
      </c>
    </row>
    <row r="14" spans="1:7" x14ac:dyDescent="0.2">
      <c r="A14" t="s">
        <v>40</v>
      </c>
      <c r="B14" s="41" t="e">
        <f>B15*20%</f>
        <v>#REF!</v>
      </c>
      <c r="C14" s="41" t="e">
        <f>C13</f>
        <v>#REF!</v>
      </c>
      <c r="D14" s="57" t="e">
        <f t="shared" si="2"/>
        <v>#REF!</v>
      </c>
    </row>
    <row r="15" spans="1:7" x14ac:dyDescent="0.2">
      <c r="A15" s="3" t="s">
        <v>132</v>
      </c>
      <c r="B15" s="28" t="e">
        <f>B12*2</f>
        <v>#REF!</v>
      </c>
      <c r="C15" s="28"/>
      <c r="D15" s="60" t="e">
        <f>SUM(D12:D14)</f>
        <v>#REF!</v>
      </c>
    </row>
    <row r="19" spans="1:7" x14ac:dyDescent="0.2">
      <c r="A19" t="s">
        <v>136</v>
      </c>
      <c r="B19" s="27">
        <f>Einnahmen!D4*2</f>
        <v>7330.72</v>
      </c>
      <c r="F19" t="s">
        <v>137</v>
      </c>
      <c r="G19" s="27" t="e">
        <f>B15-B19</f>
        <v>#REF!</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G I M V 5 z m c h G l A A A A 9 g A A A B I A H A B D b 2 5 m a W c v U G F j a 2 F n Z S 5 4 b W w g o h g A K K A U A A A A A A A A A A A A A A A A A A A A A A A A A A A A h Y + 9 D o I w G E V f h X S n P 8 i g 5 K M M 6 i a J i Y l x b U q F R i i G F s u 7 O f h I v o I Y R d 0 c 7 7 l n u P d + v U E 2 N H V w U Z 3 V r U k R w x Q F y s i 2 0 K Z M U e + O 4 R x l H L Z C n k S p g l E 2 N h l s k a L K u X N C i P c e + x l u u 5 J E l D J y y D c 7 W a l G o I + s / 8 u h N t Y J I x X i s H + N 4 R F m b I F j G m M K Z I K Q a / M V o n H v s / 2 B s O x r 1 3 e K F y p c r Y F M E c j 7 A 3 8 A U E s D B B Q A A g A I A E h i D 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Y g x X K I p H u A 4 A A A A R A A A A E w A c A E Z v c m 1 1 b G F z L 1 N l Y 3 R p b 2 4 x L m 0 g o h g A K K A U A A A A A A A A A A A A A A A A A A A A A A A A A A A A K 0 5 N L s n M z 1 M I h t C G 1 g B Q S w E C L Q A U A A I A C A B I Y g x X n O Z y E a U A A A D 2 A A A A E g A A A A A A A A A A A A A A A A A A A A A A Q 2 9 u Z m l n L 1 B h Y 2 t h Z 2 U u e G 1 s U E s B A i 0 A F A A C A A g A S G I M V w / K 6 a u k A A A A 6 Q A A A B M A A A A A A A A A A A A A A A A A 8 Q A A A F t D b 2 5 0 Z W 5 0 X 1 R 5 c G V z X S 5 4 b W x Q S w E C L Q A U A A I A C A B I Y g x 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c y y S I n 4 K e E 2 g B n 2 s G f u m y A A A A A A C A A A A A A A Q Z g A A A A E A A C A A A A C C I n 3 v O L d J j 9 x r I O b b l U c r O S A G a R / B S K 6 7 J t 8 V n S j s E g A A A A A O g A A A A A I A A C A A A A D W Y m t 2 t C V K I g T B z 5 o B i 6 j z G 4 Z b f / y R B J b W 7 8 U N q J U B q F A A A A C 0 K C Q L p O 6 c 0 9 j 1 3 J f 1 l 6 f c z g K N i m 9 H d N i N 6 p i u 3 t Z + J X + k r j H F t K H R 5 W 1 y Y 5 c d D W v 2 w c y l V T L F q N I V a C e H A t n 3 s o e Z 5 c b v 9 W w 1 M x Q Y V e x R P k A A A A A I w F x c u u 1 + 7 k y M R o h 7 T Y / / T C r z F m R s X q S Z Z K 1 0 V D X R f B C A d V P B 3 B N n L b t Z t S O M F n N 6 i o n 9 a U 3 o s a I f 0 C N 7 f G C z < / D a t a M a s h u p > 
</file>

<file path=customXml/itemProps1.xml><?xml version="1.0" encoding="utf-8"?>
<ds:datastoreItem xmlns:ds="http://schemas.openxmlformats.org/officeDocument/2006/customXml" ds:itemID="{A438C659-B65B-45CA-90B9-D8FDDE711E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19</vt:i4>
      </vt:variant>
    </vt:vector>
  </HeadingPairs>
  <TitlesOfParts>
    <vt:vector size="19" baseType="lpstr">
      <vt:lpstr>Einnahmen</vt:lpstr>
      <vt:lpstr>Urlaube25</vt:lpstr>
      <vt:lpstr>Notgroschen</vt:lpstr>
      <vt:lpstr>Ausgaben</vt:lpstr>
      <vt:lpstr>Geschenke</vt:lpstr>
      <vt:lpstr>HobbiesKinder √</vt:lpstr>
      <vt:lpstr>ToDos</vt:lpstr>
      <vt:lpstr>Kleidung</vt:lpstr>
      <vt:lpstr>50-30-20 √</vt:lpstr>
      <vt:lpstr>VersicherungenJahresbeiträge √</vt:lpstr>
      <vt:lpstr>einsparen</vt:lpstr>
      <vt:lpstr>Steuerrückzahlungen</vt:lpstr>
      <vt:lpstr>EssenSpezial √</vt:lpstr>
      <vt:lpstr>AuslagenErbe</vt:lpstr>
      <vt:lpstr>JahresausgabenBudgets</vt:lpstr>
      <vt:lpstr>FüllungBildungsetatUndAusland</vt:lpstr>
      <vt:lpstr>HochrechnungHaushalt</vt:lpstr>
      <vt:lpstr>AufteilungZahlung23</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Natalie Seitz</dc:creator>
  <cp:keywords/>
  <dc:description/>
  <cp:lastModifiedBy>Natalie Seitz</cp:lastModifiedBy>
  <cp:revision/>
  <dcterms:created xsi:type="dcterms:W3CDTF">2021-06-15T08:46:50Z</dcterms:created>
  <dcterms:modified xsi:type="dcterms:W3CDTF">2024-12-04T20:26:05Z</dcterms:modified>
  <cp:category/>
  <cp:contentStatus/>
</cp:coreProperties>
</file>