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y-my.sharepoint.com/personal/npitta03_ucy_ac_cy/Documents/Desktop/πανεπιστήμιο κύπρου/5ο εξάμηνο/Εργαστηριακή 2/Πείραμα 4-Φαινόμενο Compton/"/>
    </mc:Choice>
  </mc:AlternateContent>
  <xr:revisionPtr revIDLastSave="345" documentId="8_{0B2189EB-1F2F-4AC7-B39F-3FBFF470492F}" xr6:coauthVersionLast="47" xr6:coauthVersionMax="47" xr10:uidLastSave="{903557FB-05F5-4DF1-AD6D-961653AB20A4}"/>
  <bookViews>
    <workbookView xWindow="-110" yWindow="-110" windowWidth="19420" windowHeight="10420" xr2:uid="{F6062330-6D10-42EE-8788-4A0FB009B008}"/>
  </bookViews>
  <sheets>
    <sheet name="θεωρητικοί υπολογισμοί" sheetId="1" r:id="rId1"/>
    <sheet name="ii ερώτημα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B3" i="1"/>
  <c r="H10" i="3"/>
  <c r="H9" i="3"/>
  <c r="H8" i="3"/>
  <c r="H7" i="3"/>
  <c r="H6" i="3"/>
  <c r="H5" i="3"/>
  <c r="H4" i="3"/>
  <c r="G4" i="3"/>
  <c r="G10" i="3"/>
  <c r="G8" i="3"/>
  <c r="G7" i="3"/>
  <c r="G6" i="3"/>
  <c r="G5" i="3"/>
  <c r="F5" i="3"/>
  <c r="F10" i="3"/>
  <c r="F9" i="3"/>
  <c r="F8" i="3"/>
  <c r="F7" i="3"/>
  <c r="F6" i="3"/>
  <c r="F4" i="3"/>
  <c r="F3" i="2"/>
  <c r="F4" i="2"/>
  <c r="F5" i="2"/>
  <c r="F6" i="2"/>
  <c r="F7" i="2"/>
  <c r="F8" i="2"/>
  <c r="F9" i="2"/>
  <c r="N15" i="1"/>
  <c r="N14" i="1"/>
  <c r="N13" i="1"/>
  <c r="N12" i="1"/>
  <c r="N11" i="1"/>
  <c r="N10" i="1"/>
  <c r="N9" i="1"/>
  <c r="N8" i="1"/>
  <c r="N7" i="1"/>
  <c r="N6" i="1"/>
  <c r="I6" i="1"/>
  <c r="L14" i="1"/>
  <c r="L13" i="1"/>
  <c r="L12" i="1"/>
  <c r="L11" i="1"/>
  <c r="L10" i="1"/>
  <c r="L9" i="1"/>
  <c r="L8" i="1"/>
  <c r="I12" i="1"/>
  <c r="L7" i="1"/>
  <c r="L6" i="1"/>
  <c r="J14" i="1"/>
  <c r="J13" i="1"/>
  <c r="J12" i="1"/>
  <c r="J11" i="1"/>
  <c r="J10" i="1"/>
  <c r="J9" i="1"/>
  <c r="J8" i="1"/>
  <c r="J7" i="1"/>
  <c r="J6" i="1"/>
  <c r="H14" i="1"/>
  <c r="H13" i="1"/>
  <c r="H12" i="1"/>
  <c r="H11" i="1"/>
  <c r="H10" i="1"/>
  <c r="H9" i="1"/>
  <c r="H8" i="1"/>
  <c r="H7" i="1"/>
  <c r="B4" i="1"/>
  <c r="B5" i="1"/>
  <c r="B6" i="1"/>
  <c r="B7" i="1"/>
  <c r="B8" i="1"/>
  <c r="B9" i="1"/>
  <c r="C4" i="1"/>
  <c r="C5" i="1"/>
  <c r="C6" i="1"/>
  <c r="C7" i="1"/>
  <c r="C8" i="1"/>
  <c r="C9" i="1"/>
  <c r="C3" i="1"/>
  <c r="I3" i="1"/>
  <c r="I2" i="1"/>
  <c r="E8" i="1"/>
  <c r="E5" i="1"/>
  <c r="E4" i="1"/>
  <c r="E2" i="1"/>
  <c r="O13" i="1" l="1"/>
  <c r="I9" i="1"/>
  <c r="K8" i="1"/>
  <c r="M7" i="1"/>
  <c r="O6" i="1"/>
  <c r="O14" i="1"/>
  <c r="I8" i="1"/>
  <c r="K9" i="1"/>
  <c r="M8" i="1"/>
  <c r="O7" i="1"/>
  <c r="O15" i="1"/>
  <c r="I7" i="1"/>
  <c r="K10" i="1"/>
  <c r="M9" i="1"/>
  <c r="O8" i="1"/>
  <c r="K11" i="1"/>
  <c r="M10" i="1"/>
  <c r="O9" i="1"/>
  <c r="O10" i="1"/>
  <c r="I14" i="1"/>
  <c r="K13" i="1"/>
  <c r="M12" i="1"/>
  <c r="O11" i="1"/>
  <c r="I13" i="1"/>
  <c r="K12" i="1"/>
  <c r="M11" i="1"/>
  <c r="I11" i="1"/>
  <c r="K6" i="1"/>
  <c r="K14" i="1"/>
  <c r="M13" i="1"/>
  <c r="O12" i="1"/>
  <c r="I10" i="1"/>
  <c r="K7" i="1"/>
  <c r="M6" i="1"/>
  <c r="M14" i="1"/>
</calcChain>
</file>

<file path=xl/sharedStrings.xml><?xml version="1.0" encoding="utf-8"?>
<sst xmlns="http://schemas.openxmlformats.org/spreadsheetml/2006/main" count="42" uniqueCount="33">
  <si>
    <t>γωνία(μοίρες)</t>
  </si>
  <si>
    <t>h</t>
  </si>
  <si>
    <t>Αρχική ενέργεια Εγ</t>
  </si>
  <si>
    <t>keV</t>
  </si>
  <si>
    <t>Cs</t>
  </si>
  <si>
    <t>c</t>
  </si>
  <si>
    <t>me</t>
  </si>
  <si>
    <t>ε</t>
  </si>
  <si>
    <t>J</t>
  </si>
  <si>
    <t>E'γ</t>
  </si>
  <si>
    <t>ii ερώτημα</t>
  </si>
  <si>
    <t>iv ερώτημα</t>
  </si>
  <si>
    <t>z</t>
  </si>
  <si>
    <t>ro</t>
  </si>
  <si>
    <t>dσ/Dω</t>
  </si>
  <si>
    <t>rad</t>
  </si>
  <si>
    <t>γωνιά</t>
  </si>
  <si>
    <t>Ε΄γ(πειραματικό)</t>
  </si>
  <si>
    <t>FWHM</t>
  </si>
  <si>
    <t>Ένταση Ι</t>
  </si>
  <si>
    <t>σ</t>
  </si>
  <si>
    <t>Ε΄γ(θεωρητικό)</t>
  </si>
  <si>
    <r>
      <t>γωνιά(</t>
    </r>
    <r>
      <rPr>
        <b/>
        <sz val="11"/>
        <color theme="1"/>
        <rFont val="Calibri"/>
        <family val="2"/>
      </rPr>
      <t>±5o)</t>
    </r>
  </si>
  <si>
    <r>
      <t>646</t>
    </r>
    <r>
      <rPr>
        <sz val="11"/>
        <color theme="1"/>
        <rFont val="Calibri"/>
        <family val="2"/>
      </rPr>
      <t>±6</t>
    </r>
  </si>
  <si>
    <r>
      <t>600</t>
    </r>
    <r>
      <rPr>
        <sz val="11"/>
        <color theme="1"/>
        <rFont val="Calibri"/>
        <family val="2"/>
      </rPr>
      <t>±10</t>
    </r>
  </si>
  <si>
    <r>
      <t>540</t>
    </r>
    <r>
      <rPr>
        <sz val="11"/>
        <color theme="1"/>
        <rFont val="Calibri"/>
        <family val="2"/>
      </rPr>
      <t>±10</t>
    </r>
  </si>
  <si>
    <r>
      <t>420.9</t>
    </r>
    <r>
      <rPr>
        <sz val="11"/>
        <color theme="1"/>
        <rFont val="Calibri"/>
        <family val="2"/>
      </rPr>
      <t>±0.7</t>
    </r>
  </si>
  <si>
    <r>
      <t>272</t>
    </r>
    <r>
      <rPr>
        <sz val="11"/>
        <color theme="1"/>
        <rFont val="Calibri"/>
        <family val="2"/>
      </rPr>
      <t>±4</t>
    </r>
  </si>
  <si>
    <r>
      <t>216.4</t>
    </r>
    <r>
      <rPr>
        <sz val="11"/>
        <color theme="1"/>
        <rFont val="Calibri"/>
        <family val="2"/>
      </rPr>
      <t>±0.9</t>
    </r>
  </si>
  <si>
    <r>
      <t>174.5</t>
    </r>
    <r>
      <rPr>
        <sz val="11"/>
        <color theme="1"/>
        <rFont val="Calibri"/>
        <family val="2"/>
      </rPr>
      <t>±0.5</t>
    </r>
  </si>
  <si>
    <t>Σχετική απόκλιση(σ)</t>
  </si>
  <si>
    <t>Εκατοστιαία απόκλιση(%)</t>
  </si>
  <si>
    <t>Σχετικό σφάλμα(%)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</si>
</sst>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CAD5-EA21-45A5-A683-9CD8C0737AF5}">
  <dimension ref="A1:O15"/>
  <sheetViews>
    <sheetView tabSelected="1" workbookViewId="0">
      <selection activeCell="F13" sqref="F13"/>
    </sheetView>
  </sheetViews>
  <sheetFormatPr defaultRowHeight="14.5" x14ac:dyDescent="0.35"/>
  <cols>
    <col min="1" max="1" width="13.453125" customWidth="1"/>
    <col min="2" max="2" width="10.81640625" customWidth="1"/>
    <col min="4" max="4" width="19.26953125" customWidth="1"/>
    <col min="5" max="5" width="11.81640625" bestFit="1" customWidth="1"/>
    <col min="8" max="8" width="14.54296875" customWidth="1"/>
    <col min="9" max="9" width="12.81640625" customWidth="1"/>
    <col min="10" max="10" width="14.08984375" customWidth="1"/>
    <col min="12" max="12" width="14.08984375" customWidth="1"/>
    <col min="14" max="14" width="13.6328125" customWidth="1"/>
  </cols>
  <sheetData>
    <row r="1" spans="1:15" x14ac:dyDescent="0.35">
      <c r="A1" s="1" t="s">
        <v>10</v>
      </c>
      <c r="E1" t="s">
        <v>4</v>
      </c>
      <c r="H1" s="1" t="s">
        <v>11</v>
      </c>
    </row>
    <row r="2" spans="1:15" x14ac:dyDescent="0.35">
      <c r="A2" s="1" t="s">
        <v>0</v>
      </c>
      <c r="B2" s="1" t="s">
        <v>9</v>
      </c>
      <c r="C2" t="s">
        <v>15</v>
      </c>
      <c r="D2" s="1" t="s">
        <v>2</v>
      </c>
      <c r="E2">
        <f>662</f>
        <v>662</v>
      </c>
      <c r="F2" t="s">
        <v>3</v>
      </c>
      <c r="H2" s="1" t="s">
        <v>12</v>
      </c>
      <c r="I2">
        <f>137</f>
        <v>137</v>
      </c>
    </row>
    <row r="3" spans="1:15" x14ac:dyDescent="0.35">
      <c r="A3">
        <v>10</v>
      </c>
      <c r="B3">
        <f>$E$2/(1+$E$7*(1-COS(C3)))</f>
        <v>649.23961042450935</v>
      </c>
      <c r="C3">
        <f>A3*PI()/180</f>
        <v>0.17453292519943295</v>
      </c>
      <c r="D3" s="1"/>
      <c r="E3">
        <f>1.060641*10^(-13)</f>
        <v>1.060641E-13</v>
      </c>
      <c r="F3" t="s">
        <v>8</v>
      </c>
      <c r="H3" s="1" t="s">
        <v>13</v>
      </c>
      <c r="I3">
        <f>2.82*10^(-13)*10^(-2)</f>
        <v>2.8200000000000001E-15</v>
      </c>
    </row>
    <row r="4" spans="1:15" x14ac:dyDescent="0.35">
      <c r="A4">
        <v>20</v>
      </c>
      <c r="B4">
        <f t="shared" ref="B4:B9" si="0">$E$2/(1+$E$7*(1-COS(C4)))</f>
        <v>614.08864684008347</v>
      </c>
      <c r="C4">
        <f t="shared" ref="C4:C9" si="1">A4*PI()/180</f>
        <v>0.3490658503988659</v>
      </c>
      <c r="D4" s="1" t="s">
        <v>5</v>
      </c>
      <c r="E4">
        <f>3*10^8</f>
        <v>300000000</v>
      </c>
    </row>
    <row r="5" spans="1:15" x14ac:dyDescent="0.35">
      <c r="A5">
        <v>30</v>
      </c>
      <c r="B5">
        <f t="shared" si="0"/>
        <v>564.20890558750273</v>
      </c>
      <c r="C5">
        <f t="shared" si="1"/>
        <v>0.52359877559829882</v>
      </c>
      <c r="D5" s="1" t="s">
        <v>6</v>
      </c>
      <c r="E5">
        <f>9.10938356*10^(-31)</f>
        <v>9.1093835599999998E-31</v>
      </c>
      <c r="H5" s="1" t="s">
        <v>0</v>
      </c>
      <c r="I5" s="1" t="s">
        <v>14</v>
      </c>
      <c r="J5" s="1" t="s">
        <v>0</v>
      </c>
      <c r="K5" s="1" t="s">
        <v>14</v>
      </c>
      <c r="L5" s="1" t="s">
        <v>0</v>
      </c>
      <c r="M5" s="1" t="s">
        <v>14</v>
      </c>
      <c r="N5" s="1" t="s">
        <v>0</v>
      </c>
      <c r="O5" s="1" t="s">
        <v>14</v>
      </c>
    </row>
    <row r="6" spans="1:15" x14ac:dyDescent="0.35">
      <c r="A6">
        <v>60</v>
      </c>
      <c r="B6">
        <f t="shared" si="0"/>
        <v>401.97832435623963</v>
      </c>
      <c r="C6">
        <f t="shared" si="1"/>
        <v>1.0471975511965976</v>
      </c>
      <c r="D6" s="1"/>
      <c r="H6">
        <v>0</v>
      </c>
      <c r="I6">
        <f>$I$2*$I$3^2*(1/(1+$E$7*(1-COS(H6))))^2*((1+(COS(H6))^2))*(1+($E$7^J42*(1-COS(H6))^2)/((1+(COS(H6))^2)*(1+$E$7*(1-COS(H6)))))</f>
        <v>2.1789576000000003E-27</v>
      </c>
      <c r="J6">
        <f>45*PI()/180</f>
        <v>0.78539816339744828</v>
      </c>
      <c r="K6">
        <f t="shared" ref="K6:K14" si="2">$I$2*$I$3^2*(1/(1+$E$7*(1-COS(J6))))^2*((1+(COS(J6))^2))*(1+($E$7^2*(1-COS(J6))^2)/((1+(COS(J6))^2)*(1+$E$7*(1-COS(J6)))))</f>
        <v>9.1913537498261234E-28</v>
      </c>
      <c r="L6">
        <f>90*PI()/180</f>
        <v>1.5707963267948966</v>
      </c>
      <c r="M6">
        <f t="shared" ref="M6:M14" si="3">$I$2*$I$3^2*(1/(1+$E$7*(1-COS(L6))))^2*((1+(COS(L6))^2))*(1+($E$7^2*(1-COS(L6))^2)/((1+(COS(L6))^2)*(1+$E$7*(1-COS(L6)))))</f>
        <v>3.5818613836714983E-28</v>
      </c>
      <c r="N6">
        <f>135*PI()/180</f>
        <v>2.3561944901923448</v>
      </c>
      <c r="O6">
        <f t="shared" ref="O6:O15" si="4">$I$2*$I$3^2*(1/(1+$E$7*(1-COS(N6))))^2*((1+(COS(N6))^2))*(1+($E$7^2*(1-COS(N6))^2)/((1+(COS(N6))^2)*(1+$E$7*(1-COS(N6)))))</f>
        <v>3.1962905434284387E-28</v>
      </c>
    </row>
    <row r="7" spans="1:15" x14ac:dyDescent="0.35">
      <c r="A7">
        <v>90</v>
      </c>
      <c r="B7">
        <f t="shared" si="0"/>
        <v>288.61539566087907</v>
      </c>
      <c r="C7">
        <f t="shared" si="1"/>
        <v>1.5707963267948966</v>
      </c>
      <c r="D7" s="1" t="s">
        <v>7</v>
      </c>
      <c r="E7">
        <f>E3/(E5*E4^2)</f>
        <v>1.2937099335402231</v>
      </c>
      <c r="H7">
        <f>5*PI()/180</f>
        <v>8.7266462599716474E-2</v>
      </c>
      <c r="I7">
        <f t="shared" ref="I7:I11" si="5">$I$2*$I$3^2*(1/(1+$E$7*(1-COS(H7))))^2*((1+(COS(H7))^2))*(1+($E$7^2*(1-COS(H7))^2)/((1+(COS(H7))^2)*(1+$E$7*(1-COS(H7)))))</f>
        <v>2.1494922498663142E-27</v>
      </c>
      <c r="J7">
        <f>50*PI()/180</f>
        <v>0.87266462599716477</v>
      </c>
      <c r="K7">
        <f t="shared" si="2"/>
        <v>7.9462096512958516E-28</v>
      </c>
      <c r="L7">
        <f>95*PI()/180</f>
        <v>1.6580627893946132</v>
      </c>
      <c r="M7">
        <f t="shared" si="3"/>
        <v>3.442056277141853E-28</v>
      </c>
      <c r="N7">
        <f>140*PI()/180</f>
        <v>2.4434609527920612</v>
      </c>
      <c r="O7">
        <f t="shared" si="4"/>
        <v>3.2069802217506562E-28</v>
      </c>
    </row>
    <row r="8" spans="1:15" x14ac:dyDescent="0.35">
      <c r="A8">
        <v>120</v>
      </c>
      <c r="B8">
        <f t="shared" si="0"/>
        <v>225.12681149466738</v>
      </c>
      <c r="C8">
        <f t="shared" si="1"/>
        <v>2.0943951023931953</v>
      </c>
      <c r="D8" s="1" t="s">
        <v>1</v>
      </c>
      <c r="E8">
        <f>6.626*10^(-34)</f>
        <v>6.6260000000000015E-34</v>
      </c>
      <c r="H8">
        <f>10*PI()/180</f>
        <v>0.17453292519943295</v>
      </c>
      <c r="I8">
        <f t="shared" si="5"/>
        <v>2.0645655783694737E-27</v>
      </c>
      <c r="J8">
        <f>55*PI()/180</f>
        <v>0.95993108859688125</v>
      </c>
      <c r="K8">
        <f t="shared" si="2"/>
        <v>6.9012324374976909E-28</v>
      </c>
      <c r="L8">
        <f>100*PI()/180</f>
        <v>1.7453292519943295</v>
      </c>
      <c r="M8">
        <f t="shared" si="3"/>
        <v>3.3422282930663175E-28</v>
      </c>
      <c r="N8">
        <f>145*PI()/180</f>
        <v>2.5307274153917776</v>
      </c>
      <c r="O8">
        <f t="shared" si="4"/>
        <v>3.218995453439806E-28</v>
      </c>
    </row>
    <row r="9" spans="1:15" x14ac:dyDescent="0.35">
      <c r="A9">
        <v>150</v>
      </c>
      <c r="B9">
        <f t="shared" si="0"/>
        <v>193.90201017919014</v>
      </c>
      <c r="C9">
        <f t="shared" si="1"/>
        <v>2.6179938779914944</v>
      </c>
      <c r="H9">
        <f>15*PI()/180</f>
        <v>0.26179938779914941</v>
      </c>
      <c r="I9">
        <f t="shared" si="5"/>
        <v>1.9337581168001369E-27</v>
      </c>
      <c r="J9">
        <f>60*PI()/180</f>
        <v>1.0471975511965976</v>
      </c>
      <c r="K9">
        <f t="shared" si="2"/>
        <v>6.0419480274918185E-28</v>
      </c>
      <c r="L9">
        <f>105*PI()/180</f>
        <v>1.8325957145940461</v>
      </c>
      <c r="M9">
        <f t="shared" si="3"/>
        <v>3.2734744502323051E-28</v>
      </c>
      <c r="N9">
        <f>150*PI()/180</f>
        <v>2.6179938779914944</v>
      </c>
      <c r="O9">
        <f t="shared" si="4"/>
        <v>3.2312210849967992E-28</v>
      </c>
    </row>
    <row r="10" spans="1:15" x14ac:dyDescent="0.35">
      <c r="H10">
        <f>20*PI()/180</f>
        <v>0.3490658503988659</v>
      </c>
      <c r="I10">
        <f t="shared" si="5"/>
        <v>1.7706012025977654E-27</v>
      </c>
      <c r="J10">
        <f>65*PI()/180</f>
        <v>1.1344640137963142</v>
      </c>
      <c r="K10">
        <f t="shared" si="2"/>
        <v>5.3476154728678601E-28</v>
      </c>
      <c r="L10">
        <f>110*PI()/180</f>
        <v>1.9198621771937625</v>
      </c>
      <c r="M10">
        <f t="shared" si="3"/>
        <v>3.2285966149427511E-28</v>
      </c>
      <c r="N10">
        <f>155*PI()/180</f>
        <v>2.7052603405912108</v>
      </c>
      <c r="O10">
        <f t="shared" si="4"/>
        <v>3.2427927836343422E-28</v>
      </c>
    </row>
    <row r="11" spans="1:15" x14ac:dyDescent="0.35">
      <c r="H11">
        <f>25*PI()/180</f>
        <v>0.43633231299858238</v>
      </c>
      <c r="I11">
        <f t="shared" si="5"/>
        <v>1.5898697950219126E-27</v>
      </c>
      <c r="J11">
        <f>70*PI()/180</f>
        <v>1.2217304763960306</v>
      </c>
      <c r="K11">
        <f t="shared" si="2"/>
        <v>4.7952370790359503E-28</v>
      </c>
      <c r="L11">
        <f>115*PI()/180</f>
        <v>2.0071286397934789</v>
      </c>
      <c r="M11">
        <f t="shared" si="3"/>
        <v>3.2018130639760177E-28</v>
      </c>
      <c r="N11">
        <f>160*PI()/180</f>
        <v>2.7925268031909272</v>
      </c>
      <c r="O11">
        <f t="shared" si="4"/>
        <v>3.2530487125482576E-28</v>
      </c>
    </row>
    <row r="12" spans="1:15" x14ac:dyDescent="0.35">
      <c r="H12">
        <f>30*PI()/180</f>
        <v>0.52359877559829882</v>
      </c>
      <c r="I12">
        <f>$I$2*$I$3^2*(1/(1+$E$7*(1-COS(H12))))^2*((1+(COS(H12))^2))*(1+($E$7^2*(1-COS(H12))^2)/((1+(COS(H12))^2)*(1+$E$7*(1-COS(H12)))))</f>
        <v>1.4051694220423104E-27</v>
      </c>
      <c r="J12">
        <f>75*PI()/180</f>
        <v>1.3089969389957472</v>
      </c>
      <c r="K12">
        <f t="shared" si="2"/>
        <v>4.3621298302775565E-28</v>
      </c>
      <c r="L12">
        <f>120*PI()/180</f>
        <v>2.0943951023931953</v>
      </c>
      <c r="M12">
        <f t="shared" si="3"/>
        <v>3.1885032289733925E-28</v>
      </c>
      <c r="N12">
        <f>165*PI()/180</f>
        <v>2.8797932657906435</v>
      </c>
      <c r="O12">
        <f t="shared" si="4"/>
        <v>3.2614922322464131E-28</v>
      </c>
    </row>
    <row r="13" spans="1:15" x14ac:dyDescent="0.35">
      <c r="H13">
        <f>35*PI()/180</f>
        <v>0.6108652381980153</v>
      </c>
      <c r="I13">
        <f t="shared" ref="I13:I14" si="6">$I$2*$I$3^2*(1/(1+$E$7*(1-COS(H13))))^2*((1+(COS(H13))^2))*(1+($E$7^2*(1-COS(H13))^2)/((1+(COS(H13))^2)*(1+$E$7*(1-COS(H13)))))</f>
        <v>1.227357967393189E-27</v>
      </c>
      <c r="J13">
        <f>80*PI()/180</f>
        <v>1.3962634015954636</v>
      </c>
      <c r="K13">
        <f t="shared" si="2"/>
        <v>4.0273861514968302E-28</v>
      </c>
      <c r="L13">
        <f>125*PI()/180</f>
        <v>2.1816615649929116</v>
      </c>
      <c r="M13">
        <f t="shared" si="3"/>
        <v>3.1849893732279265E-28</v>
      </c>
      <c r="N13">
        <f>170*PI()/180</f>
        <v>2.9670597283903604</v>
      </c>
      <c r="O13">
        <f t="shared" si="4"/>
        <v>3.2677637292228933E-28</v>
      </c>
    </row>
    <row r="14" spans="1:15" x14ac:dyDescent="0.35">
      <c r="H14">
        <f>40*PI()/180</f>
        <v>0.69813170079773179</v>
      </c>
      <c r="I14">
        <f t="shared" si="6"/>
        <v>1.0639248742907977E-27</v>
      </c>
      <c r="J14">
        <f>85*PI()/180</f>
        <v>1.4835298641951802</v>
      </c>
      <c r="K14">
        <f t="shared" si="2"/>
        <v>3.7725604615890833E-28</v>
      </c>
      <c r="L14">
        <f>130*PI()/180</f>
        <v>2.2689280275926285</v>
      </c>
      <c r="M14">
        <f t="shared" si="3"/>
        <v>3.1883541355606083E-28</v>
      </c>
      <c r="N14">
        <f>175*PI()/180</f>
        <v>3.0543261909900763</v>
      </c>
      <c r="O14">
        <f t="shared" si="4"/>
        <v>3.2716201105626207E-28</v>
      </c>
    </row>
    <row r="15" spans="1:15" x14ac:dyDescent="0.35">
      <c r="N15">
        <f>180*PI()/180</f>
        <v>3.1415926535897931</v>
      </c>
      <c r="O15">
        <f t="shared" si="4"/>
        <v>3.2729208874130257E-28</v>
      </c>
    </row>
  </sheetData>
  <pageMargins left="0.7" right="0.7" top="0.75" bottom="0.75" header="0.3" footer="0.3"/>
  <pageSetup orientation="portrait" r:id="rId1"/>
  <ignoredErrors>
    <ignoredError sqref="J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F455-1AF0-4DA5-9795-8CC8D1D8FACF}">
  <dimension ref="A1:F9"/>
  <sheetViews>
    <sheetView workbookViewId="0">
      <selection activeCell="A3" sqref="A3"/>
    </sheetView>
  </sheetViews>
  <sheetFormatPr defaultRowHeight="14.5" x14ac:dyDescent="0.35"/>
  <cols>
    <col min="3" max="3" width="15.36328125" customWidth="1"/>
  </cols>
  <sheetData>
    <row r="1" spans="1:6" x14ac:dyDescent="0.35">
      <c r="B1">
        <v>2.355</v>
      </c>
    </row>
    <row r="2" spans="1:6" x14ac:dyDescent="0.35">
      <c r="A2" s="1" t="s">
        <v>21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</row>
    <row r="3" spans="1:6" x14ac:dyDescent="0.35">
      <c r="A3">
        <v>649.23961042450935</v>
      </c>
      <c r="B3">
        <v>10</v>
      </c>
      <c r="C3">
        <v>645.61</v>
      </c>
      <c r="D3">
        <v>13.49</v>
      </c>
      <c r="E3">
        <v>14.53</v>
      </c>
      <c r="F3">
        <f>D3/$B$1</f>
        <v>5.7282377919320595</v>
      </c>
    </row>
    <row r="4" spans="1:6" x14ac:dyDescent="0.35">
      <c r="A4">
        <v>614.08864684008347</v>
      </c>
      <c r="B4">
        <v>20</v>
      </c>
      <c r="C4">
        <v>599.54</v>
      </c>
      <c r="D4">
        <v>24.56</v>
      </c>
      <c r="E4">
        <v>0.85</v>
      </c>
      <c r="F4">
        <f t="shared" ref="F4:F9" si="0">D4/$B$1</f>
        <v>10.428874734607218</v>
      </c>
    </row>
    <row r="5" spans="1:6" x14ac:dyDescent="0.35">
      <c r="A5">
        <v>564.20890558750273</v>
      </c>
      <c r="B5">
        <v>30</v>
      </c>
      <c r="C5">
        <v>538.22</v>
      </c>
      <c r="D5">
        <v>26.46</v>
      </c>
      <c r="E5">
        <v>1.69</v>
      </c>
      <c r="F5">
        <f t="shared" si="0"/>
        <v>11.235668789808917</v>
      </c>
    </row>
    <row r="6" spans="1:6" x14ac:dyDescent="0.35">
      <c r="A6">
        <v>401.97832435623963</v>
      </c>
      <c r="B6">
        <v>60</v>
      </c>
      <c r="C6">
        <v>420.91</v>
      </c>
      <c r="D6">
        <v>1.64</v>
      </c>
      <c r="E6">
        <v>0.3</v>
      </c>
      <c r="F6">
        <f t="shared" si="0"/>
        <v>0.69639065817409762</v>
      </c>
    </row>
    <row r="7" spans="1:6" x14ac:dyDescent="0.35">
      <c r="A7">
        <v>288.61539566087907</v>
      </c>
      <c r="B7">
        <v>90</v>
      </c>
      <c r="C7">
        <v>272.16000000000003</v>
      </c>
      <c r="D7">
        <v>10.42</v>
      </c>
      <c r="E7">
        <v>0.67</v>
      </c>
      <c r="F7">
        <f t="shared" si="0"/>
        <v>4.424628450106157</v>
      </c>
    </row>
    <row r="8" spans="1:6" x14ac:dyDescent="0.35">
      <c r="A8">
        <v>225.12681149466738</v>
      </c>
      <c r="B8">
        <v>120</v>
      </c>
      <c r="C8">
        <v>216.41</v>
      </c>
      <c r="D8">
        <v>2.09</v>
      </c>
      <c r="E8">
        <v>0.96</v>
      </c>
      <c r="F8">
        <f t="shared" si="0"/>
        <v>0.88747346072186828</v>
      </c>
    </row>
    <row r="9" spans="1:6" x14ac:dyDescent="0.35">
      <c r="A9">
        <v>193.90201017919014</v>
      </c>
      <c r="B9">
        <v>150</v>
      </c>
      <c r="C9">
        <v>174.5</v>
      </c>
      <c r="D9">
        <v>1.22</v>
      </c>
      <c r="E9">
        <v>2.64</v>
      </c>
      <c r="F9">
        <f t="shared" si="0"/>
        <v>0.51804670912951167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13C3-F3D8-419E-8445-8E1BE0A68697}">
  <dimension ref="C3:H10"/>
  <sheetViews>
    <sheetView workbookViewId="0">
      <selection activeCell="E4" sqref="E4"/>
    </sheetView>
  </sheetViews>
  <sheetFormatPr defaultRowHeight="14.5" x14ac:dyDescent="0.35"/>
  <cols>
    <col min="3" max="3" width="10.453125" customWidth="1"/>
    <col min="4" max="4" width="15.453125" customWidth="1"/>
    <col min="5" max="5" width="13.81640625" customWidth="1"/>
    <col min="6" max="6" width="20.90625" customWidth="1"/>
    <col min="7" max="7" width="19.36328125" customWidth="1"/>
    <col min="8" max="8" width="17.36328125" customWidth="1"/>
  </cols>
  <sheetData>
    <row r="3" spans="3:8" x14ac:dyDescent="0.35">
      <c r="C3" s="1" t="s">
        <v>22</v>
      </c>
      <c r="D3" s="1" t="s">
        <v>17</v>
      </c>
      <c r="E3" s="1" t="s">
        <v>21</v>
      </c>
      <c r="F3" s="1" t="s">
        <v>31</v>
      </c>
      <c r="G3" s="1" t="s">
        <v>30</v>
      </c>
      <c r="H3" s="1" t="s">
        <v>32</v>
      </c>
    </row>
    <row r="4" spans="3:8" x14ac:dyDescent="0.35">
      <c r="C4">
        <v>10</v>
      </c>
      <c r="D4" t="s">
        <v>23</v>
      </c>
      <c r="E4">
        <v>649</v>
      </c>
      <c r="F4">
        <f>(649-646)*100/649</f>
        <v>0.46224961479198767</v>
      </c>
      <c r="G4">
        <f>(649-646)/6</f>
        <v>0.5</v>
      </c>
      <c r="H4">
        <f>6*100/646</f>
        <v>0.92879256965944268</v>
      </c>
    </row>
    <row r="5" spans="3:8" x14ac:dyDescent="0.35">
      <c r="C5">
        <v>20</v>
      </c>
      <c r="D5" t="s">
        <v>24</v>
      </c>
      <c r="E5">
        <v>614</v>
      </c>
      <c r="F5">
        <f>(614-600)*100/614</f>
        <v>2.2801302931596092</v>
      </c>
      <c r="G5">
        <f>(614-600)/10</f>
        <v>1.4</v>
      </c>
      <c r="H5">
        <f>10*100/600</f>
        <v>1.6666666666666667</v>
      </c>
    </row>
    <row r="6" spans="3:8" x14ac:dyDescent="0.35">
      <c r="C6">
        <v>30</v>
      </c>
      <c r="D6" t="s">
        <v>25</v>
      </c>
      <c r="E6">
        <v>564</v>
      </c>
      <c r="F6">
        <f>(564-540)*100/564</f>
        <v>4.2553191489361701</v>
      </c>
      <c r="G6">
        <f>(564-540)/10</f>
        <v>2.4</v>
      </c>
      <c r="H6">
        <f>10*100/540</f>
        <v>1.8518518518518519</v>
      </c>
    </row>
    <row r="7" spans="3:8" x14ac:dyDescent="0.35">
      <c r="C7">
        <v>60</v>
      </c>
      <c r="D7" t="s">
        <v>26</v>
      </c>
      <c r="E7">
        <v>402</v>
      </c>
      <c r="F7">
        <f>(420.9-402)*100/402</f>
        <v>4.7014925373134275</v>
      </c>
      <c r="G7">
        <f>(420.9-402)/0.7</f>
        <v>26.999999999999968</v>
      </c>
      <c r="H7">
        <f>0.7*100/420.9</f>
        <v>0.16631028747921123</v>
      </c>
    </row>
    <row r="8" spans="3:8" x14ac:dyDescent="0.35">
      <c r="C8">
        <v>90</v>
      </c>
      <c r="D8" t="s">
        <v>27</v>
      </c>
      <c r="E8">
        <v>289</v>
      </c>
      <c r="F8">
        <f>(289-272)*100/289</f>
        <v>5.882352941176471</v>
      </c>
      <c r="G8">
        <f>(289-272)/4</f>
        <v>4.25</v>
      </c>
      <c r="H8">
        <f>4*100/272</f>
        <v>1.4705882352941178</v>
      </c>
    </row>
    <row r="9" spans="3:8" x14ac:dyDescent="0.35">
      <c r="C9">
        <v>120</v>
      </c>
      <c r="D9" t="s">
        <v>28</v>
      </c>
      <c r="E9">
        <v>225</v>
      </c>
      <c r="F9">
        <f>(225-216.4)*100/225</f>
        <v>3.8222222222222197</v>
      </c>
      <c r="G9">
        <v>9.6</v>
      </c>
      <c r="H9">
        <f>0.9*100/216.4</f>
        <v>0.41589648798521256</v>
      </c>
    </row>
    <row r="10" spans="3:8" x14ac:dyDescent="0.35">
      <c r="C10">
        <v>150</v>
      </c>
      <c r="D10" t="s">
        <v>29</v>
      </c>
      <c r="E10">
        <v>194</v>
      </c>
      <c r="F10">
        <f>(194-174.5)*100/194</f>
        <v>10.051546391752577</v>
      </c>
      <c r="G10">
        <f>(194-174.5)/0.5</f>
        <v>39</v>
      </c>
      <c r="H10">
        <f>0.5*100/174.5</f>
        <v>0.28653295128939826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θεωρητικοί υπολογισμοί</vt:lpstr>
      <vt:lpstr>ii ερώτημα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natassa.pittas6@outlook.com</cp:lastModifiedBy>
  <dcterms:created xsi:type="dcterms:W3CDTF">2021-09-15T09:48:05Z</dcterms:created>
  <dcterms:modified xsi:type="dcterms:W3CDTF">2021-12-04T08:30:02Z</dcterms:modified>
</cp:coreProperties>
</file>