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y-my.sharepoint.com/personal/npitta03_ucy_ac_cy/Documents/Desktop/πανεπιστήμιο κύπρου/5ο εξάμηνο/Εργαστηριακή 2/Πείραμα 6-Σκέδαση Rutherford/"/>
    </mc:Choice>
  </mc:AlternateContent>
  <xr:revisionPtr revIDLastSave="30" documentId="13_ncr:1_{CEF49658-F851-4421-B717-13CB9CC79933}" xr6:coauthVersionLast="47" xr6:coauthVersionMax="47" xr10:uidLastSave="{9F3CD1B8-0DE2-43F3-9822-CDE5C4BBA7A4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9" i="1" l="1"/>
  <c r="N3" i="1"/>
  <c r="O4" i="1"/>
  <c r="H28" i="1"/>
  <c r="H29" i="1"/>
  <c r="H30" i="1"/>
  <c r="H31" i="1"/>
  <c r="H32" i="1"/>
  <c r="H33" i="1"/>
  <c r="H34" i="1"/>
  <c r="H27" i="1"/>
  <c r="L33" i="1"/>
  <c r="K33" i="1"/>
  <c r="L32" i="1"/>
  <c r="K32" i="1"/>
  <c r="J32" i="1"/>
  <c r="L31" i="1"/>
  <c r="K31" i="1"/>
  <c r="L30" i="1"/>
  <c r="K30" i="1"/>
  <c r="J30" i="1"/>
  <c r="L29" i="1"/>
  <c r="K29" i="1"/>
  <c r="L28" i="1"/>
  <c r="K28" i="1"/>
  <c r="J28" i="1"/>
  <c r="L27" i="1"/>
  <c r="K27" i="1"/>
  <c r="L26" i="1"/>
  <c r="K26" i="1"/>
  <c r="J26" i="1"/>
  <c r="B22" i="1"/>
  <c r="B23" i="1" s="1"/>
  <c r="N11" i="1" s="1"/>
  <c r="G21" i="1"/>
  <c r="N7" i="1" s="1"/>
  <c r="M30" i="1" s="1"/>
  <c r="B20" i="1"/>
  <c r="N8" i="1"/>
  <c r="M31" i="1" s="1"/>
  <c r="B18" i="1"/>
  <c r="B17" i="1"/>
  <c r="G15" i="1"/>
  <c r="B13" i="1"/>
  <c r="B14" i="1" s="1"/>
  <c r="B12" i="1"/>
  <c r="L11" i="1"/>
  <c r="O11" i="1" s="1"/>
  <c r="B11" i="1"/>
  <c r="L10" i="1"/>
  <c r="O10" i="1" s="1"/>
  <c r="B10" i="1"/>
  <c r="O9" i="1"/>
  <c r="M9" i="1"/>
  <c r="L9" i="1"/>
  <c r="B9" i="1"/>
  <c r="L8" i="1"/>
  <c r="O8" i="1" s="1"/>
  <c r="B8" i="1"/>
  <c r="O7" i="1"/>
  <c r="L7" i="1"/>
  <c r="M7" i="1" s="1"/>
  <c r="N6" i="1"/>
  <c r="M29" i="1" s="1"/>
  <c r="M6" i="1"/>
  <c r="L6" i="1"/>
  <c r="J29" i="1" s="1"/>
  <c r="B6" i="1"/>
  <c r="L5" i="1"/>
  <c r="O5" i="1" s="1"/>
  <c r="N4" i="1"/>
  <c r="M27" i="1" s="1"/>
  <c r="L4" i="1"/>
  <c r="J27" i="1" s="1"/>
  <c r="L3" i="1"/>
  <c r="O3" i="1" s="1"/>
  <c r="M4" i="1" l="1"/>
  <c r="N9" i="1"/>
  <c r="M32" i="1" s="1"/>
  <c r="M11" i="1"/>
  <c r="M8" i="1"/>
  <c r="O6" i="1"/>
  <c r="J31" i="1"/>
  <c r="J33" i="1"/>
  <c r="M3" i="1"/>
  <c r="M5" i="1"/>
  <c r="M10" i="1"/>
  <c r="M26" i="1"/>
  <c r="N5" i="1"/>
  <c r="M28" i="1" s="1"/>
  <c r="N10" i="1"/>
  <c r="M33" i="1" s="1"/>
</calcChain>
</file>

<file path=xl/sharedStrings.xml><?xml version="1.0" encoding="utf-8"?>
<sst xmlns="http://schemas.openxmlformats.org/spreadsheetml/2006/main" count="48" uniqueCount="42">
  <si>
    <t>Εο</t>
  </si>
  <si>
    <t>E</t>
  </si>
  <si>
    <t>Channel</t>
  </si>
  <si>
    <t>Γωνία</t>
  </si>
  <si>
    <t>Ενέργεια</t>
  </si>
  <si>
    <t>FWHM</t>
  </si>
  <si>
    <t>Gross</t>
  </si>
  <si>
    <t>Γωνία(rad)</t>
  </si>
  <si>
    <t>E(theor)</t>
  </si>
  <si>
    <t>dS/Dω(πειρ)</t>
  </si>
  <si>
    <t>ds/dΩ (θεωρ)</t>
  </si>
  <si>
    <t>A2</t>
  </si>
  <si>
    <t>A1</t>
  </si>
  <si>
    <t>r1</t>
  </si>
  <si>
    <t>m</t>
  </si>
  <si>
    <t xml:space="preserve">   </t>
  </si>
  <si>
    <t>r2</t>
  </si>
  <si>
    <t>Aστ</t>
  </si>
  <si>
    <t>g</t>
  </si>
  <si>
    <t>San</t>
  </si>
  <si>
    <t>m^2</t>
  </si>
  <si>
    <t>Sst</t>
  </si>
  <si>
    <t>Q</t>
  </si>
  <si>
    <t>1/s</t>
  </si>
  <si>
    <t>x</t>
  </si>
  <si>
    <t>g/m^2</t>
  </si>
  <si>
    <t>Nav</t>
  </si>
  <si>
    <t>Z1</t>
  </si>
  <si>
    <t>Δωαν</t>
  </si>
  <si>
    <t>Z2</t>
  </si>
  <si>
    <t>Δωστ</t>
  </si>
  <si>
    <t>e^2</t>
  </si>
  <si>
    <t>Νστ</t>
  </si>
  <si>
    <t>rst</t>
  </si>
  <si>
    <t>Νο</t>
  </si>
  <si>
    <t>ran</t>
  </si>
  <si>
    <t>A</t>
  </si>
  <si>
    <t>Δωστμεγ</t>
  </si>
  <si>
    <t>Νομεγ</t>
  </si>
  <si>
    <t>Γωνία σκέδασης(ο)</t>
  </si>
  <si>
    <t>Ενέργεια-α (ΜeV)</t>
  </si>
  <si>
    <t>Ένταση (counts/sec)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</si>
</sst>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Sheet1!$L$3:$L$11</c:f>
              <c:numCache>
                <c:formatCode>General</c:formatCode>
                <c:ptCount val="9"/>
                <c:pt idx="0">
                  <c:v>8.7266462599716474E-2</c:v>
                </c:pt>
                <c:pt idx="1">
                  <c:v>0.17453292519943295</c:v>
                </c:pt>
                <c:pt idx="2">
                  <c:v>0.26179938779914941</c:v>
                </c:pt>
                <c:pt idx="3">
                  <c:v>0.3490658503988659</c:v>
                </c:pt>
                <c:pt idx="4">
                  <c:v>0.43633231299858238</c:v>
                </c:pt>
                <c:pt idx="5">
                  <c:v>0.52359877559829882</c:v>
                </c:pt>
                <c:pt idx="6">
                  <c:v>0.69813170079773179</c:v>
                </c:pt>
                <c:pt idx="7">
                  <c:v>0.87266462599716477</c:v>
                </c:pt>
                <c:pt idx="8">
                  <c:v>1.0471975511965976</c:v>
                </c:pt>
              </c:numCache>
            </c:numRef>
          </c:xVal>
          <c:yVal>
            <c:numRef>
              <c:f>Sheet1!$O$3:$O$11</c:f>
              <c:numCache>
                <c:formatCode>General</c:formatCode>
                <c:ptCount val="9"/>
                <c:pt idx="0">
                  <c:v>56623.790079469421</c:v>
                </c:pt>
                <c:pt idx="1">
                  <c:v>18671.277134554031</c:v>
                </c:pt>
                <c:pt idx="2">
                  <c:v>3711.6531370113466</c:v>
                </c:pt>
                <c:pt idx="3">
                  <c:v>1184.8875560072113</c:v>
                </c:pt>
                <c:pt idx="4">
                  <c:v>490.92037356577322</c:v>
                </c:pt>
                <c:pt idx="5">
                  <c:v>240.08948287655971</c:v>
                </c:pt>
                <c:pt idx="6">
                  <c:v>78.732006542233691</c:v>
                </c:pt>
                <c:pt idx="7">
                  <c:v>33.772640792697572</c:v>
                </c:pt>
                <c:pt idx="8">
                  <c:v>17.237649315360439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2-4215-8D3E-4F7601A74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710731"/>
        <c:axId val="12434232"/>
      </c:scatterChart>
      <c:valAx>
        <c:axId val="60710731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2434232"/>
        <c:crosses val="autoZero"/>
        <c:crossBetween val="midCat"/>
      </c:valAx>
      <c:valAx>
        <c:axId val="1243423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0710731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396720</xdr:colOff>
      <xdr:row>15</xdr:row>
      <xdr:rowOff>79200</xdr:rowOff>
    </xdr:from>
    <xdr:to>
      <xdr:col>23</xdr:col>
      <xdr:colOff>91440</xdr:colOff>
      <xdr:row>30</xdr:row>
      <xdr:rowOff>122040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5"/>
  <sheetViews>
    <sheetView tabSelected="1" zoomScale="90" zoomScaleNormal="90" workbookViewId="0">
      <selection activeCell="E8" sqref="E8"/>
    </sheetView>
  </sheetViews>
  <sheetFormatPr defaultColWidth="8.7265625" defaultRowHeight="14.5" x14ac:dyDescent="0.35"/>
  <cols>
    <col min="2" max="2" width="18.90625" customWidth="1"/>
    <col min="3" max="3" width="11.7265625" customWidth="1"/>
    <col min="7" max="7" width="11.81640625" customWidth="1"/>
    <col min="10" max="10" width="11.81640625" customWidth="1"/>
    <col min="14" max="14" width="11.81640625" customWidth="1"/>
  </cols>
  <sheetData>
    <row r="2" spans="1:15" x14ac:dyDescent="0.35">
      <c r="A2" t="s">
        <v>0</v>
      </c>
      <c r="B2">
        <v>5.48</v>
      </c>
      <c r="D2" s="1" t="s">
        <v>1</v>
      </c>
      <c r="E2" s="1" t="s">
        <v>2</v>
      </c>
      <c r="F2" s="1"/>
      <c r="G2" s="1" t="s">
        <v>3</v>
      </c>
      <c r="H2" s="1" t="s">
        <v>4</v>
      </c>
      <c r="I2" s="1" t="s">
        <v>5</v>
      </c>
      <c r="J2" s="1" t="s">
        <v>6</v>
      </c>
      <c r="K2" s="1"/>
      <c r="L2" s="1" t="s">
        <v>7</v>
      </c>
      <c r="M2" s="1" t="s">
        <v>8</v>
      </c>
      <c r="N2" s="1" t="s">
        <v>9</v>
      </c>
      <c r="O2" s="1" t="s">
        <v>10</v>
      </c>
    </row>
    <row r="3" spans="1:15" x14ac:dyDescent="0.35">
      <c r="A3" t="s">
        <v>11</v>
      </c>
      <c r="B3">
        <v>197</v>
      </c>
      <c r="D3">
        <v>4.78</v>
      </c>
      <c r="E3">
        <v>324</v>
      </c>
      <c r="G3">
        <v>5</v>
      </c>
      <c r="H3">
        <v>4.01</v>
      </c>
      <c r="I3">
        <v>0.02</v>
      </c>
      <c r="J3">
        <v>4.8899999999999997</v>
      </c>
      <c r="L3">
        <f t="shared" ref="L3:L11" si="0">G3*PI()/180</f>
        <v>8.7266462599716474E-2</v>
      </c>
      <c r="M3">
        <f t="shared" ref="M3:M11" si="1">$B$2*((COS(L3)+SQRT(($B$3/$B$4)^2-(SIN(L3))^2))/(1+($B$3/$B$4)))^2</f>
        <v>5.4791532402167356</v>
      </c>
      <c r="N3" s="2">
        <f>J3*10^(28)*$G$21/($B$17*$B$19*$B$20)</f>
        <v>49336.250084332583</v>
      </c>
      <c r="O3">
        <f>$H$16^2*$H$17^2*$H$18^2/(16*$B$2^2*(SIN(L3/2))^2)</f>
        <v>56623.790079469421</v>
      </c>
    </row>
    <row r="4" spans="1:15" x14ac:dyDescent="0.35">
      <c r="A4" t="s">
        <v>12</v>
      </c>
      <c r="B4">
        <v>4</v>
      </c>
      <c r="D4">
        <v>6</v>
      </c>
      <c r="E4">
        <v>452</v>
      </c>
      <c r="G4">
        <v>10</v>
      </c>
      <c r="H4">
        <v>3.88</v>
      </c>
      <c r="I4">
        <v>0.3</v>
      </c>
      <c r="J4">
        <v>1.89</v>
      </c>
      <c r="L4">
        <f t="shared" si="0"/>
        <v>0.17453292519943295</v>
      </c>
      <c r="M4">
        <f t="shared" si="1"/>
        <v>5.4766201788166446</v>
      </c>
      <c r="N4">
        <f t="shared" ref="N3:N8" si="2">J4*10^(28)*$G$21/($B$17*$B$19*$B$20)</f>
        <v>19068.611995784988</v>
      </c>
      <c r="O4">
        <f>$H$16^2*$H$17^2*$H$18^2/(16*$B$2^2*(SIN(L4/2))^4)*10^-2</f>
        <v>18671.277134554031</v>
      </c>
    </row>
    <row r="5" spans="1:15" x14ac:dyDescent="0.35">
      <c r="D5">
        <v>7.68</v>
      </c>
      <c r="E5">
        <v>626</v>
      </c>
      <c r="G5">
        <v>15</v>
      </c>
      <c r="H5">
        <v>3.69</v>
      </c>
      <c r="I5">
        <v>0.65</v>
      </c>
      <c r="J5">
        <v>2.2599999999999998</v>
      </c>
      <c r="L5">
        <f t="shared" si="0"/>
        <v>0.26179938779914941</v>
      </c>
      <c r="M5">
        <f t="shared" si="1"/>
        <v>5.4724223903530937</v>
      </c>
      <c r="N5">
        <f t="shared" si="2"/>
        <v>22801.620693372523</v>
      </c>
      <c r="O5" s="2">
        <f t="shared" ref="O4:O11" si="3">$H$16^2*$H$17^2*$H$18^2/(16*$B$2^2*(SIN(L5/2))^4)*10^-2</f>
        <v>3711.6531370113466</v>
      </c>
    </row>
    <row r="6" spans="1:15" x14ac:dyDescent="0.35">
      <c r="A6" t="s">
        <v>13</v>
      </c>
      <c r="B6">
        <f>28*10^(-3)</f>
        <v>2.8000000000000001E-2</v>
      </c>
      <c r="C6" t="s">
        <v>14</v>
      </c>
      <c r="E6" t="s">
        <v>15</v>
      </c>
      <c r="G6">
        <v>20</v>
      </c>
      <c r="H6">
        <v>2.88</v>
      </c>
      <c r="I6">
        <v>1.5</v>
      </c>
      <c r="J6">
        <v>7.0000000000000007E-2</v>
      </c>
      <c r="L6">
        <f t="shared" si="0"/>
        <v>0.3490658503988659</v>
      </c>
      <c r="M6">
        <f t="shared" si="1"/>
        <v>5.4665955694978559</v>
      </c>
      <c r="N6">
        <f t="shared" si="2"/>
        <v>706.24488873277733</v>
      </c>
      <c r="O6" s="2">
        <f t="shared" si="3"/>
        <v>1184.8875560072113</v>
      </c>
    </row>
    <row r="7" spans="1:15" x14ac:dyDescent="0.35">
      <c r="A7" t="s">
        <v>16</v>
      </c>
      <c r="B7">
        <v>2.5999999999999999E-2</v>
      </c>
      <c r="C7" t="s">
        <v>14</v>
      </c>
      <c r="G7">
        <v>25</v>
      </c>
      <c r="H7">
        <v>2.76</v>
      </c>
      <c r="I7">
        <v>0.49</v>
      </c>
      <c r="J7">
        <v>0.03</v>
      </c>
      <c r="L7">
        <f t="shared" si="0"/>
        <v>0.43633231299858238</v>
      </c>
      <c r="M7">
        <f t="shared" si="1"/>
        <v>5.459189141533801</v>
      </c>
      <c r="N7">
        <f t="shared" si="2"/>
        <v>302.67638088547596</v>
      </c>
      <c r="O7" s="2">
        <f t="shared" si="3"/>
        <v>490.92037356577322</v>
      </c>
    </row>
    <row r="8" spans="1:15" x14ac:dyDescent="0.35">
      <c r="A8" t="s">
        <v>17</v>
      </c>
      <c r="B8">
        <f>197*1.66*10^(-24)</f>
        <v>3.2702E-22</v>
      </c>
      <c r="C8" t="s">
        <v>18</v>
      </c>
      <c r="G8">
        <v>30</v>
      </c>
      <c r="H8">
        <v>2.74</v>
      </c>
      <c r="I8">
        <v>1.26</v>
      </c>
      <c r="J8">
        <v>0.01</v>
      </c>
      <c r="L8">
        <f t="shared" si="0"/>
        <v>0.52359877559829882</v>
      </c>
      <c r="M8">
        <f t="shared" si="1"/>
        <v>5.4502657266428587</v>
      </c>
      <c r="N8">
        <f t="shared" si="2"/>
        <v>100.89212696182535</v>
      </c>
      <c r="O8" s="2">
        <f t="shared" si="3"/>
        <v>240.08948287655971</v>
      </c>
    </row>
    <row r="9" spans="1:15" x14ac:dyDescent="0.35">
      <c r="A9" t="s">
        <v>19</v>
      </c>
      <c r="B9">
        <f>14*10^(-6)</f>
        <v>1.4E-5</v>
      </c>
      <c r="C9" t="s">
        <v>20</v>
      </c>
      <c r="G9">
        <v>40</v>
      </c>
      <c r="H9">
        <v>2.65</v>
      </c>
      <c r="I9">
        <v>1.4</v>
      </c>
      <c r="J9">
        <v>0.04</v>
      </c>
      <c r="L9">
        <f t="shared" si="0"/>
        <v>0.69813170079773179</v>
      </c>
      <c r="M9">
        <f t="shared" si="1"/>
        <v>5.4281802300475501</v>
      </c>
      <c r="N9">
        <f>J9*10^(28)*$G$21/($B$17*$B$19*$B$23)</f>
        <v>302.67638088547608</v>
      </c>
      <c r="O9" s="2">
        <f t="shared" si="3"/>
        <v>78.732006542233691</v>
      </c>
    </row>
    <row r="10" spans="1:15" x14ac:dyDescent="0.35">
      <c r="A10" t="s">
        <v>21</v>
      </c>
      <c r="B10">
        <f>12*10^(-6)</f>
        <v>1.2E-5</v>
      </c>
      <c r="C10" t="s">
        <v>20</v>
      </c>
      <c r="D10">
        <v>60</v>
      </c>
      <c r="G10">
        <v>50</v>
      </c>
      <c r="H10">
        <v>2.67</v>
      </c>
      <c r="I10">
        <v>1.55</v>
      </c>
      <c r="J10">
        <v>0.01</v>
      </c>
      <c r="L10">
        <f t="shared" si="0"/>
        <v>0.87266462599716477</v>
      </c>
      <c r="M10">
        <f t="shared" si="1"/>
        <v>5.4010753517435415</v>
      </c>
      <c r="N10">
        <f>J10*10^(28)*$G$21/($B$17*$B$19*$B$23)</f>
        <v>75.66909522136902</v>
      </c>
      <c r="O10" s="2">
        <f t="shared" si="3"/>
        <v>33.772640792697572</v>
      </c>
    </row>
    <row r="11" spans="1:15" x14ac:dyDescent="0.35">
      <c r="A11" t="s">
        <v>22</v>
      </c>
      <c r="B11">
        <f>333*10^3</f>
        <v>333000</v>
      </c>
      <c r="C11" t="s">
        <v>23</v>
      </c>
      <c r="G11">
        <v>60</v>
      </c>
      <c r="L11">
        <f t="shared" si="0"/>
        <v>1.0471975511965976</v>
      </c>
      <c r="M11">
        <f t="shared" si="1"/>
        <v>5.3698436260035933</v>
      </c>
      <c r="N11">
        <f>J11*10^(28)*$G$21/($B$17*$B$19*$B$23)</f>
        <v>0</v>
      </c>
      <c r="O11" s="2">
        <f t="shared" si="3"/>
        <v>17.237649315360439</v>
      </c>
    </row>
    <row r="12" spans="1:15" x14ac:dyDescent="0.35">
      <c r="A12" t="s">
        <v>24</v>
      </c>
      <c r="B12">
        <f>3.86*10^(-3)*10^(-28)</f>
        <v>3.8600000000000003E-31</v>
      </c>
      <c r="C12" t="s">
        <v>25</v>
      </c>
    </row>
    <row r="13" spans="1:15" x14ac:dyDescent="0.35">
      <c r="A13" t="s">
        <v>26</v>
      </c>
      <c r="B13">
        <f>6.022*10^23</f>
        <v>6.0219999999999996E+23</v>
      </c>
    </row>
    <row r="14" spans="1:15" x14ac:dyDescent="0.35">
      <c r="B14">
        <f>1/B13</f>
        <v>1.660577881102624E-24</v>
      </c>
    </row>
    <row r="15" spans="1:15" x14ac:dyDescent="0.35">
      <c r="C15" t="s">
        <v>22</v>
      </c>
      <c r="D15">
        <v>333</v>
      </c>
      <c r="G15">
        <f>J3*(1.66/10)*(4*PI()*D19^2*D20^2*D21)/(D18*D15*D16*D17*B13)</f>
        <v>8.1898175139992084E-21</v>
      </c>
    </row>
    <row r="16" spans="1:15" x14ac:dyDescent="0.35">
      <c r="C16" t="s">
        <v>21</v>
      </c>
      <c r="D16">
        <v>12</v>
      </c>
      <c r="E16">
        <v>16</v>
      </c>
      <c r="G16" t="s">
        <v>27</v>
      </c>
      <c r="H16">
        <v>2</v>
      </c>
    </row>
    <row r="17" spans="1:13" x14ac:dyDescent="0.35">
      <c r="A17" t="s">
        <v>28</v>
      </c>
      <c r="B17">
        <f>D18/D20^2</f>
        <v>2.0710059171597635E-2</v>
      </c>
      <c r="C17" t="s">
        <v>24</v>
      </c>
      <c r="D17">
        <v>3.86</v>
      </c>
      <c r="G17" t="s">
        <v>29</v>
      </c>
      <c r="H17">
        <v>79</v>
      </c>
    </row>
    <row r="18" spans="1:13" x14ac:dyDescent="0.35">
      <c r="A18" t="s">
        <v>30</v>
      </c>
      <c r="B18">
        <f>D16/D19^2</f>
        <v>1.5306122448979591E-2</v>
      </c>
      <c r="C18" t="s">
        <v>19</v>
      </c>
      <c r="D18">
        <v>14</v>
      </c>
      <c r="G18" t="s">
        <v>31</v>
      </c>
      <c r="H18">
        <v>1.44</v>
      </c>
    </row>
    <row r="19" spans="1:13" x14ac:dyDescent="0.35">
      <c r="A19" t="s">
        <v>32</v>
      </c>
      <c r="B19">
        <f>D17*10^(-3)*B13/D21</f>
        <v>1.1799451776649746E+19</v>
      </c>
      <c r="C19" t="s">
        <v>33</v>
      </c>
      <c r="D19">
        <v>28</v>
      </c>
    </row>
    <row r="20" spans="1:13" x14ac:dyDescent="0.35">
      <c r="A20" t="s">
        <v>34</v>
      </c>
      <c r="B20">
        <f>D15*B18/(4*PI())</f>
        <v>0.40560150037960063</v>
      </c>
      <c r="C20" t="s">
        <v>35</v>
      </c>
      <c r="D20">
        <v>26</v>
      </c>
    </row>
    <row r="21" spans="1:13" x14ac:dyDescent="0.35">
      <c r="C21" t="s">
        <v>36</v>
      </c>
      <c r="D21">
        <v>197</v>
      </c>
      <c r="G21">
        <f>0.0001/10^3</f>
        <v>1.0000000000000001E-7</v>
      </c>
    </row>
    <row r="22" spans="1:13" x14ac:dyDescent="0.35">
      <c r="A22" t="s">
        <v>37</v>
      </c>
      <c r="B22">
        <f>E16/D19^2</f>
        <v>2.0408163265306121E-2</v>
      </c>
    </row>
    <row r="23" spans="1:13" x14ac:dyDescent="0.35">
      <c r="A23" t="s">
        <v>38</v>
      </c>
      <c r="B23">
        <f>D15*B22/(4*PI())</f>
        <v>0.54080200050613414</v>
      </c>
    </row>
    <row r="26" spans="1:13" x14ac:dyDescent="0.35">
      <c r="B26" t="s">
        <v>39</v>
      </c>
      <c r="C26" t="s">
        <v>40</v>
      </c>
      <c r="D26" t="s">
        <v>41</v>
      </c>
      <c r="J26">
        <f t="shared" ref="J26:J33" si="4">L3</f>
        <v>8.7266462599716474E-2</v>
      </c>
      <c r="K26">
        <f t="shared" ref="K26:L33" si="5">H3</f>
        <v>4.01</v>
      </c>
      <c r="L26">
        <f t="shared" si="5"/>
        <v>0.02</v>
      </c>
      <c r="M26">
        <f t="shared" ref="M26:M33" si="6">N3</f>
        <v>49336.250084332583</v>
      </c>
    </row>
    <row r="27" spans="1:13" x14ac:dyDescent="0.35">
      <c r="B27">
        <v>5</v>
      </c>
      <c r="C27" s="2">
        <v>4.01</v>
      </c>
      <c r="D27" s="2">
        <v>4.8899999999999997</v>
      </c>
      <c r="G27" s="2">
        <v>0.02</v>
      </c>
      <c r="H27">
        <f>G27/(2*SQRT(2*LN(2)))</f>
        <v>8.4932180028801912E-3</v>
      </c>
      <c r="J27" s="2">
        <f t="shared" si="4"/>
        <v>0.17453292519943295</v>
      </c>
      <c r="K27" s="2">
        <f t="shared" si="5"/>
        <v>3.88</v>
      </c>
      <c r="L27" s="2">
        <f t="shared" si="5"/>
        <v>0.3</v>
      </c>
      <c r="M27" s="2">
        <f t="shared" si="6"/>
        <v>19068.611995784988</v>
      </c>
    </row>
    <row r="28" spans="1:13" x14ac:dyDescent="0.35">
      <c r="B28">
        <v>10</v>
      </c>
      <c r="C28" s="2">
        <v>3.88</v>
      </c>
      <c r="D28" s="2">
        <v>1.89</v>
      </c>
      <c r="G28" s="2">
        <v>0.3</v>
      </c>
      <c r="H28" s="2">
        <f t="shared" ref="H28:H34" si="7">G28/(2*SQRT(2*LN(2)))</f>
        <v>0.12739827004320287</v>
      </c>
      <c r="J28" s="2">
        <f t="shared" si="4"/>
        <v>0.26179938779914941</v>
      </c>
      <c r="K28" s="2">
        <f t="shared" si="5"/>
        <v>3.69</v>
      </c>
      <c r="L28" s="2">
        <f t="shared" si="5"/>
        <v>0.65</v>
      </c>
      <c r="M28" s="2">
        <f t="shared" si="6"/>
        <v>22801.620693372523</v>
      </c>
    </row>
    <row r="29" spans="1:13" x14ac:dyDescent="0.35">
      <c r="B29">
        <v>15</v>
      </c>
      <c r="C29" s="2">
        <v>3.69</v>
      </c>
      <c r="D29" s="2">
        <v>2.2599999999999998</v>
      </c>
      <c r="G29" s="2">
        <v>0.65</v>
      </c>
      <c r="H29" s="2">
        <f t="shared" si="7"/>
        <v>0.2760295850936062</v>
      </c>
      <c r="J29" s="2">
        <f t="shared" si="4"/>
        <v>0.3490658503988659</v>
      </c>
      <c r="K29" s="2">
        <f t="shared" si="5"/>
        <v>2.88</v>
      </c>
      <c r="L29" s="2">
        <f t="shared" si="5"/>
        <v>1.5</v>
      </c>
      <c r="M29" s="2">
        <f t="shared" si="6"/>
        <v>706.24488873277733</v>
      </c>
    </row>
    <row r="30" spans="1:13" x14ac:dyDescent="0.35">
      <c r="B30">
        <v>20</v>
      </c>
      <c r="C30" s="2">
        <v>2.88</v>
      </c>
      <c r="D30" s="2">
        <v>7.0000000000000007E-2</v>
      </c>
      <c r="G30" s="2">
        <v>1.5</v>
      </c>
      <c r="H30" s="2">
        <f t="shared" si="7"/>
        <v>0.63699135021601427</v>
      </c>
      <c r="J30" s="2">
        <f t="shared" si="4"/>
        <v>0.43633231299858238</v>
      </c>
      <c r="K30" s="2">
        <f t="shared" si="5"/>
        <v>2.76</v>
      </c>
      <c r="L30" s="2">
        <f t="shared" si="5"/>
        <v>0.49</v>
      </c>
      <c r="M30" s="2">
        <f t="shared" si="6"/>
        <v>302.67638088547596</v>
      </c>
    </row>
    <row r="31" spans="1:13" x14ac:dyDescent="0.35">
      <c r="B31">
        <v>25</v>
      </c>
      <c r="C31" s="2">
        <v>2.76</v>
      </c>
      <c r="D31" s="2">
        <v>0.03</v>
      </c>
      <c r="G31" s="2">
        <v>0.49</v>
      </c>
      <c r="H31" s="2">
        <f t="shared" si="7"/>
        <v>0.20808384107056466</v>
      </c>
      <c r="J31" s="2">
        <f t="shared" si="4"/>
        <v>0.52359877559829882</v>
      </c>
      <c r="K31" s="2">
        <f t="shared" si="5"/>
        <v>2.74</v>
      </c>
      <c r="L31" s="2">
        <f t="shared" si="5"/>
        <v>1.26</v>
      </c>
      <c r="M31" s="2">
        <f t="shared" si="6"/>
        <v>100.89212696182535</v>
      </c>
    </row>
    <row r="32" spans="1:13" x14ac:dyDescent="0.35">
      <c r="B32">
        <v>30</v>
      </c>
      <c r="C32" s="2">
        <v>2.74</v>
      </c>
      <c r="D32" s="2">
        <v>0.01</v>
      </c>
      <c r="G32" s="2">
        <v>0.1</v>
      </c>
      <c r="H32" s="2">
        <f t="shared" si="7"/>
        <v>4.2466090014400958E-2</v>
      </c>
      <c r="J32" s="2">
        <f t="shared" si="4"/>
        <v>0.69813170079773179</v>
      </c>
      <c r="K32" s="2">
        <f t="shared" si="5"/>
        <v>2.65</v>
      </c>
      <c r="L32" s="2">
        <f t="shared" si="5"/>
        <v>1.4</v>
      </c>
      <c r="M32" s="2">
        <f t="shared" si="6"/>
        <v>302.67638088547608</v>
      </c>
    </row>
    <row r="33" spans="2:13" x14ac:dyDescent="0.35">
      <c r="B33">
        <v>40</v>
      </c>
      <c r="C33" s="2">
        <v>2.65</v>
      </c>
      <c r="D33" s="2">
        <v>0.04</v>
      </c>
      <c r="G33" s="2">
        <v>0.15</v>
      </c>
      <c r="H33" s="2">
        <f t="shared" si="7"/>
        <v>6.3699135021601433E-2</v>
      </c>
      <c r="J33" s="2">
        <f t="shared" si="4"/>
        <v>0.87266462599716477</v>
      </c>
      <c r="K33" s="2">
        <f t="shared" si="5"/>
        <v>2.67</v>
      </c>
      <c r="L33" s="2">
        <f t="shared" si="5"/>
        <v>1.55</v>
      </c>
      <c r="M33" s="2">
        <f t="shared" si="6"/>
        <v>75.66909522136902</v>
      </c>
    </row>
    <row r="34" spans="2:13" x14ac:dyDescent="0.35">
      <c r="B34">
        <v>50</v>
      </c>
      <c r="C34" s="2">
        <v>2.67</v>
      </c>
      <c r="D34" s="2">
        <v>0.01</v>
      </c>
      <c r="G34" s="2">
        <v>0.18</v>
      </c>
      <c r="H34" s="2">
        <f t="shared" si="7"/>
        <v>7.6438962025921708E-2</v>
      </c>
      <c r="J34" s="2"/>
      <c r="K34" s="2"/>
      <c r="L34" s="2"/>
      <c r="M34" s="2"/>
    </row>
    <row r="35" spans="2:13" x14ac:dyDescent="0.35">
      <c r="J35" s="2"/>
      <c r="K35" s="2"/>
      <c r="L35" s="2"/>
      <c r="M35" s="2"/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natassa.pittas6@outlook.com</cp:lastModifiedBy>
  <cp:revision>1</cp:revision>
  <dcterms:created xsi:type="dcterms:W3CDTF">2021-09-30T09:00:57Z</dcterms:created>
  <dcterms:modified xsi:type="dcterms:W3CDTF">2021-12-07T08:16:52Z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